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97401E97-001A-49EE-9B5A-BD05ED90F7CF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Rawmaterial'!$A$1:$P$1965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9" i="2" l="1"/>
  <c r="F878" i="2"/>
  <c r="F877" i="2"/>
  <c r="F880" i="2"/>
  <c r="J217" i="2"/>
  <c r="J951" i="2"/>
  <c r="F1870" i="2"/>
  <c r="F1869" i="2"/>
  <c r="F1706" i="2"/>
  <c r="F1705" i="2"/>
  <c r="F1704" i="2"/>
  <c r="F682" i="2"/>
  <c r="F681" i="2"/>
  <c r="F680" i="2"/>
  <c r="F679" i="2"/>
  <c r="F671" i="2"/>
  <c r="F457" i="2"/>
  <c r="F456" i="2"/>
  <c r="F455" i="2"/>
  <c r="F304" i="2"/>
  <c r="F303" i="2"/>
  <c r="F302" i="2"/>
  <c r="F301" i="2"/>
  <c r="F1882" i="2"/>
  <c r="H480" i="2"/>
  <c r="H479" i="2"/>
  <c r="F479" i="2"/>
  <c r="K478" i="2"/>
  <c r="F478" i="2"/>
  <c r="K477" i="2"/>
  <c r="F477" i="2"/>
  <c r="F476" i="2"/>
  <c r="F475" i="2"/>
  <c r="F474" i="2"/>
  <c r="F473" i="2"/>
  <c r="K472" i="2"/>
  <c r="F472" i="2"/>
  <c r="K471" i="2"/>
  <c r="F471" i="2"/>
  <c r="H275" i="2"/>
  <c r="K13" i="8"/>
  <c r="F627" i="2"/>
  <c r="R557" i="2"/>
  <c r="R568" i="2"/>
  <c r="M568" i="2" s="1"/>
  <c r="F547" i="2"/>
  <c r="F546" i="2"/>
  <c r="F545" i="2"/>
  <c r="F544" i="2"/>
  <c r="F543" i="2"/>
  <c r="F542" i="2"/>
  <c r="F541" i="2"/>
  <c r="F500" i="2"/>
  <c r="F499" i="2"/>
  <c r="F407" i="2"/>
  <c r="F406" i="2"/>
  <c r="F405" i="2"/>
  <c r="F404" i="2"/>
  <c r="F403" i="2"/>
  <c r="F345" i="2"/>
  <c r="F344" i="2"/>
  <c r="F343" i="2"/>
  <c r="F342" i="2"/>
  <c r="F1949" i="2"/>
  <c r="F1948" i="2"/>
  <c r="F1947" i="2"/>
  <c r="F1946" i="2"/>
  <c r="F1945" i="2"/>
  <c r="F1944" i="2"/>
  <c r="F1943" i="2"/>
  <c r="F1942" i="2"/>
  <c r="F1941" i="2"/>
  <c r="F1940" i="2"/>
  <c r="G1598" i="2"/>
  <c r="G611" i="2"/>
  <c r="G378" i="2"/>
  <c r="G194" i="2"/>
  <c r="G612" i="2" s="1"/>
  <c r="F441" i="2"/>
  <c r="I217" i="2"/>
  <c r="I37" i="2"/>
  <c r="I153" i="2"/>
  <c r="F1816" i="2"/>
  <c r="F1780" i="2"/>
  <c r="F1796" i="2"/>
  <c r="F1795" i="2"/>
  <c r="F1794" i="2"/>
  <c r="F1615" i="2"/>
  <c r="F1614" i="2"/>
  <c r="F1613" i="2"/>
  <c r="F1703" i="2"/>
  <c r="F1702" i="2"/>
  <c r="F1701" i="2"/>
  <c r="F1629" i="2"/>
  <c r="F1599" i="2"/>
  <c r="F1862" i="2"/>
  <c r="F1861" i="2"/>
  <c r="F1853" i="2"/>
  <c r="F1832" i="2"/>
  <c r="F1845" i="2"/>
  <c r="F1920" i="2"/>
  <c r="F1919" i="2"/>
  <c r="F1918" i="2"/>
  <c r="F1311" i="2"/>
  <c r="F1310" i="2"/>
  <c r="F1304" i="2"/>
  <c r="F1303" i="2"/>
  <c r="F1302" i="2"/>
  <c r="F1507" i="2"/>
  <c r="F1506" i="2"/>
  <c r="F1052" i="2"/>
  <c r="F33" i="2"/>
  <c r="T472" i="2"/>
  <c r="T478" i="2"/>
  <c r="F1767" i="2"/>
  <c r="F1725" i="2"/>
  <c r="F1724" i="2"/>
  <c r="F1723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72" i="2"/>
  <c r="F670" i="2"/>
  <c r="F572" i="2"/>
  <c r="F628" i="2"/>
  <c r="F838" i="2"/>
  <c r="F837" i="2"/>
  <c r="F1577" i="2"/>
  <c r="F976" i="2"/>
  <c r="F346" i="2"/>
  <c r="F767" i="2"/>
  <c r="F1513" i="2"/>
  <c r="F1512" i="2"/>
  <c r="T1430" i="2"/>
  <c r="S489" i="2"/>
  <c r="M489" i="2"/>
  <c r="T480" i="2"/>
  <c r="T479" i="2"/>
  <c r="K479" i="2" s="1"/>
  <c r="T477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870" i="2"/>
  <c r="F869" i="2"/>
  <c r="F868" i="2"/>
  <c r="F947" i="2"/>
  <c r="F946" i="2"/>
  <c r="F945" i="2"/>
  <c r="F944" i="2"/>
  <c r="F943" i="2"/>
  <c r="F942" i="2"/>
  <c r="F966" i="2"/>
  <c r="F651" i="2"/>
  <c r="O38" i="2"/>
  <c r="O80" i="2"/>
  <c r="O218" i="2"/>
  <c r="O209" i="2"/>
  <c r="F1539" i="2"/>
  <c r="F691" i="2"/>
  <c r="F690" i="2"/>
  <c r="F689" i="2"/>
  <c r="F688" i="2"/>
  <c r="T471" i="2"/>
  <c r="F480" i="2"/>
  <c r="F905" i="2"/>
  <c r="F565" i="2"/>
  <c r="F450" i="2"/>
  <c r="F449" i="2"/>
  <c r="F1921" i="2" l="1"/>
  <c r="F1781" i="2"/>
  <c r="F1683" i="2"/>
  <c r="F1658" i="2"/>
  <c r="F1519" i="2"/>
  <c r="F1518" i="2"/>
  <c r="F1517" i="2"/>
  <c r="F1470" i="2"/>
  <c r="F959" i="2"/>
  <c r="F846" i="2"/>
  <c r="F839" i="2"/>
  <c r="F833" i="2"/>
  <c r="F832" i="2"/>
  <c r="F614" i="2"/>
  <c r="F613" i="2"/>
  <c r="F501" i="2"/>
  <c r="F1378" i="2"/>
  <c r="F1356" i="2"/>
  <c r="F1355" i="2"/>
  <c r="F1141" i="2"/>
  <c r="F1140" i="2"/>
  <c r="F912" i="2"/>
  <c r="F911" i="2"/>
  <c r="F906" i="2"/>
  <c r="F722" i="2"/>
  <c r="F629" i="2"/>
  <c r="T565" i="2"/>
  <c r="F548" i="2"/>
  <c r="F936" i="2"/>
  <c r="T566" i="2"/>
  <c r="T567" i="2"/>
  <c r="G69" i="4"/>
  <c r="H69" i="4"/>
  <c r="A67" i="4"/>
  <c r="A68" i="4"/>
  <c r="A62" i="4"/>
  <c r="A63" i="4" s="1"/>
  <c r="H68" i="4"/>
  <c r="F1922" i="2"/>
  <c r="F1871" i="2"/>
  <c r="F1833" i="2"/>
  <c r="F1524" i="2"/>
  <c r="F1523" i="2"/>
  <c r="F1491" i="2"/>
  <c r="F872" i="2"/>
  <c r="F652" i="2"/>
  <c r="F549" i="2"/>
  <c r="A64" i="4" l="1"/>
  <c r="A65" i="4" s="1"/>
  <c r="F1204" i="2"/>
  <c r="F990" i="2"/>
  <c r="F989" i="2"/>
  <c r="F840" i="2"/>
  <c r="F768" i="2"/>
  <c r="F550" i="2"/>
  <c r="W872" i="2"/>
  <c r="X872" i="2" s="1"/>
  <c r="T872" i="2"/>
  <c r="R872" i="2"/>
  <c r="F108" i="2"/>
  <c r="F424" i="2"/>
  <c r="A66" i="4" l="1"/>
  <c r="F1232" i="2"/>
  <c r="F1268" i="2"/>
  <c r="F1549" i="2"/>
  <c r="F1548" i="2"/>
  <c r="F759" i="2"/>
  <c r="F673" i="2"/>
  <c r="F780" i="2"/>
  <c r="T551" i="2"/>
  <c r="F502" i="2"/>
  <c r="F498" i="2"/>
  <c r="F1099" i="2"/>
  <c r="F769" i="2"/>
  <c r="F425" i="2"/>
  <c r="F408" i="2"/>
  <c r="T550" i="2"/>
  <c r="F409" i="2"/>
  <c r="F1196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6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3" i="2"/>
  <c r="F1668" i="2"/>
  <c r="T1559" i="2"/>
  <c r="F1424" i="2"/>
  <c r="F1191" i="2"/>
  <c r="F1190" i="2"/>
  <c r="T302" i="2"/>
  <c r="F937" i="2"/>
  <c r="T467" i="2"/>
  <c r="T468" i="2"/>
  <c r="T469" i="2"/>
  <c r="T470" i="2"/>
  <c r="T466" i="2"/>
  <c r="F1817" i="2"/>
  <c r="F1554" i="2"/>
  <c r="F1198" i="2"/>
  <c r="F1726" i="2"/>
  <c r="F1502" i="2"/>
  <c r="F1501" i="2"/>
  <c r="F1205" i="2"/>
  <c r="F983" i="2"/>
  <c r="F653" i="2"/>
  <c r="G1955" i="2"/>
  <c r="W1513" i="2"/>
  <c r="X1513" i="2" s="1"/>
  <c r="T1513" i="2"/>
  <c r="R1513" i="2"/>
  <c r="W1534" i="2"/>
  <c r="X1534" i="2" s="1"/>
  <c r="R1534" i="2"/>
  <c r="F1534" i="2"/>
  <c r="F503" i="2"/>
  <c r="F1876" i="2"/>
  <c r="F1840" i="2"/>
  <c r="F1760" i="2"/>
  <c r="F1543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F426" i="2"/>
  <c r="T360" i="2"/>
  <c r="I259" i="2"/>
  <c r="F1396" i="2"/>
  <c r="F1095" i="2"/>
  <c r="F1094" i="2"/>
  <c r="F892" i="2"/>
  <c r="W947" i="2"/>
  <c r="X947" i="2" s="1"/>
  <c r="T947" i="2"/>
  <c r="R947" i="2"/>
  <c r="F52" i="7"/>
  <c r="F1269" i="2"/>
  <c r="F427" i="2"/>
  <c r="F1429" i="2"/>
  <c r="F510" i="2"/>
  <c r="F1630" i="2"/>
  <c r="F1251" i="2"/>
  <c r="F219" i="2"/>
  <c r="F777" i="2"/>
  <c r="F1797" i="2"/>
  <c r="F1669" i="2"/>
  <c r="F511" i="2"/>
  <c r="F459" i="2"/>
  <c r="F69" i="2"/>
  <c r="F70" i="2"/>
  <c r="F71" i="2"/>
  <c r="W1525" i="2"/>
  <c r="X1525" i="2" s="1"/>
  <c r="T1525" i="2"/>
  <c r="R1525" i="2"/>
  <c r="F1525" i="2"/>
  <c r="F360" i="2"/>
  <c r="F1600" i="2"/>
  <c r="F1338" i="2"/>
  <c r="F512" i="2"/>
  <c r="F654" i="2"/>
  <c r="F347" i="2"/>
  <c r="F1727" i="2"/>
  <c r="K30" i="8"/>
  <c r="F1950" i="2"/>
  <c r="F1798" i="2"/>
  <c r="F1631" i="2"/>
  <c r="F1305" i="2"/>
  <c r="F1728" i="2"/>
  <c r="I208" i="2"/>
  <c r="F1951" i="2"/>
  <c r="I89" i="2"/>
  <c r="T511" i="2"/>
  <c r="T512" i="2"/>
  <c r="T513" i="2"/>
  <c r="T510" i="2"/>
  <c r="W1951" i="2"/>
  <c r="X1951" i="2" s="1"/>
  <c r="T1951" i="2"/>
  <c r="R1951" i="2"/>
  <c r="W1950" i="2"/>
  <c r="X1950" i="2" s="1"/>
  <c r="T1950" i="2"/>
  <c r="R1950" i="2"/>
  <c r="F1206" i="2" l="1"/>
  <c r="F893" i="2"/>
  <c r="F1550" i="2"/>
  <c r="W682" i="2"/>
  <c r="X682" i="2" s="1"/>
  <c r="T682" i="2"/>
  <c r="K682" i="2" s="1"/>
  <c r="R682" i="2"/>
  <c r="F1559" i="2"/>
  <c r="W1550" i="2"/>
  <c r="X1550" i="2" s="1"/>
  <c r="T1550" i="2"/>
  <c r="R1550" i="2"/>
  <c r="F428" i="2"/>
  <c r="F1761" i="2"/>
  <c r="H391" i="2"/>
  <c r="F1123" i="2"/>
  <c r="F655" i="2"/>
  <c r="T1937" i="2"/>
  <c r="T1938" i="2"/>
  <c r="T1936" i="2"/>
  <c r="W1939" i="2"/>
  <c r="X1939" i="2" s="1"/>
  <c r="R1939" i="2"/>
  <c r="M1939" i="2" s="1"/>
  <c r="H1939" i="2"/>
  <c r="W1938" i="2"/>
  <c r="X1938" i="2" s="1"/>
  <c r="R1938" i="2"/>
  <c r="F1938" i="2"/>
  <c r="W1937" i="2"/>
  <c r="X1937" i="2" s="1"/>
  <c r="R1937" i="2"/>
  <c r="F1937" i="2"/>
  <c r="W1936" i="2"/>
  <c r="X1936" i="2" s="1"/>
  <c r="R1936" i="2"/>
  <c r="F1936" i="2"/>
  <c r="F1498" i="2" l="1"/>
  <c r="L1498" i="2"/>
  <c r="F1533" i="2"/>
  <c r="F841" i="2"/>
  <c r="F647" i="2" l="1"/>
  <c r="F1923" i="2" l="1"/>
  <c r="F1544" i="2"/>
  <c r="F1492" i="2"/>
  <c r="F1296" i="2"/>
  <c r="F1124" i="2"/>
  <c r="F1877" i="2"/>
  <c r="F348" i="2"/>
  <c r="F842" i="2"/>
  <c r="F504" i="2"/>
  <c r="F1768" i="2"/>
  <c r="F1659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2" i="2"/>
  <c r="F1788" i="2"/>
  <c r="R1511" i="2"/>
  <c r="T1561" i="2"/>
  <c r="T1562" i="2"/>
  <c r="W1563" i="2"/>
  <c r="X1563" i="2" s="1"/>
  <c r="R1563" i="2"/>
  <c r="M1563" i="2" s="1"/>
  <c r="H1563" i="2"/>
  <c r="W1562" i="2"/>
  <c r="X1562" i="2" s="1"/>
  <c r="R1562" i="2"/>
  <c r="F1562" i="2"/>
  <c r="W1561" i="2"/>
  <c r="X1561" i="2" s="1"/>
  <c r="R1561" i="2"/>
  <c r="F1561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K476" i="2" s="1"/>
  <c r="F350" i="2"/>
  <c r="F1036" i="2"/>
  <c r="F1020" i="2"/>
  <c r="F1125" i="2"/>
  <c r="T473" i="2"/>
  <c r="K473" i="2" s="1"/>
  <c r="T474" i="2"/>
  <c r="K474" i="2" s="1"/>
  <c r="F30" i="2"/>
  <c r="F31" i="2"/>
  <c r="F36" i="2"/>
  <c r="F206" i="2"/>
  <c r="F505" i="2"/>
  <c r="F497" i="2"/>
  <c r="F1660" i="2"/>
  <c r="W1492" i="2"/>
  <c r="T1492" i="2"/>
  <c r="R1492" i="2"/>
  <c r="T506" i="2"/>
  <c r="W1949" i="2"/>
  <c r="T1949" i="2"/>
  <c r="R1949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2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49" i="2"/>
  <c r="X657" i="2"/>
  <c r="T1591" i="2" l="1"/>
  <c r="T1592" i="2"/>
  <c r="T1590" i="2"/>
  <c r="W1593" i="2"/>
  <c r="X1593" i="2" s="1"/>
  <c r="R1593" i="2"/>
  <c r="M1593" i="2" s="1"/>
  <c r="H1593" i="2"/>
  <c r="W1592" i="2"/>
  <c r="X1592" i="2" s="1"/>
  <c r="R1592" i="2"/>
  <c r="F1592" i="2"/>
  <c r="W1591" i="2"/>
  <c r="X1591" i="2" s="1"/>
  <c r="R1591" i="2"/>
  <c r="F1591" i="2"/>
  <c r="W1590" i="2"/>
  <c r="X1590" i="2" s="1"/>
  <c r="R1590" i="2"/>
  <c r="F1590" i="2"/>
  <c r="F1884" i="2" l="1"/>
  <c r="F1885" i="2" l="1"/>
  <c r="T780" i="2" l="1"/>
  <c r="F760" i="2" l="1"/>
  <c r="F1231" i="2" l="1"/>
  <c r="F1142" i="2"/>
  <c r="F1886" i="2" l="1"/>
  <c r="F1301" i="2" l="1"/>
  <c r="L7" i="7" l="1"/>
  <c r="F1707" i="2"/>
  <c r="F1471" i="2"/>
  <c r="F295" i="2"/>
  <c r="F1888" i="2" l="1"/>
  <c r="F1887" i="2"/>
  <c r="F1863" i="2"/>
  <c r="F1818" i="2" l="1"/>
  <c r="F1708" i="2"/>
  <c r="F766" i="2" l="1"/>
  <c r="T846" i="2" l="1"/>
  <c r="W1142" i="2" l="1"/>
  <c r="X1142" i="2" s="1"/>
  <c r="T1142" i="2"/>
  <c r="R1142" i="2"/>
  <c r="F129" i="2" l="1"/>
  <c r="F131" i="2"/>
  <c r="F130" i="2"/>
  <c r="F1578" i="2" l="1"/>
  <c r="F1325" i="2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4" i="2" l="1"/>
  <c r="F935" i="2" l="1"/>
  <c r="W1578" i="2"/>
  <c r="X1578" i="2" s="1"/>
  <c r="T1578" i="2"/>
  <c r="R1578" i="2"/>
  <c r="F1202" i="2"/>
  <c r="R1431" i="2" l="1"/>
  <c r="F354" i="2" l="1"/>
  <c r="F355" i="2" l="1"/>
  <c r="G222" i="4" l="1"/>
  <c r="I60" i="2"/>
  <c r="F494" i="2" l="1"/>
  <c r="F47" i="2"/>
  <c r="F754" i="2"/>
  <c r="T343" i="2" l="1"/>
  <c r="K343" i="2" s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7" i="2"/>
  <c r="F1846" i="2"/>
  <c r="F1617" i="2"/>
  <c r="F1337" i="2"/>
  <c r="F1246" i="2"/>
  <c r="F669" i="2"/>
  <c r="F765" i="2" l="1"/>
  <c r="T334" i="2"/>
  <c r="T573" i="2" l="1"/>
  <c r="F205" i="2" l="1"/>
  <c r="T1429" i="2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1684" i="2" l="1"/>
  <c r="F540" i="2"/>
  <c r="F597" i="2" l="1"/>
  <c r="F1374" i="2" l="1"/>
  <c r="T1551" i="2" l="1"/>
  <c r="T1552" i="2"/>
  <c r="T1548" i="2"/>
  <c r="T342" i="2" l="1"/>
  <c r="K342" i="2" s="1"/>
  <c r="T344" i="2" l="1"/>
  <c r="F1423" i="2"/>
  <c r="F721" i="2"/>
  <c r="F402" i="2" l="1"/>
  <c r="F332" i="2"/>
  <c r="F333" i="2"/>
  <c r="T333" i="2" l="1"/>
  <c r="W1848" i="2" l="1"/>
  <c r="X1848" i="2" s="1"/>
  <c r="T1848" i="2"/>
  <c r="R1848" i="2"/>
  <c r="F1848" i="2"/>
  <c r="F214" i="6"/>
  <c r="T332" i="2" l="1"/>
  <c r="F571" i="2"/>
  <c r="F334" i="2"/>
  <c r="F460" i="2" l="1"/>
  <c r="F1834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F48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2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K475" i="2" s="1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J18" i="8" s="1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3" i="2" l="1"/>
  <c r="T1584" i="2"/>
  <c r="T1582" i="2"/>
  <c r="W1585" i="2"/>
  <c r="X1585" i="2" s="1"/>
  <c r="R1585" i="2"/>
  <c r="M1585" i="2" s="1"/>
  <c r="N247" i="6" s="1"/>
  <c r="H1585" i="2"/>
  <c r="W1584" i="2"/>
  <c r="X1584" i="2" s="1"/>
  <c r="R1584" i="2"/>
  <c r="F1584" i="2"/>
  <c r="F246" i="6" s="1"/>
  <c r="W1583" i="2"/>
  <c r="X1583" i="2" s="1"/>
  <c r="R1583" i="2"/>
  <c r="F1583" i="2"/>
  <c r="F245" i="6" s="1"/>
  <c r="W1582" i="2"/>
  <c r="X1582" i="2" s="1"/>
  <c r="R1582" i="2"/>
  <c r="F1582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1789" i="2"/>
  <c r="F539" i="2"/>
  <c r="F429" i="2" l="1"/>
  <c r="F1924" i="2"/>
  <c r="F631" i="2"/>
  <c r="F1572" i="2" l="1"/>
  <c r="F864" i="2" l="1"/>
  <c r="F1925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48" i="2" l="1"/>
  <c r="X1948" i="2" s="1"/>
  <c r="T1948" i="2"/>
  <c r="R1948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4" i="2" l="1"/>
  <c r="F1913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89" i="2" l="1"/>
  <c r="F1670" i="2"/>
  <c r="F1586" i="2" l="1"/>
  <c r="T1286" i="2"/>
  <c r="F492" i="2" l="1"/>
  <c r="F1573" i="2" l="1"/>
  <c r="T1270" i="2"/>
  <c r="F1418" i="2"/>
  <c r="F1618" i="2" l="1"/>
  <c r="F910" i="2"/>
  <c r="F491" i="2" l="1"/>
  <c r="F335" i="2" l="1"/>
  <c r="F1146" i="2" l="1"/>
  <c r="F1051" i="2"/>
  <c r="W1418" i="2" l="1"/>
  <c r="X1418" i="2" s="1"/>
  <c r="T1418" i="2"/>
  <c r="R1418" i="2"/>
  <c r="F1890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2" i="2"/>
  <c r="F1891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7" i="2"/>
  <c r="T1588" i="2"/>
  <c r="T1586" i="2"/>
  <c r="W1589" i="2"/>
  <c r="X1589" i="2" s="1"/>
  <c r="R1589" i="2"/>
  <c r="M1589" i="2" s="1"/>
  <c r="H1589" i="2"/>
  <c r="W1588" i="2"/>
  <c r="X1588" i="2" s="1"/>
  <c r="R1588" i="2"/>
  <c r="F1588" i="2"/>
  <c r="W1587" i="2"/>
  <c r="X1587" i="2" s="1"/>
  <c r="R1587" i="2"/>
  <c r="F1587" i="2"/>
  <c r="W1586" i="2"/>
  <c r="X1586" i="2" s="1"/>
  <c r="R1586" i="2"/>
  <c r="T1423" i="2"/>
  <c r="W1417" i="2"/>
  <c r="X1417" i="2" s="1"/>
  <c r="T1417" i="2"/>
  <c r="R1417" i="2"/>
  <c r="W1573" i="2"/>
  <c r="X1573" i="2" s="1"/>
  <c r="T1573" i="2"/>
  <c r="R1573" i="2"/>
  <c r="F918" i="2" l="1"/>
  <c r="F982" i="2" l="1"/>
  <c r="F919" i="2"/>
  <c r="F1841" i="2" l="1"/>
  <c r="F1058" i="2"/>
  <c r="F1428" i="2" l="1"/>
  <c r="T331" i="2"/>
  <c r="F920" i="2" l="1"/>
  <c r="T350" i="2"/>
  <c r="F1894" i="2" l="1"/>
  <c r="F1893" i="2"/>
  <c r="F1895" i="2" l="1"/>
  <c r="F921" i="2"/>
  <c r="T1579" i="2"/>
  <c r="T1580" i="2"/>
  <c r="T1577" i="2"/>
  <c r="W1581" i="2"/>
  <c r="X1581" i="2" s="1"/>
  <c r="R1581" i="2"/>
  <c r="M1581" i="2" s="1"/>
  <c r="H1581" i="2"/>
  <c r="W1580" i="2"/>
  <c r="X1580" i="2" s="1"/>
  <c r="R1580" i="2"/>
  <c r="F1580" i="2"/>
  <c r="W1579" i="2"/>
  <c r="X1579" i="2" s="1"/>
  <c r="R1579" i="2"/>
  <c r="F1579" i="2"/>
  <c r="W1577" i="2"/>
  <c r="X1577" i="2" s="1"/>
  <c r="R1577" i="2"/>
  <c r="T305" i="2" l="1"/>
  <c r="F922" i="2"/>
  <c r="F923" i="2" l="1"/>
  <c r="T540" i="2" l="1"/>
  <c r="T541" i="2"/>
  <c r="K541" i="2" s="1"/>
  <c r="T542" i="2"/>
  <c r="T539" i="2"/>
  <c r="T910" i="2" l="1"/>
  <c r="F1682" i="2" l="1"/>
  <c r="F1601" i="2" l="1"/>
  <c r="F1602" i="2"/>
  <c r="F1603" i="2"/>
  <c r="F1604" i="2"/>
  <c r="F525" i="2" l="1"/>
  <c r="F924" i="2" l="1"/>
  <c r="F1092" i="2" l="1"/>
  <c r="F1896" i="2" l="1"/>
  <c r="W1894" i="2" l="1"/>
  <c r="X1894" i="2" s="1"/>
  <c r="T1894" i="2"/>
  <c r="R1894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3" i="2" l="1"/>
  <c r="X1893" i="2" s="1"/>
  <c r="T1893" i="2"/>
  <c r="R1893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2" i="2" l="1"/>
  <c r="X1892" i="2" s="1"/>
  <c r="T1892" i="2"/>
  <c r="R1892" i="2"/>
  <c r="W1891" i="2"/>
  <c r="X1891" i="2" s="1"/>
  <c r="T1891" i="2"/>
  <c r="R1891" i="2"/>
  <c r="W1890" i="2"/>
  <c r="X1890" i="2" s="1"/>
  <c r="T1890" i="2"/>
  <c r="R1890" i="2"/>
  <c r="W1895" i="2"/>
  <c r="X1895" i="2" s="1"/>
  <c r="T1895" i="2"/>
  <c r="R1895" i="2"/>
  <c r="W1896" i="2"/>
  <c r="X1896" i="2" s="1"/>
  <c r="T1896" i="2"/>
  <c r="R1896" i="2"/>
  <c r="F414" i="2" l="1"/>
  <c r="W1947" i="2"/>
  <c r="X1947" i="2" s="1"/>
  <c r="T1947" i="2"/>
  <c r="R1947" i="2"/>
  <c r="I250" i="2" l="1"/>
  <c r="F247" i="2"/>
  <c r="K61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7" i="2"/>
  <c r="X1887" i="2" s="1"/>
  <c r="T1887" i="2"/>
  <c r="R1887" i="2"/>
  <c r="W1886" i="2"/>
  <c r="X1886" i="2" s="1"/>
  <c r="T1886" i="2"/>
  <c r="R1886" i="2"/>
  <c r="W1888" i="2"/>
  <c r="X1888" i="2" s="1"/>
  <c r="T1888" i="2"/>
  <c r="R1888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K403" i="2" s="1"/>
  <c r="T404" i="2"/>
  <c r="K404" i="2" s="1"/>
  <c r="T405" i="2"/>
  <c r="K405" i="2" s="1"/>
  <c r="T406" i="2"/>
  <c r="K406" i="2" s="1"/>
  <c r="T407" i="2"/>
  <c r="K407" i="2" s="1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K499" i="2" s="1"/>
  <c r="T500" i="2"/>
  <c r="T501" i="2"/>
  <c r="T502" i="2"/>
  <c r="T503" i="2"/>
  <c r="T504" i="2"/>
  <c r="T491" i="2"/>
  <c r="T456" i="2"/>
  <c r="K456" i="2" s="1"/>
  <c r="T457" i="2"/>
  <c r="K457" i="2" s="1"/>
  <c r="T455" i="2"/>
  <c r="K455" i="2" s="1"/>
  <c r="T458" i="2"/>
  <c r="T459" i="2"/>
  <c r="T460" i="2"/>
  <c r="T461" i="2"/>
  <c r="T463" i="2"/>
  <c r="T571" i="2"/>
  <c r="F416" i="2" l="1"/>
  <c r="W1944" i="2" l="1"/>
  <c r="X1944" i="2" s="1"/>
  <c r="T1944" i="2"/>
  <c r="R1944" i="2"/>
  <c r="W1943" i="2"/>
  <c r="X1943" i="2" s="1"/>
  <c r="T1943" i="2"/>
  <c r="R1943" i="2"/>
  <c r="F529" i="2" l="1"/>
  <c r="W47" i="2" l="1"/>
  <c r="X47" i="2" s="1"/>
  <c r="L47" i="2"/>
  <c r="F816" i="2" l="1"/>
  <c r="K268" i="2"/>
  <c r="F55" i="2" l="1"/>
  <c r="F54" i="2"/>
  <c r="F56" i="2"/>
  <c r="W1945" i="2" l="1"/>
  <c r="X1945" i="2" s="1"/>
  <c r="T1945" i="2"/>
  <c r="R1945" i="2"/>
  <c r="T1574" i="2" l="1"/>
  <c r="T1575" i="2"/>
  <c r="T1572" i="2"/>
  <c r="T1569" i="2"/>
  <c r="T1570" i="2"/>
  <c r="T1568" i="2"/>
  <c r="W1576" i="2"/>
  <c r="X1576" i="2" s="1"/>
  <c r="R1576" i="2"/>
  <c r="M1576" i="2" s="1"/>
  <c r="H1576" i="2"/>
  <c r="W1575" i="2"/>
  <c r="X1575" i="2" s="1"/>
  <c r="R1575" i="2"/>
  <c r="F1575" i="2"/>
  <c r="W1574" i="2"/>
  <c r="X1574" i="2" s="1"/>
  <c r="R1574" i="2"/>
  <c r="F1574" i="2"/>
  <c r="W1572" i="2"/>
  <c r="X1572" i="2" s="1"/>
  <c r="R1572" i="2"/>
  <c r="W1571" i="2"/>
  <c r="X1571" i="2" s="1"/>
  <c r="R1571" i="2"/>
  <c r="M1571" i="2" s="1"/>
  <c r="H1571" i="2"/>
  <c r="W1570" i="2"/>
  <c r="X1570" i="2" s="1"/>
  <c r="R1570" i="2"/>
  <c r="F1570" i="2"/>
  <c r="W1569" i="2"/>
  <c r="X1569" i="2" s="1"/>
  <c r="R1569" i="2"/>
  <c r="F1569" i="2"/>
  <c r="W1568" i="2"/>
  <c r="X1568" i="2" s="1"/>
  <c r="R1568" i="2"/>
  <c r="F1568" i="2"/>
  <c r="F997" i="2" l="1"/>
  <c r="Z1957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1" i="2" l="1"/>
  <c r="T1942" i="2"/>
  <c r="T1946" i="2"/>
  <c r="T1952" i="2"/>
  <c r="T1953" i="2"/>
  <c r="T1940" i="2"/>
  <c r="W1953" i="2"/>
  <c r="X1953" i="2" s="1"/>
  <c r="R1953" i="2"/>
  <c r="F1953" i="2"/>
  <c r="W1952" i="2"/>
  <c r="X1952" i="2" s="1"/>
  <c r="R1952" i="2"/>
  <c r="F1952" i="2"/>
  <c r="W1946" i="2"/>
  <c r="X1946" i="2" s="1"/>
  <c r="R1946" i="2"/>
  <c r="W1942" i="2"/>
  <c r="X1942" i="2" s="1"/>
  <c r="R1942" i="2"/>
  <c r="W1941" i="2"/>
  <c r="X1941" i="2" s="1"/>
  <c r="R1941" i="2"/>
  <c r="W1940" i="2"/>
  <c r="X1940" i="2" s="1"/>
  <c r="R1940" i="2"/>
  <c r="R1935" i="2"/>
  <c r="R1954" i="2"/>
  <c r="M1954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09" i="2" l="1"/>
  <c r="F1710" i="2"/>
  <c r="W1307" i="2" l="1"/>
  <c r="X1307" i="2" s="1"/>
  <c r="T1307" i="2"/>
  <c r="R1307" i="2"/>
  <c r="F1307" i="2"/>
  <c r="T1564" i="2"/>
  <c r="W1567" i="2"/>
  <c r="X1567" i="2" s="1"/>
  <c r="R1567" i="2"/>
  <c r="M1567" i="2" s="1"/>
  <c r="H1567" i="2"/>
  <c r="W1566" i="2"/>
  <c r="X1566" i="2" s="1"/>
  <c r="T1566" i="2"/>
  <c r="R1566" i="2"/>
  <c r="F1566" i="2"/>
  <c r="W1565" i="2"/>
  <c r="X1565" i="2" s="1"/>
  <c r="T1565" i="2"/>
  <c r="R1565" i="2"/>
  <c r="F1565" i="2"/>
  <c r="W1564" i="2"/>
  <c r="X1564" i="2" s="1"/>
  <c r="R1564" i="2"/>
  <c r="F1564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7" i="2" l="1"/>
  <c r="F362" i="2" l="1"/>
  <c r="F1901" i="2" l="1"/>
  <c r="F1900" i="2"/>
  <c r="F364" i="2" l="1"/>
  <c r="F363" i="2"/>
  <c r="F964" i="2" l="1"/>
  <c r="H773" i="2"/>
  <c r="F1878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2" i="2" l="1"/>
  <c r="F432" i="2" l="1"/>
  <c r="F530" i="2"/>
  <c r="F57" i="2" l="1"/>
  <c r="F58" i="2"/>
  <c r="T776" i="2" l="1"/>
  <c r="F865" i="2" l="1"/>
  <c r="F866" i="2"/>
  <c r="F1628" i="2" l="1"/>
  <c r="F950" i="2"/>
  <c r="T1130" i="2" l="1"/>
  <c r="T1131" i="2"/>
  <c r="T1132" i="2"/>
  <c r="T1129" i="2"/>
  <c r="T1107" i="2" l="1"/>
  <c r="M7" i="6" l="1"/>
  <c r="F1722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3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19" i="2"/>
  <c r="F273" i="2"/>
  <c r="F1481" i="2" l="1"/>
  <c r="F1799" i="2" l="1"/>
  <c r="W1466" i="2" l="1"/>
  <c r="X1466" i="2" s="1"/>
  <c r="T1466" i="2"/>
  <c r="R1466" i="2"/>
  <c r="J2" i="8" l="1"/>
  <c r="R218" i="2" l="1"/>
  <c r="M218" i="2" s="1"/>
  <c r="R39" i="2"/>
  <c r="F1800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19" i="2" l="1"/>
  <c r="K560" i="2"/>
  <c r="K564" i="2"/>
  <c r="F368" i="2" l="1"/>
  <c r="F1620" i="2" l="1"/>
  <c r="F1357" i="2"/>
  <c r="F1769" i="2" l="1"/>
  <c r="K184" i="2" l="1"/>
  <c r="H184" i="2"/>
  <c r="F1158" i="2" l="1"/>
  <c r="F1621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0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29" i="2" l="1"/>
  <c r="E35" i="7"/>
  <c r="G35" i="7"/>
  <c r="H35" i="7"/>
  <c r="I35" i="7"/>
  <c r="J35" i="7"/>
  <c r="C35" i="7"/>
  <c r="T1910" i="2" l="1"/>
  <c r="T1909" i="2"/>
  <c r="T1906" i="2"/>
  <c r="W1908" i="2" l="1"/>
  <c r="X1908" i="2" s="1"/>
  <c r="R1908" i="2"/>
  <c r="M1908" i="2" s="1"/>
  <c r="H1908" i="2"/>
  <c r="W1907" i="2"/>
  <c r="X1907" i="2" s="1"/>
  <c r="R1907" i="2"/>
  <c r="F1907" i="2"/>
  <c r="W1906" i="2"/>
  <c r="X1906" i="2" s="1"/>
  <c r="R1906" i="2"/>
  <c r="F1906" i="2"/>
  <c r="F283" i="2" l="1"/>
  <c r="W436" i="2" l="1"/>
  <c r="X436" i="2" s="1"/>
  <c r="R436" i="2"/>
  <c r="L436" i="2"/>
  <c r="W1885" i="2" l="1"/>
  <c r="X1885" i="2" s="1"/>
  <c r="T1885" i="2"/>
  <c r="R1885" i="2"/>
  <c r="W1889" i="2"/>
  <c r="X1889" i="2" s="1"/>
  <c r="T1889" i="2"/>
  <c r="R1889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68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7" i="2" l="1"/>
  <c r="F1017" i="2" l="1"/>
  <c r="P4" i="7" l="1"/>
  <c r="N4" i="7"/>
  <c r="P3" i="7"/>
  <c r="N3" i="7"/>
  <c r="Q4" i="6"/>
  <c r="O4" i="6"/>
  <c r="Q3" i="6"/>
  <c r="O3" i="6"/>
  <c r="M60" i="8" l="1"/>
  <c r="F1926" i="2"/>
  <c r="F1927" i="2"/>
  <c r="F1928" i="2"/>
  <c r="F1929" i="2"/>
  <c r="F1730" i="2"/>
  <c r="F1731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7" i="2"/>
  <c r="L1608" i="2"/>
  <c r="L1610" i="2"/>
  <c r="L1611" i="2"/>
  <c r="L1625" i="2"/>
  <c r="L1626" i="2"/>
  <c r="L1636" i="2"/>
  <c r="L1637" i="2"/>
  <c r="L1638" i="2"/>
  <c r="L1639" i="2"/>
  <c r="L1640" i="2"/>
  <c r="L1641" i="2"/>
  <c r="L1643" i="2"/>
  <c r="L1644" i="2"/>
  <c r="L1645" i="2"/>
  <c r="L1655" i="2"/>
  <c r="L1656" i="2"/>
  <c r="L1691" i="2"/>
  <c r="L1692" i="2"/>
  <c r="L1693" i="2"/>
  <c r="L1694" i="2"/>
  <c r="L1695" i="2"/>
  <c r="L1696" i="2"/>
  <c r="L1697" i="2"/>
  <c r="L1698" i="2"/>
  <c r="L1699" i="2"/>
  <c r="L1713" i="2"/>
  <c r="L1714" i="2"/>
  <c r="L1715" i="2"/>
  <c r="L1716" i="2"/>
  <c r="L1717" i="2"/>
  <c r="L1718" i="2"/>
  <c r="L1719" i="2"/>
  <c r="L1720" i="2"/>
  <c r="L1734" i="2"/>
  <c r="L1735" i="2"/>
  <c r="L1736" i="2"/>
  <c r="L1737" i="2"/>
  <c r="L1738" i="2"/>
  <c r="L1739" i="2"/>
  <c r="L1741" i="2"/>
  <c r="L1742" i="2"/>
  <c r="L1743" i="2"/>
  <c r="L1744" i="2"/>
  <c r="L1745" i="2"/>
  <c r="L1746" i="2"/>
  <c r="L1747" i="2"/>
  <c r="L1748" i="2"/>
  <c r="L1750" i="2"/>
  <c r="L1751" i="2"/>
  <c r="L1752" i="2"/>
  <c r="L1753" i="2"/>
  <c r="L1754" i="2"/>
  <c r="L1755" i="2"/>
  <c r="L1756" i="2"/>
  <c r="L1757" i="2"/>
  <c r="L1758" i="2"/>
  <c r="L1766" i="2"/>
  <c r="L1773" i="2"/>
  <c r="L1774" i="2"/>
  <c r="L1775" i="2"/>
  <c r="L1776" i="2"/>
  <c r="L1777" i="2"/>
  <c r="L1778" i="2"/>
  <c r="L1823" i="2"/>
  <c r="L1824" i="2"/>
  <c r="L1825" i="2"/>
  <c r="L1826" i="2"/>
  <c r="L1827" i="2"/>
  <c r="L1828" i="2"/>
  <c r="L1829" i="2"/>
  <c r="L1830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5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1" i="2" l="1"/>
  <c r="T1902" i="2"/>
  <c r="T1903" i="2"/>
  <c r="T1904" i="2"/>
  <c r="T1900" i="2"/>
  <c r="W1905" i="2"/>
  <c r="X1905" i="2" s="1"/>
  <c r="R1905" i="2"/>
  <c r="M1905" i="2" s="1"/>
  <c r="H1905" i="2"/>
  <c r="W1904" i="2"/>
  <c r="X1904" i="2" s="1"/>
  <c r="R1904" i="2"/>
  <c r="F1904" i="2"/>
  <c r="W1903" i="2"/>
  <c r="X1903" i="2" s="1"/>
  <c r="R1903" i="2"/>
  <c r="F1903" i="2"/>
  <c r="W1902" i="2"/>
  <c r="X1902" i="2" s="1"/>
  <c r="R1902" i="2"/>
  <c r="W1901" i="2"/>
  <c r="X1901" i="2" s="1"/>
  <c r="R1901" i="2"/>
  <c r="W1900" i="2"/>
  <c r="X1900" i="2" s="1"/>
  <c r="R1900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K679" i="2" s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28" i="2"/>
  <c r="X1928" i="2" s="1"/>
  <c r="T1928" i="2"/>
  <c r="R1928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K627" i="2" s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2" i="2" l="1"/>
  <c r="F1851" i="2"/>
  <c r="F170" i="6"/>
  <c r="W1800" i="2" l="1"/>
  <c r="X1800" i="2" s="1"/>
  <c r="T1800" i="2"/>
  <c r="R1800" i="2"/>
  <c r="W1430" i="2" l="1"/>
  <c r="X1430" i="2" s="1"/>
  <c r="R1430" i="2"/>
  <c r="F1430" i="2"/>
  <c r="F1255" i="2" l="1"/>
  <c r="W1709" i="2" l="1"/>
  <c r="X1709" i="2" s="1"/>
  <c r="T1709" i="2"/>
  <c r="R1709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0" i="2" l="1"/>
  <c r="X1630" i="2" s="1"/>
  <c r="T1630" i="2"/>
  <c r="R1630" i="2"/>
  <c r="W1919" i="2" l="1"/>
  <c r="X1919" i="2" s="1"/>
  <c r="T1919" i="2"/>
  <c r="R1919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19" i="2" l="1"/>
  <c r="X1819" i="2" s="1"/>
  <c r="T1819" i="2"/>
  <c r="R1819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5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6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799" i="2" l="1"/>
  <c r="X1799" i="2" s="1"/>
  <c r="T1799" i="2"/>
  <c r="R1799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0" i="2" l="1"/>
  <c r="X1620" i="2" s="1"/>
  <c r="T1620" i="2"/>
  <c r="R1620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4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2" i="2"/>
  <c r="R1016" i="2" l="1"/>
  <c r="W693" i="2" l="1"/>
  <c r="X693" i="2" s="1"/>
  <c r="T693" i="2"/>
  <c r="R693" i="2"/>
  <c r="W1797" i="2" l="1"/>
  <c r="X1797" i="2" s="1"/>
  <c r="T1797" i="2"/>
  <c r="R1797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29" i="2" l="1"/>
  <c r="X1729" i="2" s="1"/>
  <c r="T1729" i="2"/>
  <c r="R1729" i="2"/>
  <c r="T891" i="2" l="1"/>
  <c r="T893" i="2"/>
  <c r="T894" i="2"/>
  <c r="T895" i="2"/>
  <c r="T896" i="2"/>
  <c r="T897" i="2"/>
  <c r="T898" i="2"/>
  <c r="R899" i="2" l="1"/>
  <c r="R909" i="2"/>
  <c r="R927" i="2"/>
  <c r="F1685" i="2" l="1"/>
  <c r="W1730" i="2" l="1"/>
  <c r="X1730" i="2" s="1"/>
  <c r="T1730" i="2"/>
  <c r="R1730" i="2"/>
  <c r="F1100" i="2" l="1"/>
  <c r="T902" i="2" l="1"/>
  <c r="T903" i="2"/>
  <c r="T904" i="2"/>
  <c r="T901" i="2"/>
  <c r="W1927" i="2" l="1"/>
  <c r="X1927" i="2" s="1"/>
  <c r="T1927" i="2"/>
  <c r="R1927" i="2"/>
  <c r="T911" i="2" l="1"/>
  <c r="H1772" i="2"/>
  <c r="F891" i="2" l="1"/>
  <c r="F1791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0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7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6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1" i="2" l="1"/>
  <c r="X1621" i="2" s="1"/>
  <c r="T1621" i="2"/>
  <c r="R1621" i="2"/>
  <c r="W1929" i="2"/>
  <c r="X1929" i="2" s="1"/>
  <c r="T1929" i="2"/>
  <c r="R1929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8" i="2" l="1"/>
  <c r="X1708" i="2" s="1"/>
  <c r="T1708" i="2"/>
  <c r="R1708" i="2"/>
  <c r="W1619" i="2"/>
  <c r="X1619" i="2" s="1"/>
  <c r="T1619" i="2"/>
  <c r="R1619" i="2"/>
  <c r="F1211" i="2" l="1"/>
  <c r="F1210" i="2"/>
  <c r="W1726" i="2" l="1"/>
  <c r="X1726" i="2" s="1"/>
  <c r="T1726" i="2"/>
  <c r="R1726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3" i="2"/>
  <c r="X1723" i="2" s="1"/>
  <c r="T1723" i="2"/>
  <c r="R1723" i="2"/>
  <c r="X148" i="15" l="1"/>
  <c r="F142" i="6"/>
  <c r="F1860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2" i="2" l="1"/>
  <c r="X1622" i="2" s="1"/>
  <c r="T1622" i="2"/>
  <c r="R1622" i="2"/>
  <c r="F1622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2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0" i="2"/>
  <c r="X1710" i="2" s="1"/>
  <c r="T1710" i="2"/>
  <c r="R1710" i="2"/>
  <c r="W1707" i="2"/>
  <c r="X1707" i="2" s="1"/>
  <c r="T1707" i="2"/>
  <c r="R1707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K879" i="2" s="1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F123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4" i="2"/>
  <c r="X1954" i="2" s="1"/>
  <c r="H1954" i="2"/>
  <c r="W1935" i="2"/>
  <c r="X1935" i="2" s="1"/>
  <c r="M1935" i="2"/>
  <c r="H1935" i="2"/>
  <c r="W1934" i="2"/>
  <c r="X1934" i="2" s="1"/>
  <c r="T1934" i="2"/>
  <c r="R1934" i="2"/>
  <c r="F1934" i="2"/>
  <c r="W1933" i="2"/>
  <c r="X1933" i="2" s="1"/>
  <c r="T1933" i="2"/>
  <c r="R1933" i="2"/>
  <c r="F1933" i="2"/>
  <c r="W1932" i="2"/>
  <c r="X1932" i="2" s="1"/>
  <c r="T1932" i="2"/>
  <c r="R1932" i="2"/>
  <c r="W1931" i="2"/>
  <c r="X1931" i="2" s="1"/>
  <c r="R1931" i="2"/>
  <c r="M1931" i="2" s="1"/>
  <c r="H1931" i="2"/>
  <c r="W1930" i="2"/>
  <c r="X1930" i="2" s="1"/>
  <c r="T1930" i="2"/>
  <c r="R1930" i="2"/>
  <c r="F1930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1" i="2"/>
  <c r="X1921" i="2" s="1"/>
  <c r="T1921" i="2"/>
  <c r="R1921" i="2"/>
  <c r="W1920" i="2"/>
  <c r="X1920" i="2" s="1"/>
  <c r="T1920" i="2"/>
  <c r="R1920" i="2"/>
  <c r="W1918" i="2"/>
  <c r="X1918" i="2" s="1"/>
  <c r="T1918" i="2"/>
  <c r="R1918" i="2"/>
  <c r="W1917" i="2"/>
  <c r="X1917" i="2" s="1"/>
  <c r="R1917" i="2"/>
  <c r="M1917" i="2" s="1"/>
  <c r="H1917" i="2"/>
  <c r="W1916" i="2"/>
  <c r="X1916" i="2" s="1"/>
  <c r="T1916" i="2"/>
  <c r="R1916" i="2"/>
  <c r="F1916" i="2"/>
  <c r="W1915" i="2"/>
  <c r="X1915" i="2" s="1"/>
  <c r="T1915" i="2"/>
  <c r="R1915" i="2"/>
  <c r="F1915" i="2"/>
  <c r="W1914" i="2"/>
  <c r="X1914" i="2" s="1"/>
  <c r="T1914" i="2"/>
  <c r="R1914" i="2"/>
  <c r="W1913" i="2"/>
  <c r="X1913" i="2" s="1"/>
  <c r="T1913" i="2"/>
  <c r="R1913" i="2"/>
  <c r="W1912" i="2"/>
  <c r="X1912" i="2" s="1"/>
  <c r="T1912" i="2"/>
  <c r="R1912" i="2"/>
  <c r="W1911" i="2"/>
  <c r="X1911" i="2" s="1"/>
  <c r="R1911" i="2"/>
  <c r="M1911" i="2" s="1"/>
  <c r="H1911" i="2"/>
  <c r="W1910" i="2"/>
  <c r="X1910" i="2" s="1"/>
  <c r="R1910" i="2"/>
  <c r="F1910" i="2"/>
  <c r="W1909" i="2"/>
  <c r="X1909" i="2" s="1"/>
  <c r="R1909" i="2"/>
  <c r="F1909" i="2"/>
  <c r="W1899" i="2"/>
  <c r="R1899" i="2"/>
  <c r="M1899" i="2" s="1"/>
  <c r="H1899" i="2"/>
  <c r="W1898" i="2"/>
  <c r="X1898" i="2" s="1"/>
  <c r="T1898" i="2"/>
  <c r="R1898" i="2"/>
  <c r="F1898" i="2"/>
  <c r="W1897" i="2"/>
  <c r="X1897" i="2" s="1"/>
  <c r="T1897" i="2"/>
  <c r="R1897" i="2"/>
  <c r="W1884" i="2"/>
  <c r="X1884" i="2" s="1"/>
  <c r="T1884" i="2"/>
  <c r="R1884" i="2"/>
  <c r="W1883" i="2"/>
  <c r="X1883" i="2" s="1"/>
  <c r="T1883" i="2"/>
  <c r="R1883" i="2"/>
  <c r="W1882" i="2"/>
  <c r="X1882" i="2" s="1"/>
  <c r="T1882" i="2"/>
  <c r="K1882" i="2" s="1"/>
  <c r="R1882" i="2"/>
  <c r="W1881" i="2"/>
  <c r="R1881" i="2"/>
  <c r="M1881" i="2" s="1"/>
  <c r="H1881" i="2"/>
  <c r="W1880" i="2"/>
  <c r="X1880" i="2" s="1"/>
  <c r="T1880" i="2"/>
  <c r="R1880" i="2"/>
  <c r="F1880" i="2"/>
  <c r="W1879" i="2"/>
  <c r="X1879" i="2" s="1"/>
  <c r="T1879" i="2"/>
  <c r="R1879" i="2"/>
  <c r="F1879" i="2"/>
  <c r="W1878" i="2"/>
  <c r="X1878" i="2" s="1"/>
  <c r="T1878" i="2"/>
  <c r="R1878" i="2"/>
  <c r="W1877" i="2"/>
  <c r="X1877" i="2" s="1"/>
  <c r="T1877" i="2"/>
  <c r="R1877" i="2"/>
  <c r="W1876" i="2"/>
  <c r="X1876" i="2" s="1"/>
  <c r="T1876" i="2"/>
  <c r="R1876" i="2"/>
  <c r="W1875" i="2"/>
  <c r="X1875" i="2" s="1"/>
  <c r="R1875" i="2"/>
  <c r="M1875" i="2" s="1"/>
  <c r="H1875" i="2"/>
  <c r="W1874" i="2"/>
  <c r="X1874" i="2" s="1"/>
  <c r="T1874" i="2"/>
  <c r="R1874" i="2"/>
  <c r="F1874" i="2"/>
  <c r="W1873" i="2"/>
  <c r="X1873" i="2" s="1"/>
  <c r="T1873" i="2"/>
  <c r="R1873" i="2"/>
  <c r="F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K1870" i="2" s="1"/>
  <c r="R1870" i="2"/>
  <c r="W1869" i="2"/>
  <c r="X1869" i="2" s="1"/>
  <c r="T1869" i="2"/>
  <c r="K1869" i="2" s="1"/>
  <c r="R1869" i="2"/>
  <c r="W1868" i="2"/>
  <c r="X1868" i="2" s="1"/>
  <c r="T1868" i="2"/>
  <c r="R1868" i="2"/>
  <c r="W1867" i="2"/>
  <c r="R1867" i="2"/>
  <c r="M1867" i="2" s="1"/>
  <c r="H1867" i="2"/>
  <c r="W1866" i="2"/>
  <c r="X1866" i="2" s="1"/>
  <c r="T1866" i="2"/>
  <c r="R1866" i="2"/>
  <c r="F1866" i="2"/>
  <c r="W1865" i="2"/>
  <c r="X1865" i="2" s="1"/>
  <c r="T1865" i="2"/>
  <c r="R1865" i="2"/>
  <c r="F1865" i="2"/>
  <c r="W1864" i="2"/>
  <c r="X1864" i="2" s="1"/>
  <c r="T1864" i="2"/>
  <c r="R1864" i="2"/>
  <c r="F1864" i="2"/>
  <c r="W1863" i="2"/>
  <c r="X1863" i="2" s="1"/>
  <c r="T1863" i="2"/>
  <c r="R1863" i="2"/>
  <c r="W1862" i="2"/>
  <c r="X1862" i="2" s="1"/>
  <c r="T1862" i="2"/>
  <c r="R1862" i="2"/>
  <c r="W1861" i="2"/>
  <c r="X1861" i="2" s="1"/>
  <c r="T1861" i="2"/>
  <c r="R1861" i="2"/>
  <c r="W1860" i="2"/>
  <c r="X1860" i="2" s="1"/>
  <c r="T1860" i="2"/>
  <c r="R1860" i="2"/>
  <c r="W1859" i="2"/>
  <c r="R1859" i="2"/>
  <c r="M1859" i="2" s="1"/>
  <c r="H1859" i="2"/>
  <c r="W1858" i="2"/>
  <c r="X1858" i="2" s="1"/>
  <c r="T1858" i="2"/>
  <c r="R1858" i="2"/>
  <c r="F1858" i="2"/>
  <c r="W1857" i="2"/>
  <c r="X1857" i="2" s="1"/>
  <c r="T1857" i="2"/>
  <c r="R1857" i="2"/>
  <c r="F1857" i="2"/>
  <c r="W1856" i="2"/>
  <c r="X1856" i="2" s="1"/>
  <c r="T1856" i="2"/>
  <c r="R1856" i="2"/>
  <c r="F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T1852" i="2"/>
  <c r="R1852" i="2"/>
  <c r="W1851" i="2"/>
  <c r="X1851" i="2" s="1"/>
  <c r="T1851" i="2"/>
  <c r="R1851" i="2"/>
  <c r="W1850" i="2"/>
  <c r="X1850" i="2" s="1"/>
  <c r="R1850" i="2"/>
  <c r="M1850" i="2" s="1"/>
  <c r="H1850" i="2"/>
  <c r="W1849" i="2"/>
  <c r="X1849" i="2" s="1"/>
  <c r="T1849" i="2"/>
  <c r="R1849" i="2"/>
  <c r="F1849" i="2"/>
  <c r="W1847" i="2"/>
  <c r="X1847" i="2" s="1"/>
  <c r="T1847" i="2"/>
  <c r="R1847" i="2"/>
  <c r="W1846" i="2"/>
  <c r="X1846" i="2" s="1"/>
  <c r="T1846" i="2"/>
  <c r="R1846" i="2"/>
  <c r="W1845" i="2"/>
  <c r="X1845" i="2" s="1"/>
  <c r="T1845" i="2"/>
  <c r="R1845" i="2"/>
  <c r="W1844" i="2"/>
  <c r="X1844" i="2" s="1"/>
  <c r="R1844" i="2"/>
  <c r="M1844" i="2" s="1"/>
  <c r="H1844" i="2"/>
  <c r="W1843" i="2"/>
  <c r="X1843" i="2" s="1"/>
  <c r="T1843" i="2"/>
  <c r="R1843" i="2"/>
  <c r="F1843" i="2"/>
  <c r="W1842" i="2"/>
  <c r="X1842" i="2" s="1"/>
  <c r="T1842" i="2"/>
  <c r="R1842" i="2"/>
  <c r="F1842" i="2"/>
  <c r="W1841" i="2"/>
  <c r="X1841" i="2" s="1"/>
  <c r="T1841" i="2"/>
  <c r="R1841" i="2"/>
  <c r="W1840" i="2"/>
  <c r="X1840" i="2" s="1"/>
  <c r="T1840" i="2"/>
  <c r="R1840" i="2"/>
  <c r="W1839" i="2"/>
  <c r="R1839" i="2"/>
  <c r="M1839" i="2" s="1"/>
  <c r="H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F1836" i="2"/>
  <c r="W1835" i="2"/>
  <c r="X1835" i="2" s="1"/>
  <c r="T1835" i="2"/>
  <c r="R1835" i="2"/>
  <c r="F1835" i="2"/>
  <c r="W1834" i="2"/>
  <c r="X1834" i="2" s="1"/>
  <c r="T1834" i="2"/>
  <c r="R1834" i="2"/>
  <c r="W1833" i="2"/>
  <c r="X1833" i="2" s="1"/>
  <c r="T1833" i="2"/>
  <c r="R1833" i="2"/>
  <c r="W1832" i="2"/>
  <c r="X1832" i="2" s="1"/>
  <c r="T1832" i="2"/>
  <c r="R1832" i="2"/>
  <c r="W1831" i="2"/>
  <c r="X1831" i="2" s="1"/>
  <c r="R1831" i="2"/>
  <c r="J1831" i="2"/>
  <c r="I1831" i="2"/>
  <c r="H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X1823" i="2" s="1"/>
  <c r="R1823" i="2"/>
  <c r="F1823" i="2"/>
  <c r="W1822" i="2"/>
  <c r="R1822" i="2"/>
  <c r="M1822" i="2" s="1"/>
  <c r="H1822" i="2"/>
  <c r="W1821" i="2"/>
  <c r="X1821" i="2" s="1"/>
  <c r="T1821" i="2"/>
  <c r="R1821" i="2"/>
  <c r="F1821" i="2"/>
  <c r="W1820" i="2"/>
  <c r="X1820" i="2" s="1"/>
  <c r="T1820" i="2"/>
  <c r="R1820" i="2"/>
  <c r="F1820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T1815" i="2"/>
  <c r="R1815" i="2"/>
  <c r="W1814" i="2"/>
  <c r="X1814" i="2" s="1"/>
  <c r="T1814" i="2"/>
  <c r="R1814" i="2"/>
  <c r="W1813" i="2"/>
  <c r="X1813" i="2" s="1"/>
  <c r="R1813" i="2"/>
  <c r="J1813" i="2"/>
  <c r="I1813" i="2"/>
  <c r="H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X1804" i="2" s="1"/>
  <c r="R1804" i="2"/>
  <c r="F1804" i="2"/>
  <c r="W1803" i="2"/>
  <c r="R1803" i="2"/>
  <c r="M1803" i="2" s="1"/>
  <c r="H1803" i="2"/>
  <c r="W1802" i="2"/>
  <c r="X1802" i="2" s="1"/>
  <c r="T1802" i="2"/>
  <c r="R1802" i="2"/>
  <c r="F1802" i="2"/>
  <c r="W1801" i="2"/>
  <c r="X1801" i="2" s="1"/>
  <c r="T1801" i="2"/>
  <c r="R1801" i="2"/>
  <c r="F1801" i="2"/>
  <c r="W1798" i="2"/>
  <c r="X1798" i="2" s="1"/>
  <c r="T1798" i="2"/>
  <c r="R1798" i="2"/>
  <c r="W1796" i="2"/>
  <c r="X1796" i="2" s="1"/>
  <c r="T1796" i="2"/>
  <c r="R1796" i="2"/>
  <c r="W1795" i="2"/>
  <c r="X1795" i="2" s="1"/>
  <c r="T1795" i="2"/>
  <c r="R1795" i="2"/>
  <c r="W1794" i="2"/>
  <c r="X1794" i="2" s="1"/>
  <c r="T1794" i="2"/>
  <c r="R1794" i="2"/>
  <c r="W1793" i="2"/>
  <c r="X1793" i="2" s="1"/>
  <c r="R1793" i="2"/>
  <c r="M1793" i="2" s="1"/>
  <c r="H1793" i="2"/>
  <c r="W1792" i="2"/>
  <c r="X1792" i="2" s="1"/>
  <c r="T1792" i="2"/>
  <c r="R1792" i="2"/>
  <c r="F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X1788" i="2" s="1"/>
  <c r="T1788" i="2"/>
  <c r="R1788" i="2"/>
  <c r="W1787" i="2"/>
  <c r="X1787" i="2" s="1"/>
  <c r="T1787" i="2"/>
  <c r="R1787" i="2"/>
  <c r="W1786" i="2"/>
  <c r="R1786" i="2"/>
  <c r="M1786" i="2" s="1"/>
  <c r="H1786" i="2"/>
  <c r="W1785" i="2"/>
  <c r="X1785" i="2" s="1"/>
  <c r="T1785" i="2"/>
  <c r="R1785" i="2"/>
  <c r="F1785" i="2"/>
  <c r="W1784" i="2"/>
  <c r="X1784" i="2" s="1"/>
  <c r="T1784" i="2"/>
  <c r="R1784" i="2"/>
  <c r="F1784" i="2"/>
  <c r="W1783" i="2"/>
  <c r="X1783" i="2" s="1"/>
  <c r="T1783" i="2"/>
  <c r="R1783" i="2"/>
  <c r="W1782" i="2"/>
  <c r="X1782" i="2" s="1"/>
  <c r="T1782" i="2"/>
  <c r="R1782" i="2"/>
  <c r="W1781" i="2"/>
  <c r="X1781" i="2" s="1"/>
  <c r="T1781" i="2"/>
  <c r="R1781" i="2"/>
  <c r="W1780" i="2"/>
  <c r="X1780" i="2" s="1"/>
  <c r="T1780" i="2"/>
  <c r="R1780" i="2"/>
  <c r="W1779" i="2"/>
  <c r="X1779" i="2" s="1"/>
  <c r="R1779" i="2"/>
  <c r="J1779" i="2"/>
  <c r="I1779" i="2"/>
  <c r="H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F1774" i="2"/>
  <c r="W1773" i="2"/>
  <c r="X1773" i="2" s="1"/>
  <c r="R1773" i="2"/>
  <c r="F1773" i="2"/>
  <c r="W1772" i="2"/>
  <c r="X1772" i="2" s="1"/>
  <c r="R1772" i="2"/>
  <c r="M1772" i="2" s="1"/>
  <c r="W1771" i="2"/>
  <c r="X1771" i="2" s="1"/>
  <c r="T1771" i="2"/>
  <c r="R1771" i="2"/>
  <c r="F1771" i="2"/>
  <c r="W1770" i="2"/>
  <c r="X1770" i="2" s="1"/>
  <c r="T1770" i="2"/>
  <c r="R1770" i="2"/>
  <c r="F1770" i="2"/>
  <c r="W1769" i="2"/>
  <c r="X1769" i="2" s="1"/>
  <c r="T1769" i="2"/>
  <c r="R1769" i="2"/>
  <c r="W1768" i="2"/>
  <c r="X1768" i="2" s="1"/>
  <c r="T1768" i="2"/>
  <c r="R1768" i="2"/>
  <c r="W1767" i="2"/>
  <c r="X1767" i="2" s="1"/>
  <c r="T1767" i="2"/>
  <c r="R1767" i="2"/>
  <c r="W1766" i="2"/>
  <c r="X1766" i="2" s="1"/>
  <c r="T1766" i="2"/>
  <c r="R1766" i="2"/>
  <c r="W1765" i="2"/>
  <c r="X1765" i="2" s="1"/>
  <c r="R1765" i="2"/>
  <c r="M1765" i="2" s="1"/>
  <c r="H1765" i="2"/>
  <c r="W1764" i="2"/>
  <c r="X1764" i="2" s="1"/>
  <c r="T1764" i="2"/>
  <c r="R1764" i="2"/>
  <c r="F1764" i="2"/>
  <c r="W1763" i="2"/>
  <c r="X1763" i="2" s="1"/>
  <c r="T1763" i="2"/>
  <c r="R1763" i="2"/>
  <c r="F1763" i="2"/>
  <c r="W1762" i="2"/>
  <c r="X1762" i="2" s="1"/>
  <c r="T1762" i="2"/>
  <c r="R1762" i="2"/>
  <c r="F1762" i="2"/>
  <c r="W1761" i="2"/>
  <c r="X1761" i="2" s="1"/>
  <c r="T1761" i="2"/>
  <c r="R1761" i="2"/>
  <c r="W1760" i="2"/>
  <c r="X1760" i="2" s="1"/>
  <c r="T1760" i="2"/>
  <c r="R1760" i="2"/>
  <c r="W1759" i="2"/>
  <c r="X1759" i="2" s="1"/>
  <c r="R1759" i="2"/>
  <c r="J1759" i="2"/>
  <c r="I1759" i="2"/>
  <c r="H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F1750" i="2"/>
  <c r="W1749" i="2"/>
  <c r="X1749" i="2" s="1"/>
  <c r="R1749" i="2"/>
  <c r="J1749" i="2"/>
  <c r="I1749" i="2"/>
  <c r="H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F1741" i="2"/>
  <c r="W1740" i="2"/>
  <c r="X1740" i="2" s="1"/>
  <c r="R1740" i="2"/>
  <c r="K1740" i="2"/>
  <c r="J1740" i="2"/>
  <c r="I1740" i="2"/>
  <c r="H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F1735" i="2"/>
  <c r="W1734" i="2"/>
  <c r="X1734" i="2" s="1"/>
  <c r="R1734" i="2"/>
  <c r="F1734" i="2"/>
  <c r="W1733" i="2"/>
  <c r="X1733" i="2" s="1"/>
  <c r="R1733" i="2"/>
  <c r="M1733" i="2" s="1"/>
  <c r="H1733" i="2"/>
  <c r="W1732" i="2"/>
  <c r="X1732" i="2" s="1"/>
  <c r="T1732" i="2"/>
  <c r="R1732" i="2"/>
  <c r="F1732" i="2"/>
  <c r="W1731" i="2"/>
  <c r="X1731" i="2" s="1"/>
  <c r="T1731" i="2"/>
  <c r="R1731" i="2"/>
  <c r="W1728" i="2"/>
  <c r="X1728" i="2" s="1"/>
  <c r="T1728" i="2"/>
  <c r="R1728" i="2"/>
  <c r="W1727" i="2"/>
  <c r="X1727" i="2" s="1"/>
  <c r="T1727" i="2"/>
  <c r="R1727" i="2"/>
  <c r="W1725" i="2"/>
  <c r="X1725" i="2" s="1"/>
  <c r="T1725" i="2"/>
  <c r="R1725" i="2"/>
  <c r="W1724" i="2"/>
  <c r="X1724" i="2" s="1"/>
  <c r="T1724" i="2"/>
  <c r="R1724" i="2"/>
  <c r="W1722" i="2"/>
  <c r="X1722" i="2" s="1"/>
  <c r="T1722" i="2"/>
  <c r="R1722" i="2"/>
  <c r="W1721" i="2"/>
  <c r="X1721" i="2" s="1"/>
  <c r="R1721" i="2"/>
  <c r="J1721" i="2"/>
  <c r="I1721" i="2"/>
  <c r="H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X1713" i="2" s="1"/>
  <c r="R1713" i="2"/>
  <c r="F1713" i="2"/>
  <c r="W1712" i="2"/>
  <c r="R1712" i="2"/>
  <c r="M1712" i="2" s="1"/>
  <c r="H1712" i="2"/>
  <c r="W1711" i="2"/>
  <c r="X1711" i="2" s="1"/>
  <c r="T1711" i="2"/>
  <c r="R1711" i="2"/>
  <c r="F1711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T1702" i="2"/>
  <c r="R1702" i="2"/>
  <c r="W1701" i="2"/>
  <c r="X1701" i="2" s="1"/>
  <c r="T1701" i="2"/>
  <c r="R1701" i="2"/>
  <c r="W1700" i="2"/>
  <c r="X1700" i="2" s="1"/>
  <c r="R1700" i="2"/>
  <c r="J1700" i="2"/>
  <c r="I1700" i="2"/>
  <c r="H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X1691" i="2" s="1"/>
  <c r="R1691" i="2"/>
  <c r="F1691" i="2"/>
  <c r="W1690" i="2"/>
  <c r="R1690" i="2"/>
  <c r="M1690" i="2" s="1"/>
  <c r="H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F1687" i="2"/>
  <c r="W1686" i="2"/>
  <c r="X1686" i="2" s="1"/>
  <c r="T1686" i="2"/>
  <c r="R1686" i="2"/>
  <c r="F1686" i="2"/>
  <c r="W1685" i="2"/>
  <c r="X1685" i="2" s="1"/>
  <c r="T1685" i="2"/>
  <c r="R1685" i="2"/>
  <c r="W1684" i="2"/>
  <c r="X1684" i="2" s="1"/>
  <c r="T1684" i="2"/>
  <c r="R1684" i="2"/>
  <c r="W1683" i="2"/>
  <c r="X1683" i="2" s="1"/>
  <c r="T1683" i="2"/>
  <c r="R1683" i="2"/>
  <c r="W1682" i="2"/>
  <c r="X1682" i="2" s="1"/>
  <c r="T1682" i="2"/>
  <c r="R1682" i="2"/>
  <c r="W1681" i="2"/>
  <c r="X1681" i="2" s="1"/>
  <c r="R1681" i="2"/>
  <c r="M1681" i="2" s="1"/>
  <c r="H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T1674" i="2"/>
  <c r="R1674" i="2"/>
  <c r="F1674" i="2"/>
  <c r="W1673" i="2"/>
  <c r="X1673" i="2" s="1"/>
  <c r="R1673" i="2"/>
  <c r="M1673" i="2" s="1"/>
  <c r="H1673" i="2"/>
  <c r="W1672" i="2"/>
  <c r="X1672" i="2" s="1"/>
  <c r="T1672" i="2"/>
  <c r="R1672" i="2"/>
  <c r="F1672" i="2"/>
  <c r="W1671" i="2"/>
  <c r="X1671" i="2" s="1"/>
  <c r="T1671" i="2"/>
  <c r="R1671" i="2"/>
  <c r="F1671" i="2"/>
  <c r="W1670" i="2"/>
  <c r="X1670" i="2" s="1"/>
  <c r="T1670" i="2"/>
  <c r="R1670" i="2"/>
  <c r="W1669" i="2"/>
  <c r="X1669" i="2" s="1"/>
  <c r="T1669" i="2"/>
  <c r="R1669" i="2"/>
  <c r="W1668" i="2"/>
  <c r="X1668" i="2" s="1"/>
  <c r="T1668" i="2"/>
  <c r="R1668" i="2"/>
  <c r="W1667" i="2"/>
  <c r="X1667" i="2" s="1"/>
  <c r="T1667" i="2"/>
  <c r="R1667" i="2"/>
  <c r="F1667" i="2"/>
  <c r="W1666" i="2"/>
  <c r="X1666" i="2" s="1"/>
  <c r="T1666" i="2"/>
  <c r="R1666" i="2"/>
  <c r="W1665" i="2"/>
  <c r="X1665" i="2" s="1"/>
  <c r="R1665" i="2"/>
  <c r="M1665" i="2" s="1"/>
  <c r="H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F1662" i="2"/>
  <c r="W1661" i="2"/>
  <c r="X1661" i="2" s="1"/>
  <c r="T1661" i="2"/>
  <c r="R1661" i="2"/>
  <c r="F1661" i="2"/>
  <c r="W1660" i="2"/>
  <c r="X1660" i="2" s="1"/>
  <c r="T1660" i="2"/>
  <c r="R1660" i="2"/>
  <c r="W1659" i="2"/>
  <c r="X1659" i="2" s="1"/>
  <c r="T1659" i="2"/>
  <c r="R1659" i="2"/>
  <c r="W1658" i="2"/>
  <c r="X1658" i="2" s="1"/>
  <c r="T1658" i="2"/>
  <c r="R1658" i="2"/>
  <c r="W1657" i="2"/>
  <c r="X1657" i="2" s="1"/>
  <c r="R1657" i="2"/>
  <c r="J1657" i="2"/>
  <c r="I1657" i="2"/>
  <c r="H1657" i="2"/>
  <c r="W1656" i="2"/>
  <c r="X1656" i="2" s="1"/>
  <c r="R1656" i="2"/>
  <c r="F1656" i="2"/>
  <c r="W1655" i="2"/>
  <c r="X1655" i="2" s="1"/>
  <c r="R1655" i="2"/>
  <c r="F1655" i="2"/>
  <c r="W1654" i="2"/>
  <c r="X1654" i="2" s="1"/>
  <c r="R1654" i="2"/>
  <c r="M1654" i="2" s="1"/>
  <c r="H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T1647" i="2"/>
  <c r="R1647" i="2"/>
  <c r="F1647" i="2"/>
  <c r="W1646" i="2"/>
  <c r="X1646" i="2" s="1"/>
  <c r="R1646" i="2"/>
  <c r="J1646" i="2"/>
  <c r="I1646" i="2"/>
  <c r="H1646" i="2"/>
  <c r="W1645" i="2"/>
  <c r="X1645" i="2" s="1"/>
  <c r="R1645" i="2"/>
  <c r="F1645" i="2"/>
  <c r="W1644" i="2"/>
  <c r="X1644" i="2" s="1"/>
  <c r="R1644" i="2"/>
  <c r="F1644" i="2"/>
  <c r="W1643" i="2"/>
  <c r="X1643" i="2" s="1"/>
  <c r="R1643" i="2"/>
  <c r="F1643" i="2"/>
  <c r="W1642" i="2"/>
  <c r="X1642" i="2" s="1"/>
  <c r="R1642" i="2"/>
  <c r="J1642" i="2"/>
  <c r="I1642" i="2"/>
  <c r="H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F1637" i="2"/>
  <c r="W1636" i="2"/>
  <c r="X1636" i="2" s="1"/>
  <c r="R1636" i="2"/>
  <c r="F1636" i="2"/>
  <c r="W1635" i="2"/>
  <c r="X1635" i="2" s="1"/>
  <c r="R1635" i="2"/>
  <c r="M1635" i="2" s="1"/>
  <c r="H1635" i="2"/>
  <c r="W1634" i="2"/>
  <c r="X1634" i="2" s="1"/>
  <c r="T1634" i="2"/>
  <c r="R1634" i="2"/>
  <c r="F1634" i="2"/>
  <c r="W1633" i="2"/>
  <c r="X1633" i="2" s="1"/>
  <c r="T1633" i="2"/>
  <c r="R1633" i="2"/>
  <c r="F1633" i="2"/>
  <c r="W1632" i="2"/>
  <c r="X1632" i="2" s="1"/>
  <c r="T1632" i="2"/>
  <c r="R1632" i="2"/>
  <c r="W1631" i="2"/>
  <c r="X1631" i="2" s="1"/>
  <c r="T1631" i="2"/>
  <c r="R1631" i="2"/>
  <c r="W1629" i="2"/>
  <c r="X1629" i="2" s="1"/>
  <c r="T1629" i="2"/>
  <c r="R1629" i="2"/>
  <c r="W1628" i="2"/>
  <c r="X1628" i="2" s="1"/>
  <c r="T1628" i="2"/>
  <c r="R1628" i="2"/>
  <c r="W1627" i="2"/>
  <c r="X1627" i="2" s="1"/>
  <c r="R1627" i="2"/>
  <c r="J1627" i="2"/>
  <c r="I1627" i="2"/>
  <c r="H1627" i="2"/>
  <c r="W1626" i="2"/>
  <c r="X1626" i="2" s="1"/>
  <c r="R1626" i="2"/>
  <c r="F1626" i="2"/>
  <c r="W1625" i="2"/>
  <c r="X1625" i="2" s="1"/>
  <c r="R1625" i="2"/>
  <c r="F1625" i="2"/>
  <c r="W1624" i="2"/>
  <c r="R1624" i="2"/>
  <c r="M1624" i="2" s="1"/>
  <c r="H1624" i="2"/>
  <c r="W1623" i="2"/>
  <c r="X1623" i="2" s="1"/>
  <c r="T1623" i="2"/>
  <c r="R1623" i="2"/>
  <c r="F1623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T1614" i="2"/>
  <c r="R1614" i="2"/>
  <c r="W1613" i="2"/>
  <c r="X1613" i="2" s="1"/>
  <c r="T1613" i="2"/>
  <c r="R1613" i="2"/>
  <c r="W1612" i="2"/>
  <c r="X1612" i="2" s="1"/>
  <c r="R1612" i="2"/>
  <c r="J1612" i="2"/>
  <c r="I1612" i="2"/>
  <c r="H1612" i="2"/>
  <c r="W1611" i="2"/>
  <c r="X1611" i="2" s="1"/>
  <c r="R1611" i="2"/>
  <c r="F1611" i="2"/>
  <c r="W1610" i="2"/>
  <c r="X1610" i="2" s="1"/>
  <c r="R1610" i="2"/>
  <c r="F1610" i="2"/>
  <c r="W1609" i="2"/>
  <c r="X1609" i="2" s="1"/>
  <c r="R1609" i="2"/>
  <c r="J1609" i="2"/>
  <c r="I1609" i="2"/>
  <c r="H1609" i="2"/>
  <c r="W1608" i="2"/>
  <c r="X1608" i="2" s="1"/>
  <c r="R1608" i="2"/>
  <c r="F1608" i="2"/>
  <c r="W1607" i="2"/>
  <c r="X1607" i="2" s="1"/>
  <c r="R1607" i="2"/>
  <c r="F1607" i="2"/>
  <c r="W1606" i="2"/>
  <c r="R1606" i="2"/>
  <c r="M1606" i="2" s="1"/>
  <c r="H1606" i="2"/>
  <c r="W1605" i="2"/>
  <c r="X1605" i="2" s="1"/>
  <c r="T1605" i="2"/>
  <c r="R1605" i="2"/>
  <c r="F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R1602" i="2"/>
  <c r="W1601" i="2"/>
  <c r="X1601" i="2" s="1"/>
  <c r="T1601" i="2"/>
  <c r="R1601" i="2"/>
  <c r="W1600" i="2"/>
  <c r="X1600" i="2" s="1"/>
  <c r="T1600" i="2"/>
  <c r="W1599" i="2"/>
  <c r="X1599" i="2" s="1"/>
  <c r="T1599" i="2"/>
  <c r="R1599" i="2"/>
  <c r="W1598" i="2"/>
  <c r="W1597" i="2"/>
  <c r="X1597" i="2" s="1"/>
  <c r="R1597" i="2"/>
  <c r="M1597" i="2" s="1"/>
  <c r="H1597" i="2"/>
  <c r="H1598" i="2" s="1"/>
  <c r="W1596" i="2"/>
  <c r="X1596" i="2" s="1"/>
  <c r="T1596" i="2"/>
  <c r="R1596" i="2"/>
  <c r="F1596" i="2"/>
  <c r="W1595" i="2"/>
  <c r="X1595" i="2" s="1"/>
  <c r="T1595" i="2"/>
  <c r="R1595" i="2"/>
  <c r="F1595" i="2"/>
  <c r="W1594" i="2"/>
  <c r="X1594" i="2" s="1"/>
  <c r="T1594" i="2"/>
  <c r="R1594" i="2"/>
  <c r="F1594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K880" i="2" s="1"/>
  <c r="R880" i="2"/>
  <c r="W878" i="2"/>
  <c r="X878" i="2" s="1"/>
  <c r="T878" i="2"/>
  <c r="K878" i="2" s="1"/>
  <c r="R878" i="2"/>
  <c r="W877" i="2"/>
  <c r="X877" i="2" s="1"/>
  <c r="T877" i="2"/>
  <c r="K877" i="2" s="1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K681" i="2" s="1"/>
  <c r="W680" i="2"/>
  <c r="X680" i="2" s="1"/>
  <c r="T680" i="2"/>
  <c r="K680" i="2" s="1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302" i="2" l="1"/>
  <c r="L302" i="2" s="1"/>
  <c r="K301" i="2"/>
  <c r="L301" i="2" s="1"/>
  <c r="K304" i="2"/>
  <c r="L304" i="2" s="1"/>
  <c r="K303" i="2"/>
  <c r="K1216" i="2"/>
  <c r="K1217" i="2"/>
  <c r="K670" i="2"/>
  <c r="K671" i="2"/>
  <c r="K976" i="2"/>
  <c r="K779" i="2"/>
  <c r="K778" i="2"/>
  <c r="K672" i="2"/>
  <c r="K628" i="2"/>
  <c r="K651" i="2"/>
  <c r="K997" i="2"/>
  <c r="L475" i="2"/>
  <c r="K565" i="2"/>
  <c r="K905" i="2"/>
  <c r="K449" i="2"/>
  <c r="K450" i="2"/>
  <c r="K904" i="2"/>
  <c r="L904" i="2" s="1"/>
  <c r="K903" i="2"/>
  <c r="L903" i="2" s="1"/>
  <c r="K629" i="2"/>
  <c r="K566" i="2"/>
  <c r="L566" i="2" s="1"/>
  <c r="K652" i="2"/>
  <c r="K480" i="2"/>
  <c r="L480" i="2" s="1"/>
  <c r="L479" i="2"/>
  <c r="L478" i="2"/>
  <c r="L476" i="2"/>
  <c r="K572" i="2"/>
  <c r="K1204" i="2"/>
  <c r="L1204" i="2" s="1"/>
  <c r="O224" i="2"/>
  <c r="K1203" i="2"/>
  <c r="L1203" i="2" s="1"/>
  <c r="K288" i="2"/>
  <c r="K1094" i="2"/>
  <c r="L681" i="2"/>
  <c r="K872" i="2"/>
  <c r="L872" i="2" s="1"/>
  <c r="K989" i="2"/>
  <c r="K424" i="2"/>
  <c r="L499" i="2"/>
  <c r="K425" i="2"/>
  <c r="K1549" i="2"/>
  <c r="L1549" i="2" s="1"/>
  <c r="K1548" i="2"/>
  <c r="K498" i="2"/>
  <c r="L498" i="2" s="1"/>
  <c r="K759" i="2"/>
  <c r="K1780" i="2"/>
  <c r="K1629" i="2"/>
  <c r="L1629" i="2" s="1"/>
  <c r="K1781" i="2"/>
  <c r="L87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196" i="2"/>
  <c r="K1920" i="2"/>
  <c r="K1356" i="2"/>
  <c r="L1356" i="2" s="1"/>
  <c r="K1921" i="2"/>
  <c r="K1918" i="2"/>
  <c r="K1355" i="2"/>
  <c r="K1313" i="2"/>
  <c r="K1312" i="2"/>
  <c r="L1312" i="2" s="1"/>
  <c r="K1311" i="2"/>
  <c r="L1311" i="2" s="1"/>
  <c r="K1310" i="2"/>
  <c r="K1286" i="2"/>
  <c r="K1287" i="2"/>
  <c r="K1919" i="2"/>
  <c r="K804" i="2"/>
  <c r="K468" i="2"/>
  <c r="K466" i="2"/>
  <c r="K467" i="2"/>
  <c r="K469" i="2"/>
  <c r="K722" i="2"/>
  <c r="K1508" i="2"/>
  <c r="L1508" i="2" s="1"/>
  <c r="K1560" i="2"/>
  <c r="L1560" i="2" s="1"/>
  <c r="K1555" i="2"/>
  <c r="L1555" i="2" s="1"/>
  <c r="K1535" i="2"/>
  <c r="L1535" i="2" s="1"/>
  <c r="K1883" i="2"/>
  <c r="K1862" i="2"/>
  <c r="L1862" i="2" s="1"/>
  <c r="K1559" i="2"/>
  <c r="K1424" i="2"/>
  <c r="L1424" i="2" s="1"/>
  <c r="K1922" i="2"/>
  <c r="L1922" i="2" s="1"/>
  <c r="K1615" i="2"/>
  <c r="K1614" i="2"/>
  <c r="K1613" i="2"/>
  <c r="K937" i="2"/>
  <c r="L937" i="2" s="1"/>
  <c r="K936" i="2"/>
  <c r="L682" i="2"/>
  <c r="K1052" i="2"/>
  <c r="L670" i="2"/>
  <c r="L1870" i="2"/>
  <c r="L1869" i="2"/>
  <c r="K1198" i="2"/>
  <c r="K1502" i="2"/>
  <c r="L1502" i="2" s="1"/>
  <c r="K1501" i="2"/>
  <c r="K1205" i="2"/>
  <c r="K653" i="2"/>
  <c r="K1944" i="2"/>
  <c r="K1943" i="2"/>
  <c r="K1945" i="2"/>
  <c r="K1942" i="2"/>
  <c r="H1955" i="2"/>
  <c r="K1524" i="2"/>
  <c r="L1524" i="2" s="1"/>
  <c r="K1523" i="2"/>
  <c r="K1513" i="2"/>
  <c r="L1513" i="2" s="1"/>
  <c r="K1534" i="2"/>
  <c r="L1534" i="2" s="1"/>
  <c r="Y781" i="2"/>
  <c r="Z781" i="2" s="1"/>
  <c r="K1543" i="2"/>
  <c r="K1795" i="2"/>
  <c r="K1796" i="2"/>
  <c r="K1794" i="2"/>
  <c r="K1507" i="2"/>
  <c r="L1507" i="2" s="1"/>
  <c r="K360" i="2"/>
  <c r="K693" i="2"/>
  <c r="L693" i="2" s="1"/>
  <c r="K947" i="2"/>
  <c r="K1946" i="2"/>
  <c r="K1941" i="2"/>
  <c r="K1940" i="2"/>
  <c r="K1232" i="2"/>
  <c r="L1232" i="2" s="1"/>
  <c r="K1141" i="2"/>
  <c r="L1141" i="2" s="1"/>
  <c r="K1140" i="2"/>
  <c r="K1577" i="2"/>
  <c r="K458" i="2"/>
  <c r="K1525" i="2"/>
  <c r="L1525" i="2" s="1"/>
  <c r="K1948" i="2"/>
  <c r="K1947" i="2"/>
  <c r="K767" i="2"/>
  <c r="K1616" i="2"/>
  <c r="L1616" i="2" s="1"/>
  <c r="K1506" i="2"/>
  <c r="K1491" i="2"/>
  <c r="K654" i="2"/>
  <c r="K1724" i="2"/>
  <c r="L1724" i="2" s="1"/>
  <c r="K1727" i="2"/>
  <c r="L1727" i="2" s="1"/>
  <c r="K1725" i="2"/>
  <c r="L1725" i="2" s="1"/>
  <c r="K1728" i="2"/>
  <c r="L1728" i="2" s="1"/>
  <c r="K1726" i="2"/>
  <c r="K1723" i="2"/>
  <c r="L1723" i="2" s="1"/>
  <c r="K510" i="2"/>
  <c r="K1950" i="2"/>
  <c r="L1950" i="2" s="1"/>
  <c r="K1951" i="2"/>
  <c r="L1951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39" i="2"/>
  <c r="K655" i="2"/>
  <c r="K1123" i="2"/>
  <c r="K1206" i="2"/>
  <c r="K1938" i="2"/>
  <c r="K1937" i="2"/>
  <c r="L1937" i="2" s="1"/>
  <c r="K1936" i="2"/>
  <c r="L1518" i="2"/>
  <c r="K1517" i="2"/>
  <c r="K1923" i="2"/>
  <c r="L1923" i="2" s="1"/>
  <c r="K1492" i="2"/>
  <c r="L1492" i="2" s="1"/>
  <c r="K1519" i="2"/>
  <c r="L1519" i="2" s="1"/>
  <c r="K1544" i="2"/>
  <c r="L1544" i="2" s="1"/>
  <c r="K777" i="2"/>
  <c r="K647" i="2"/>
  <c r="H111" i="2"/>
  <c r="K1124" i="2"/>
  <c r="K1630" i="2"/>
  <c r="K1767" i="2"/>
  <c r="L1767" i="2" s="1"/>
  <c r="K1768" i="2"/>
  <c r="L1768" i="2" s="1"/>
  <c r="K1396" i="2"/>
  <c r="O1563" i="2"/>
  <c r="O1558" i="2"/>
  <c r="K1306" i="2"/>
  <c r="L1306" i="2" s="1"/>
  <c r="K451" i="2"/>
  <c r="L451" i="2" s="1"/>
  <c r="K842" i="2"/>
  <c r="L842" i="2" s="1"/>
  <c r="K768" i="2"/>
  <c r="K1562" i="2"/>
  <c r="K1561" i="2"/>
  <c r="K1554" i="2"/>
  <c r="K1557" i="2"/>
  <c r="K1556" i="2"/>
  <c r="K623" i="2"/>
  <c r="K90" i="7" s="1"/>
  <c r="K656" i="2"/>
  <c r="K1702" i="2"/>
  <c r="K1701" i="2"/>
  <c r="K1668" i="2"/>
  <c r="L1668" i="2" s="1"/>
  <c r="K1590" i="2"/>
  <c r="K441" i="2"/>
  <c r="K673" i="2"/>
  <c r="K1122" i="2"/>
  <c r="K1861" i="2"/>
  <c r="K832" i="2"/>
  <c r="O314" i="2"/>
  <c r="K1125" i="2"/>
  <c r="K983" i="2"/>
  <c r="L983" i="2" s="1"/>
  <c r="K497" i="2"/>
  <c r="K833" i="2"/>
  <c r="K1949" i="2"/>
  <c r="K912" i="2"/>
  <c r="L912" i="2" s="1"/>
  <c r="K911" i="2"/>
  <c r="L911" i="2" s="1"/>
  <c r="K1703" i="2"/>
  <c r="K657" i="2"/>
  <c r="K1782" i="2"/>
  <c r="K1326" i="2"/>
  <c r="K1788" i="2"/>
  <c r="L543" i="2"/>
  <c r="K769" i="2"/>
  <c r="K1327" i="2"/>
  <c r="O1593" i="2"/>
  <c r="K1592" i="2"/>
  <c r="K1591" i="2"/>
  <c r="K1009" i="2"/>
  <c r="K1884" i="2"/>
  <c r="K1658" i="2"/>
  <c r="L1658" i="2" s="1"/>
  <c r="K1059" i="2"/>
  <c r="K780" i="2"/>
  <c r="K1885" i="2"/>
  <c r="L1885" i="2" s="1"/>
  <c r="K1705" i="2"/>
  <c r="L1705" i="2" s="1"/>
  <c r="K1706" i="2"/>
  <c r="K1704" i="2"/>
  <c r="L1704" i="2" s="1"/>
  <c r="K624" i="2"/>
  <c r="K91" i="7" s="1"/>
  <c r="K111" i="2"/>
  <c r="K1631" i="2"/>
  <c r="L1631" i="2" s="1"/>
  <c r="O61" i="2"/>
  <c r="K1301" i="2"/>
  <c r="L1301" i="2" s="1"/>
  <c r="L502" i="2"/>
  <c r="L501" i="2"/>
  <c r="K1816" i="2"/>
  <c r="K1863" i="2"/>
  <c r="L1863" i="2" s="1"/>
  <c r="K1818" i="2"/>
  <c r="L1818" i="2" s="1"/>
  <c r="K1817" i="2"/>
  <c r="K1886" i="2"/>
  <c r="L1886" i="2" s="1"/>
  <c r="K1887" i="2"/>
  <c r="L1887" i="2" s="1"/>
  <c r="K1888" i="2"/>
  <c r="L1888" i="2" s="1"/>
  <c r="K1708" i="2"/>
  <c r="L1708" i="2" s="1"/>
  <c r="K1707" i="2"/>
  <c r="L1707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7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1578" i="2"/>
  <c r="L1578" i="2" s="1"/>
  <c r="K868" i="2"/>
  <c r="L868" i="2" s="1"/>
  <c r="K494" i="2"/>
  <c r="L494" i="2" s="1"/>
  <c r="K1798" i="2"/>
  <c r="K1231" i="2"/>
  <c r="L1231" i="2" s="1"/>
  <c r="L426" i="2"/>
  <c r="H248" i="6"/>
  <c r="X814" i="2"/>
  <c r="K459" i="2"/>
  <c r="L459" i="2" s="1"/>
  <c r="K1599" i="2"/>
  <c r="L1599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48" i="2"/>
  <c r="L1848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59" i="2"/>
  <c r="L1659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2" i="2"/>
  <c r="L1872" i="2" s="1"/>
  <c r="K481" i="2"/>
  <c r="L481" i="2" s="1"/>
  <c r="K902" i="2"/>
  <c r="L902" i="2" s="1"/>
  <c r="K1871" i="2"/>
  <c r="L1871" i="2" s="1"/>
  <c r="L427" i="2"/>
  <c r="K1292" i="2"/>
  <c r="L1292" i="2" s="1"/>
  <c r="O830" i="2"/>
  <c r="K826" i="2"/>
  <c r="O1585" i="2"/>
  <c r="P247" i="6" s="1"/>
  <c r="O981" i="2"/>
  <c r="O702" i="2"/>
  <c r="K1582" i="2"/>
  <c r="L244" i="6" s="1"/>
  <c r="K1583" i="2"/>
  <c r="L245" i="6" s="1"/>
  <c r="K1584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3" i="2"/>
  <c r="L1913" i="2" s="1"/>
  <c r="K1147" i="2"/>
  <c r="L1147" i="2" s="1"/>
  <c r="K1876" i="2"/>
  <c r="L1876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69" i="2"/>
  <c r="L1669" i="2" s="1"/>
  <c r="K443" i="2"/>
  <c r="L443" i="2" s="1"/>
  <c r="O1589" i="2"/>
  <c r="O1542" i="2"/>
  <c r="K1912" i="2"/>
  <c r="L1912" i="2" s="1"/>
  <c r="K1429" i="2"/>
  <c r="K1914" i="2"/>
  <c r="L1914" i="2" s="1"/>
  <c r="K1541" i="2"/>
  <c r="K1539" i="2"/>
  <c r="K1540" i="2"/>
  <c r="S1290" i="2"/>
  <c r="M1290" i="2" s="1"/>
  <c r="O1511" i="2"/>
  <c r="O1538" i="2"/>
  <c r="O1532" i="2"/>
  <c r="K1845" i="2"/>
  <c r="L1845" i="2" s="1"/>
  <c r="K1509" i="2"/>
  <c r="K1531" i="2"/>
  <c r="K1529" i="2"/>
  <c r="K1530" i="2"/>
  <c r="K1510" i="2"/>
  <c r="K1537" i="2"/>
  <c r="K1536" i="2"/>
  <c r="K1533" i="2"/>
  <c r="K1761" i="2"/>
  <c r="L1761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18" i="2"/>
  <c r="L1618" i="2" s="1"/>
  <c r="K1617" i="2"/>
  <c r="L1617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0" i="2"/>
  <c r="L1890" i="2" s="1"/>
  <c r="K1889" i="2"/>
  <c r="L1889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1" i="2"/>
  <c r="L1891" i="2" s="1"/>
  <c r="K1892" i="2"/>
  <c r="L1892" i="2" s="1"/>
  <c r="K307" i="2"/>
  <c r="K463" i="2"/>
  <c r="L463" i="2" s="1"/>
  <c r="K1671" i="2"/>
  <c r="L1671" i="2" s="1"/>
  <c r="K916" i="2"/>
  <c r="L916" i="2" s="1"/>
  <c r="K915" i="2"/>
  <c r="L915" i="2" s="1"/>
  <c r="K914" i="2"/>
  <c r="L914" i="2" s="1"/>
  <c r="K913" i="2"/>
  <c r="L913" i="2" s="1"/>
  <c r="K1661" i="2"/>
  <c r="L1661" i="2" s="1"/>
  <c r="K1662" i="2"/>
  <c r="L1662" i="2" s="1"/>
  <c r="K1660" i="2"/>
  <c r="L1660" i="2" s="1"/>
  <c r="K1663" i="2"/>
  <c r="L1663" i="2" s="1"/>
  <c r="K1379" i="2"/>
  <c r="L1379" i="2" s="1"/>
  <c r="M209" i="2"/>
  <c r="M225" i="2" s="1"/>
  <c r="K1586" i="2"/>
  <c r="K1587" i="2"/>
  <c r="K1573" i="2"/>
  <c r="L1573" i="2" s="1"/>
  <c r="K1588" i="2"/>
  <c r="K1058" i="2"/>
  <c r="K1877" i="2"/>
  <c r="L1877" i="2" s="1"/>
  <c r="L348" i="2"/>
  <c r="K982" i="2"/>
  <c r="K1428" i="2"/>
  <c r="L1428" i="2" s="1"/>
  <c r="K667" i="2"/>
  <c r="L667" i="2" s="1"/>
  <c r="K1894" i="2"/>
  <c r="L1894" i="2" s="1"/>
  <c r="K1893" i="2"/>
  <c r="L1893" i="2" s="1"/>
  <c r="O1581" i="2"/>
  <c r="K1579" i="2"/>
  <c r="K1580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5" i="2"/>
  <c r="L1895" i="2" s="1"/>
  <c r="K1896" i="2"/>
  <c r="L1896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2" i="2"/>
  <c r="L1832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942" i="2"/>
  <c r="K818" i="2"/>
  <c r="K817" i="2"/>
  <c r="K816" i="2"/>
  <c r="K1291" i="2"/>
  <c r="L1291" i="2" s="1"/>
  <c r="O1576" i="2"/>
  <c r="O1571" i="2"/>
  <c r="K1251" i="2"/>
  <c r="L1251" i="2" s="1"/>
  <c r="K1575" i="2"/>
  <c r="K1574" i="2"/>
  <c r="K1568" i="2"/>
  <c r="K1572" i="2"/>
  <c r="K1569" i="2"/>
  <c r="K1570" i="2"/>
  <c r="K834" i="2"/>
  <c r="R1955" i="2"/>
  <c r="X1" i="2" s="1"/>
  <c r="R611" i="2"/>
  <c r="X2" i="2" s="1"/>
  <c r="O229" i="2"/>
  <c r="K1092" i="2"/>
  <c r="M239" i="2"/>
  <c r="O1954" i="2"/>
  <c r="K1953" i="2"/>
  <c r="K1952" i="2"/>
  <c r="L1952" i="2" s="1"/>
  <c r="K1600" i="2"/>
  <c r="L1600" i="2" s="1"/>
  <c r="K1252" i="2"/>
  <c r="L1252" i="2" s="1"/>
  <c r="K770" i="2"/>
  <c r="L770" i="2" s="1"/>
  <c r="K1853" i="2"/>
  <c r="L1853" i="2" s="1"/>
  <c r="R1598" i="2"/>
  <c r="X3" i="2" s="1"/>
  <c r="K977" i="2"/>
  <c r="L977" i="2" s="1"/>
  <c r="K979" i="2"/>
  <c r="L979" i="2" s="1"/>
  <c r="K980" i="2"/>
  <c r="K978" i="2"/>
  <c r="L978" i="2" s="1"/>
  <c r="K812" i="2"/>
  <c r="O1567" i="2"/>
  <c r="K1565" i="2"/>
  <c r="K1566" i="2"/>
  <c r="K1307" i="2"/>
  <c r="L1307" i="2" s="1"/>
  <c r="K1564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2" i="2"/>
  <c r="O1062" i="2"/>
  <c r="S1056" i="2"/>
  <c r="M1056" i="2"/>
  <c r="K1840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0" i="2"/>
  <c r="L1900" i="2" s="1"/>
  <c r="K1267" i="2"/>
  <c r="K1628" i="2"/>
  <c r="L1628" i="2" s="1"/>
  <c r="K1107" i="2"/>
  <c r="K1129" i="2"/>
  <c r="K1130" i="2"/>
  <c r="K1285" i="2"/>
  <c r="L1285" i="2" s="1"/>
  <c r="K775" i="2"/>
  <c r="K1722" i="2"/>
  <c r="K1335" i="2"/>
  <c r="K995" i="2"/>
  <c r="K925" i="2"/>
  <c r="L925" i="2" s="1"/>
  <c r="K926" i="2"/>
  <c r="K924" i="2"/>
  <c r="L924" i="2" s="1"/>
  <c r="K1477" i="2"/>
  <c r="L1477" i="2" s="1"/>
  <c r="K1833" i="2"/>
  <c r="L1833" i="2" s="1"/>
  <c r="M92" i="2"/>
  <c r="K1054" i="2"/>
  <c r="N145" i="6"/>
  <c r="X111" i="2"/>
  <c r="K1050" i="2"/>
  <c r="X105" i="2"/>
  <c r="K88" i="2"/>
  <c r="H88" i="2"/>
  <c r="K1191" i="2"/>
  <c r="K1783" i="2"/>
  <c r="L1783" i="2" s="1"/>
  <c r="K1189" i="2"/>
  <c r="K1190" i="2"/>
  <c r="O202" i="2"/>
  <c r="O1917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19" i="2"/>
  <c r="L1619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89" i="2"/>
  <c r="L1789" i="2" s="1"/>
  <c r="K1296" i="2"/>
  <c r="K1620" i="2"/>
  <c r="L1620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29" i="2"/>
  <c r="L1729" i="2" s="1"/>
  <c r="O1908" i="2"/>
  <c r="O1911" i="2"/>
  <c r="K1909" i="2"/>
  <c r="K1906" i="2"/>
  <c r="K683" i="2"/>
  <c r="L683" i="2" s="1"/>
  <c r="O300" i="2"/>
  <c r="K1682" i="2"/>
  <c r="L1682" i="2" s="1"/>
  <c r="K1924" i="2"/>
  <c r="L1924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932" i="2"/>
  <c r="A928" i="2" s="1"/>
  <c r="O861" i="2"/>
  <c r="L1642" i="2"/>
  <c r="A1636" i="2" s="1"/>
  <c r="L261" i="2"/>
  <c r="N261" i="2" s="1"/>
  <c r="L1627" i="2"/>
  <c r="A1625" i="2" s="1"/>
  <c r="L1646" i="2"/>
  <c r="A1643" i="2" s="1"/>
  <c r="L1700" i="2"/>
  <c r="P1700" i="2" s="1"/>
  <c r="L1171" i="2"/>
  <c r="N1171" i="2" s="1"/>
  <c r="L1657" i="2"/>
  <c r="A1655" i="2" s="1"/>
  <c r="L1740" i="2"/>
  <c r="P1740" i="2" s="1"/>
  <c r="I328" i="2"/>
  <c r="I401" i="2"/>
  <c r="L1609" i="2"/>
  <c r="N1609" i="2" s="1"/>
  <c r="L1612" i="2"/>
  <c r="A1610" i="2" s="1"/>
  <c r="I1034" i="2"/>
  <c r="I1334" i="2"/>
  <c r="I741" i="2"/>
  <c r="L956" i="2"/>
  <c r="N956" i="2" s="1"/>
  <c r="M129" i="6"/>
  <c r="M131" i="6" s="1"/>
  <c r="A123" i="6" s="1"/>
  <c r="L1779" i="2"/>
  <c r="N1779" i="2" s="1"/>
  <c r="I391" i="2"/>
  <c r="I738" i="2"/>
  <c r="L1759" i="2"/>
  <c r="P1759" i="2" s="1"/>
  <c r="I735" i="2"/>
  <c r="M206" i="6"/>
  <c r="M207" i="6" s="1"/>
  <c r="A202" i="6" s="1"/>
  <c r="I1241" i="2"/>
  <c r="L1749" i="2"/>
  <c r="P1749" i="2" s="1"/>
  <c r="I1188" i="2"/>
  <c r="L642" i="2"/>
  <c r="N642" i="2" s="1"/>
  <c r="I1320" i="2"/>
  <c r="I730" i="2"/>
  <c r="I139" i="2"/>
  <c r="L322" i="2"/>
  <c r="N322" i="2" s="1"/>
  <c r="L1721" i="2"/>
  <c r="P1721" i="2" s="1"/>
  <c r="L1831" i="2"/>
  <c r="P1831" i="2" s="1"/>
  <c r="S1091" i="2"/>
  <c r="M1091" i="2" s="1"/>
  <c r="M1341" i="2" s="1"/>
  <c r="N201" i="6" s="1"/>
  <c r="K697" i="2"/>
  <c r="L697" i="2" s="1"/>
  <c r="K617" i="2"/>
  <c r="K1683" i="2"/>
  <c r="L1683" i="2" s="1"/>
  <c r="K1684" i="2"/>
  <c r="L1684" i="2" s="1"/>
  <c r="O97" i="2"/>
  <c r="Y618" i="2"/>
  <c r="X622" i="2"/>
  <c r="X134" i="2"/>
  <c r="X135" i="2"/>
  <c r="K1297" i="2"/>
  <c r="K998" i="2"/>
  <c r="K1093" i="2"/>
  <c r="M286" i="2"/>
  <c r="K619" i="2"/>
  <c r="O1905" i="2"/>
  <c r="K1901" i="2"/>
  <c r="L1901" i="2" s="1"/>
  <c r="K1902" i="2"/>
  <c r="L1902" i="2" s="1"/>
  <c r="K1903" i="2"/>
  <c r="L1903" i="2" s="1"/>
  <c r="K1904" i="2"/>
  <c r="K643" i="2"/>
  <c r="K649" i="2"/>
  <c r="K644" i="2"/>
  <c r="K1244" i="2"/>
  <c r="S685" i="2"/>
  <c r="M685" i="2" s="1"/>
  <c r="K1041" i="2"/>
  <c r="L1041" i="2" s="1"/>
  <c r="K1157" i="2"/>
  <c r="I225" i="2"/>
  <c r="K225" i="2"/>
  <c r="K1868" i="2"/>
  <c r="L1868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0" i="2"/>
  <c r="L1730" i="2" s="1"/>
  <c r="K1255" i="2"/>
  <c r="L1255" i="2" s="1"/>
  <c r="K1008" i="2"/>
  <c r="L1008" i="2" s="1"/>
  <c r="K1800" i="2"/>
  <c r="X340" i="2"/>
  <c r="K1430" i="2"/>
  <c r="L1430" i="2" s="1"/>
  <c r="K1709" i="2"/>
  <c r="L1709" i="2" s="1"/>
  <c r="K1621" i="2"/>
  <c r="L1621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19" i="2"/>
  <c r="L1819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1" i="2"/>
  <c r="L1851" i="2" s="1"/>
  <c r="K1852" i="2"/>
  <c r="L1852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K869" i="2"/>
  <c r="L869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799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2" i="2"/>
  <c r="L1932" i="2" s="1"/>
  <c r="K1153" i="2"/>
  <c r="L1153" i="2" s="1"/>
  <c r="K1666" i="2"/>
  <c r="L1666" i="2" s="1"/>
  <c r="K1359" i="2"/>
  <c r="L1359" i="2" s="1"/>
  <c r="X233" i="2"/>
  <c r="K1760" i="2"/>
  <c r="L1760" i="2" s="1"/>
  <c r="K1449" i="2"/>
  <c r="L1449" i="2" s="1"/>
  <c r="O102" i="2"/>
  <c r="O111" i="2" s="1"/>
  <c r="O1452" i="2"/>
  <c r="K1602" i="2"/>
  <c r="L1602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1" i="2"/>
  <c r="L1841" i="2" s="1"/>
  <c r="A6" i="4"/>
  <c r="O1460" i="2"/>
  <c r="K1667" i="2"/>
  <c r="L1667" i="2" s="1"/>
  <c r="K1670" i="2"/>
  <c r="L1670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7" i="2"/>
  <c r="L1897" i="2" s="1"/>
  <c r="X899" i="2"/>
  <c r="X39" i="2"/>
  <c r="O377" i="2"/>
  <c r="K1933" i="2"/>
  <c r="L1933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K1071" i="2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1" i="2"/>
  <c r="L1731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870" i="2"/>
  <c r="L870" i="2" s="1"/>
  <c r="K1213" i="2"/>
  <c r="L1213" i="2" s="1"/>
  <c r="K1601" i="2"/>
  <c r="L1601" i="2" s="1"/>
  <c r="O139" i="2"/>
  <c r="K1787" i="2"/>
  <c r="L1787" i="2" s="1"/>
  <c r="S796" i="2"/>
  <c r="M796" i="2" s="1"/>
  <c r="F223" i="6"/>
  <c r="X1248" i="2"/>
  <c r="K789" i="2"/>
  <c r="L789" i="2" s="1"/>
  <c r="K1622" i="2"/>
  <c r="L1622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0" i="2"/>
  <c r="L1710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1" i="2"/>
  <c r="O1803" i="2"/>
  <c r="O1793" i="2"/>
  <c r="O1867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7" i="2"/>
  <c r="O1822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0" i="2"/>
  <c r="O341" i="2"/>
  <c r="O465" i="2"/>
  <c r="O927" i="2"/>
  <c r="O993" i="2"/>
  <c r="O73" i="7" s="1"/>
  <c r="O1106" i="2"/>
  <c r="O1237" i="2"/>
  <c r="O1260" i="2"/>
  <c r="O1295" i="2"/>
  <c r="O1347" i="2"/>
  <c r="O1681" i="2"/>
  <c r="O1733" i="2"/>
  <c r="O1839" i="2"/>
  <c r="O1844" i="2"/>
  <c r="O1875" i="2"/>
  <c r="O1899" i="2"/>
  <c r="O1931" i="2"/>
  <c r="O1935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5" i="2"/>
  <c r="O1673" i="2"/>
  <c r="O1690" i="2"/>
  <c r="O1712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5" i="2"/>
  <c r="O1859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6" i="2"/>
  <c r="O1624" i="2"/>
  <c r="O1635" i="2"/>
  <c r="O1654" i="2"/>
  <c r="O1772" i="2"/>
  <c r="O1786" i="2"/>
  <c r="O1399" i="2"/>
  <c r="K658" i="2"/>
  <c r="L658" i="2" s="1"/>
  <c r="K848" i="2"/>
  <c r="L848" i="2" s="1"/>
  <c r="L880" i="2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49" i="2"/>
  <c r="L1649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6" i="2"/>
  <c r="L1686" i="2" s="1"/>
  <c r="K1678" i="2"/>
  <c r="L1678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4" i="2"/>
  <c r="K1647" i="2"/>
  <c r="L1647" i="2" s="1"/>
  <c r="K1792" i="2"/>
  <c r="K1200" i="2"/>
  <c r="K1236" i="2"/>
  <c r="K1281" i="2"/>
  <c r="L1281" i="2" s="1"/>
  <c r="K1293" i="2"/>
  <c r="L1293" i="2" s="1"/>
  <c r="K1354" i="2"/>
  <c r="L1354" i="2" s="1"/>
  <c r="K1372" i="2"/>
  <c r="T44" i="15" s="1"/>
  <c r="K1652" i="2"/>
  <c r="L1652" i="2" s="1"/>
  <c r="K1675" i="2"/>
  <c r="L1675" i="2" s="1"/>
  <c r="K1732" i="2"/>
  <c r="K1837" i="2"/>
  <c r="L1837" i="2" s="1"/>
  <c r="K1843" i="2"/>
  <c r="K1866" i="2"/>
  <c r="K1879" i="2"/>
  <c r="L1879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4" i="2"/>
  <c r="L1594" i="2" s="1"/>
  <c r="K1605" i="2"/>
  <c r="K1770" i="2"/>
  <c r="L1770" i="2" s="1"/>
  <c r="K1821" i="2"/>
  <c r="K1934" i="2"/>
  <c r="H45" i="15"/>
  <c r="K207" i="6"/>
  <c r="H52" i="15"/>
  <c r="K32" i="6"/>
  <c r="K115" i="6"/>
  <c r="H39" i="15"/>
  <c r="K1633" i="2"/>
  <c r="L1633" i="2" s="1"/>
  <c r="K1674" i="2"/>
  <c r="L1674" i="2" s="1"/>
  <c r="K1677" i="2"/>
  <c r="L1677" i="2" s="1"/>
  <c r="K1769" i="2"/>
  <c r="L1769" i="2" s="1"/>
  <c r="K1785" i="2"/>
  <c r="K1791" i="2"/>
  <c r="L1791" i="2" s="1"/>
  <c r="K1820" i="2"/>
  <c r="L1820" i="2" s="1"/>
  <c r="K1834" i="2"/>
  <c r="L1834" i="2" s="1"/>
  <c r="K1842" i="2"/>
  <c r="L1842" i="2" s="1"/>
  <c r="K1846" i="2"/>
  <c r="L1846" i="2" s="1"/>
  <c r="K1849" i="2"/>
  <c r="K1856" i="2"/>
  <c r="L1856" i="2" s="1"/>
  <c r="K1860" i="2"/>
  <c r="L1860" i="2" s="1"/>
  <c r="K1874" i="2"/>
  <c r="K1878" i="2"/>
  <c r="L1878" i="2" s="1"/>
  <c r="K1898" i="2"/>
  <c r="K1916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5" i="2"/>
  <c r="L1595" i="2" s="1"/>
  <c r="K1604" i="2"/>
  <c r="L1604" i="2" s="1"/>
  <c r="K1632" i="2"/>
  <c r="L1632" i="2" s="1"/>
  <c r="K1648" i="2"/>
  <c r="L1648" i="2" s="1"/>
  <c r="K1651" i="2"/>
  <c r="L1651" i="2" s="1"/>
  <c r="K1653" i="2"/>
  <c r="K1672" i="2"/>
  <c r="K1680" i="2"/>
  <c r="K1685" i="2"/>
  <c r="L1685" i="2" s="1"/>
  <c r="K1711" i="2"/>
  <c r="K1763" i="2"/>
  <c r="L1763" i="2" s="1"/>
  <c r="K1771" i="2"/>
  <c r="K1784" i="2"/>
  <c r="L1784" i="2" s="1"/>
  <c r="K1801" i="2"/>
  <c r="K1836" i="2"/>
  <c r="L1836" i="2" s="1"/>
  <c r="K1855" i="2"/>
  <c r="L1855" i="2" s="1"/>
  <c r="K1858" i="2"/>
  <c r="K1865" i="2"/>
  <c r="L1865" i="2" s="1"/>
  <c r="K1873" i="2"/>
  <c r="L1873" i="2" s="1"/>
  <c r="K1880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6" i="2"/>
  <c r="K1603" i="2"/>
  <c r="L1603" i="2" s="1"/>
  <c r="K1623" i="2"/>
  <c r="K1650" i="2"/>
  <c r="L1650" i="2" s="1"/>
  <c r="K1664" i="2"/>
  <c r="K1676" i="2"/>
  <c r="L1676" i="2" s="1"/>
  <c r="K1679" i="2"/>
  <c r="L1679" i="2" s="1"/>
  <c r="K1687" i="2"/>
  <c r="L1687" i="2" s="1"/>
  <c r="K1688" i="2"/>
  <c r="L1688" i="2" s="1"/>
  <c r="K1689" i="2"/>
  <c r="K1762" i="2"/>
  <c r="L1762" i="2" s="1"/>
  <c r="K1764" i="2"/>
  <c r="K1790" i="2"/>
  <c r="L1790" i="2" s="1"/>
  <c r="K1835" i="2"/>
  <c r="L1835" i="2" s="1"/>
  <c r="K1838" i="2"/>
  <c r="K1847" i="2"/>
  <c r="L1847" i="2" s="1"/>
  <c r="K1854" i="2"/>
  <c r="L1854" i="2" s="1"/>
  <c r="K1857" i="2"/>
  <c r="L1857" i="2" s="1"/>
  <c r="K1864" i="2"/>
  <c r="L1864" i="2" s="1"/>
  <c r="K1915" i="2"/>
  <c r="L1915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10" i="2" l="1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3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39" i="2"/>
  <c r="L1936" i="2"/>
  <c r="I1938" i="2"/>
  <c r="I1939" i="2" s="1"/>
  <c r="I1504" i="2"/>
  <c r="I1521" i="2"/>
  <c r="I1546" i="2"/>
  <c r="I1552" i="2"/>
  <c r="K93" i="7"/>
  <c r="L1561" i="2"/>
  <c r="I1562" i="2"/>
  <c r="L1559" i="2"/>
  <c r="K1563" i="2"/>
  <c r="L1554" i="2"/>
  <c r="K1558" i="2"/>
  <c r="I1557" i="2"/>
  <c r="L1556" i="2"/>
  <c r="L477" i="2"/>
  <c r="L1921" i="2"/>
  <c r="L1920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49" i="2"/>
  <c r="L1947" i="2"/>
  <c r="L1948" i="2"/>
  <c r="L1795" i="2"/>
  <c r="L1286" i="2"/>
  <c r="L1703" i="2"/>
  <c r="L1701" i="2"/>
  <c r="L1702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88" i="2"/>
  <c r="L722" i="2"/>
  <c r="L457" i="2"/>
  <c r="L656" i="2"/>
  <c r="L542" i="2"/>
  <c r="L347" i="2"/>
  <c r="L346" i="2"/>
  <c r="L1614" i="2"/>
  <c r="L1706" i="2"/>
  <c r="L467" i="2"/>
  <c r="L466" i="2"/>
  <c r="L936" i="2"/>
  <c r="L671" i="2"/>
  <c r="L572" i="2"/>
  <c r="L344" i="2"/>
  <c r="L345" i="2"/>
  <c r="L1780" i="2"/>
  <c r="L1781" i="2"/>
  <c r="L1782" i="2"/>
  <c r="L652" i="2"/>
  <c r="L1396" i="2"/>
  <c r="L657" i="2"/>
  <c r="L541" i="2"/>
  <c r="L769" i="2"/>
  <c r="L768" i="2"/>
  <c r="I194" i="2"/>
  <c r="H194" i="2"/>
  <c r="L544" i="2"/>
  <c r="L767" i="2"/>
  <c r="L1630" i="2"/>
  <c r="L1615" i="2"/>
  <c r="L879" i="2"/>
  <c r="L627" i="2"/>
  <c r="L1883" i="2"/>
  <c r="L1009" i="2"/>
  <c r="L1216" i="2"/>
  <c r="L628" i="2"/>
  <c r="L1946" i="2"/>
  <c r="L1943" i="2"/>
  <c r="L1941" i="2"/>
  <c r="L1942" i="2"/>
  <c r="L1944" i="2"/>
  <c r="L1945" i="2"/>
  <c r="L905" i="2"/>
  <c r="L403" i="2"/>
  <c r="I1592" i="2"/>
  <c r="L1591" i="2"/>
  <c r="K1593" i="2"/>
  <c r="L1590" i="2"/>
  <c r="I1580" i="2"/>
  <c r="L1613" i="2"/>
  <c r="L651" i="2"/>
  <c r="I781" i="2"/>
  <c r="L425" i="2"/>
  <c r="L456" i="2"/>
  <c r="L1919" i="2"/>
  <c r="L1918" i="2"/>
  <c r="L1884" i="2"/>
  <c r="L629" i="2"/>
  <c r="L342" i="2"/>
  <c r="L1304" i="2"/>
  <c r="L500" i="2"/>
  <c r="L878" i="2"/>
  <c r="L1861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4" i="2"/>
  <c r="J246" i="6" s="1"/>
  <c r="J247" i="6" s="1"/>
  <c r="L1583" i="2"/>
  <c r="M245" i="6" s="1"/>
  <c r="L1582" i="2"/>
  <c r="M244" i="6" s="1"/>
  <c r="K1585" i="2"/>
  <c r="I986" i="2"/>
  <c r="I968" i="2"/>
  <c r="L1310" i="2"/>
  <c r="K1316" i="2"/>
  <c r="L757" i="2"/>
  <c r="I763" i="2"/>
  <c r="I1575" i="2"/>
  <c r="K465" i="2"/>
  <c r="L1840" i="2"/>
  <c r="I1843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I1537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7" i="2"/>
  <c r="I1588" i="2"/>
  <c r="K1589" i="2"/>
  <c r="L1586" i="2"/>
  <c r="L1726" i="2"/>
  <c r="I1732" i="2"/>
  <c r="I1733" i="2" s="1"/>
  <c r="I508" i="2"/>
  <c r="I509" i="2" s="1"/>
  <c r="K1581" i="2"/>
  <c r="L1577" i="2"/>
  <c r="L1579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I1570" i="2"/>
  <c r="L1569" i="2"/>
  <c r="K1576" i="2"/>
  <c r="L1572" i="2"/>
  <c r="L1568" i="2"/>
  <c r="K1571" i="2"/>
  <c r="L1574" i="2"/>
  <c r="L1375" i="2"/>
  <c r="L1425" i="2"/>
  <c r="L1940" i="2"/>
  <c r="K1954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4" i="2"/>
  <c r="K1567" i="2"/>
  <c r="L1565" i="2"/>
  <c r="I1566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49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6" i="2"/>
  <c r="I1821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7" i="2"/>
  <c r="L1906" i="2"/>
  <c r="K1908" i="2"/>
  <c r="I1910" i="2"/>
  <c r="L1909" i="2"/>
  <c r="K1911" i="2"/>
  <c r="L1882" i="2"/>
  <c r="I1898" i="2"/>
  <c r="L1722" i="2"/>
  <c r="K194" i="2"/>
  <c r="L1817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0" i="2"/>
  <c r="L1797" i="2"/>
  <c r="L1794" i="2"/>
  <c r="K1803" i="2"/>
  <c r="L1796" i="2"/>
  <c r="L1799" i="2"/>
  <c r="L1798" i="2"/>
  <c r="L1801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5" i="2"/>
  <c r="I1904" i="2"/>
  <c r="K1427" i="2"/>
  <c r="I1930" i="2"/>
  <c r="I701" i="2"/>
  <c r="I1858" i="2"/>
  <c r="I1859" i="2" s="1"/>
  <c r="K702" i="2"/>
  <c r="K708" i="2"/>
  <c r="I707" i="2"/>
  <c r="L707" i="2" s="1"/>
  <c r="I1792" i="2"/>
  <c r="I926" i="2"/>
  <c r="K836" i="2"/>
  <c r="I1689" i="2"/>
  <c r="I1634" i="2"/>
  <c r="I746" i="2"/>
  <c r="I1605" i="2"/>
  <c r="A7" i="4"/>
  <c r="O193" i="2"/>
  <c r="W2" i="2" s="1"/>
  <c r="K820" i="2"/>
  <c r="I1455" i="2"/>
  <c r="I1866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2" i="2"/>
  <c r="I1308" i="2"/>
  <c r="I1711" i="2"/>
  <c r="I1712" i="2" s="1"/>
  <c r="I1623" i="2"/>
  <c r="I1624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4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598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59" i="2"/>
  <c r="A1741" i="2"/>
  <c r="M802" i="2"/>
  <c r="M808" i="2" s="1"/>
  <c r="N219" i="6" s="1"/>
  <c r="N1749" i="2"/>
  <c r="A1713" i="2"/>
  <c r="N1721" i="2"/>
  <c r="A319" i="2"/>
  <c r="K875" i="2"/>
  <c r="M788" i="2"/>
  <c r="T66" i="15"/>
  <c r="X66" i="15" s="1"/>
  <c r="I1402" i="2"/>
  <c r="P956" i="2"/>
  <c r="A954" i="2"/>
  <c r="P261" i="2"/>
  <c r="A1773" i="2"/>
  <c r="P642" i="2"/>
  <c r="A638" i="2"/>
  <c r="K1403" i="2"/>
  <c r="A1691" i="2"/>
  <c r="N1700" i="2"/>
  <c r="P1779" i="2"/>
  <c r="A1823" i="2"/>
  <c r="A1750" i="2"/>
  <c r="N1831" i="2"/>
  <c r="T56" i="15"/>
  <c r="X56" i="15" s="1"/>
  <c r="A73" i="4"/>
  <c r="O33" i="7"/>
  <c r="P53" i="6"/>
  <c r="M401" i="2"/>
  <c r="I1764" i="2"/>
  <c r="I1047" i="2"/>
  <c r="P239" i="2"/>
  <c r="O1078" i="2"/>
  <c r="P69" i="6" s="1"/>
  <c r="F8" i="12"/>
  <c r="Q220" i="6"/>
  <c r="K788" i="2"/>
  <c r="Q222" i="6"/>
  <c r="Q221" i="6"/>
  <c r="Q147" i="6"/>
  <c r="O38" i="7"/>
  <c r="A1607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6" i="2"/>
  <c r="K882" i="2"/>
  <c r="I1366" i="2"/>
  <c r="X26" i="15"/>
  <c r="K685" i="2"/>
  <c r="A1734" i="2"/>
  <c r="N1740" i="2"/>
  <c r="K1201" i="2"/>
  <c r="T34" i="15"/>
  <c r="X34" i="15" s="1"/>
  <c r="K1098" i="2"/>
  <c r="K1486" i="2"/>
  <c r="K1295" i="2"/>
  <c r="I1352" i="2"/>
  <c r="N1612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5" i="2"/>
  <c r="K1606" i="2"/>
  <c r="H1956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5" i="2"/>
  <c r="K1844" i="2"/>
  <c r="K1249" i="2"/>
  <c r="K1850" i="2"/>
  <c r="K1290" i="2"/>
  <c r="K1786" i="2"/>
  <c r="K1681" i="2"/>
  <c r="I1294" i="2"/>
  <c r="I1295" i="2" s="1"/>
  <c r="I1372" i="2"/>
  <c r="K909" i="2"/>
  <c r="K1875" i="2"/>
  <c r="I1680" i="2"/>
  <c r="I1785" i="2"/>
  <c r="K1382" i="2"/>
  <c r="Q150" i="6"/>
  <c r="I908" i="2"/>
  <c r="K1665" i="2"/>
  <c r="I1664" i="2"/>
  <c r="K1361" i="2"/>
  <c r="I1916" i="2"/>
  <c r="K1917" i="2"/>
  <c r="K927" i="2"/>
  <c r="K1899" i="2"/>
  <c r="K1367" i="2"/>
  <c r="X46" i="15"/>
  <c r="K1654" i="2"/>
  <c r="K1690" i="2"/>
  <c r="I1838" i="2"/>
  <c r="K1881" i="2"/>
  <c r="I1653" i="2"/>
  <c r="I1880" i="2"/>
  <c r="K1867" i="2"/>
  <c r="K1793" i="2"/>
  <c r="I1672" i="2"/>
  <c r="K1597" i="2"/>
  <c r="K1733" i="2"/>
  <c r="K1624" i="2"/>
  <c r="K1399" i="2"/>
  <c r="K1931" i="2"/>
  <c r="K1839" i="2"/>
  <c r="I1934" i="2"/>
  <c r="K1859" i="2"/>
  <c r="K1341" i="2"/>
  <c r="K1772" i="2"/>
  <c r="K1635" i="2"/>
  <c r="K1712" i="2"/>
  <c r="K1673" i="2"/>
  <c r="I1771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4" i="2"/>
  <c r="E66" i="4"/>
  <c r="E141" i="4"/>
  <c r="E223" i="4"/>
  <c r="I517" i="2"/>
  <c r="E201" i="4"/>
  <c r="I201" i="4" s="1"/>
  <c r="J1527" i="2" s="1"/>
  <c r="J1528" i="2" s="1"/>
  <c r="E219" i="4"/>
  <c r="I219" i="4" s="1"/>
  <c r="J1562" i="2" s="1"/>
  <c r="J1563" i="2" s="1"/>
  <c r="E220" i="4"/>
  <c r="I220" i="4" s="1"/>
  <c r="J1557" i="2" s="1"/>
  <c r="J1558" i="2" s="1"/>
  <c r="I1563" i="2"/>
  <c r="I1558" i="2"/>
  <c r="I626" i="2"/>
  <c r="I92" i="7"/>
  <c r="I93" i="7" s="1"/>
  <c r="I94" i="7" s="1"/>
  <c r="K1598" i="2"/>
  <c r="L359" i="2"/>
  <c r="J23" i="6"/>
  <c r="J24" i="6" s="1"/>
  <c r="I1593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4" i="2" s="1"/>
  <c r="I1585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89" i="2"/>
  <c r="E206" i="4"/>
  <c r="I206" i="4" s="1"/>
  <c r="J1580" i="2" s="1"/>
  <c r="J1581" i="2" s="1"/>
  <c r="I1581" i="2"/>
  <c r="E204" i="4"/>
  <c r="I204" i="4" s="1"/>
  <c r="J1575" i="2" s="1"/>
  <c r="J1576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0" i="2" s="1"/>
  <c r="J1571" i="2" s="1"/>
  <c r="E82" i="4"/>
  <c r="I82" i="4" s="1"/>
  <c r="E202" i="4"/>
  <c r="I202" i="4" s="1"/>
  <c r="J986" i="2" s="1"/>
  <c r="E91" i="4"/>
  <c r="E85" i="4"/>
  <c r="I85" i="4" s="1"/>
  <c r="J863" i="2" s="1"/>
  <c r="E83" i="4"/>
  <c r="I83" i="4" s="1"/>
  <c r="J753" i="2" s="1"/>
  <c r="I1576" i="2"/>
  <c r="I1571" i="2"/>
  <c r="E135" i="4"/>
  <c r="E253" i="4"/>
  <c r="M16" i="6"/>
  <c r="L47" i="7"/>
  <c r="E210" i="4"/>
  <c r="I210" i="4" s="1"/>
  <c r="J1566" i="2" s="1"/>
  <c r="J1567" i="2" s="1"/>
  <c r="I981" i="2"/>
  <c r="I1567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1" i="2"/>
  <c r="I1908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5" i="2"/>
  <c r="L1804" i="2"/>
  <c r="E44" i="4"/>
  <c r="E10" i="4"/>
  <c r="E252" i="4"/>
  <c r="I252" i="4" s="1"/>
  <c r="E188" i="4"/>
  <c r="M47" i="8"/>
  <c r="T92" i="15"/>
  <c r="T45" i="15"/>
  <c r="Q180" i="6"/>
  <c r="Q82" i="6"/>
  <c r="T104" i="15"/>
  <c r="I1690" i="2"/>
  <c r="I1772" i="2"/>
  <c r="I1850" i="2"/>
  <c r="I1765" i="2"/>
  <c r="I1881" i="2"/>
  <c r="I764" i="2"/>
  <c r="I1078" i="2"/>
  <c r="I1899" i="2"/>
  <c r="I1597" i="2"/>
  <c r="I1654" i="2"/>
  <c r="I1786" i="2"/>
  <c r="I882" i="2"/>
  <c r="I1279" i="2"/>
  <c r="I1040" i="2"/>
  <c r="I1606" i="2"/>
  <c r="I927" i="2"/>
  <c r="I941" i="2"/>
  <c r="I1917" i="2"/>
  <c r="I1844" i="2"/>
  <c r="I1106" i="2"/>
  <c r="I1023" i="2"/>
  <c r="I963" i="2"/>
  <c r="I1839" i="2"/>
  <c r="I969" i="2"/>
  <c r="N24" i="15"/>
  <c r="N25" i="15" s="1"/>
  <c r="I1361" i="2"/>
  <c r="I1150" i="2"/>
  <c r="I747" i="2"/>
  <c r="I696" i="2"/>
  <c r="I845" i="2"/>
  <c r="I1681" i="2"/>
  <c r="M60" i="6"/>
  <c r="I875" i="2"/>
  <c r="I1803" i="2"/>
  <c r="I1222" i="2"/>
  <c r="I1016" i="2"/>
  <c r="I1201" i="2"/>
  <c r="N38" i="15"/>
  <c r="N39" i="15" s="1"/>
  <c r="M81" i="6"/>
  <c r="M82" i="6" s="1"/>
  <c r="A76" i="6" s="1"/>
  <c r="I725" i="2"/>
  <c r="I1635" i="2"/>
  <c r="I1931" i="2"/>
  <c r="I678" i="2"/>
  <c r="I1209" i="2"/>
  <c r="I1048" i="2"/>
  <c r="N115" i="15"/>
  <c r="N116" i="15" s="1"/>
  <c r="T116" i="15"/>
  <c r="I1793" i="2"/>
  <c r="I1665" i="2"/>
  <c r="N44" i="15"/>
  <c r="N45" i="15" s="1"/>
  <c r="I782" i="2"/>
  <c r="N91" i="15"/>
  <c r="N92" i="15" s="1"/>
  <c r="N103" i="15"/>
  <c r="N104" i="15" s="1"/>
  <c r="M179" i="6"/>
  <c r="M180" i="6" s="1"/>
  <c r="A175" i="6" s="1"/>
  <c r="I1673" i="2"/>
  <c r="N67" i="15"/>
  <c r="N68" i="15" s="1"/>
  <c r="I660" i="2"/>
  <c r="X101" i="15"/>
  <c r="I1309" i="2"/>
  <c r="I1867" i="2"/>
  <c r="I836" i="2"/>
  <c r="I909" i="2"/>
  <c r="Q115" i="6"/>
  <c r="T25" i="15"/>
  <c r="I685" i="2"/>
  <c r="I1388" i="2"/>
  <c r="I1229" i="2"/>
  <c r="I1875" i="2"/>
  <c r="I1163" i="2"/>
  <c r="I853" i="2"/>
  <c r="I1290" i="2"/>
  <c r="I773" i="2"/>
  <c r="I1237" i="2"/>
  <c r="I1156" i="2"/>
  <c r="I899" i="2"/>
  <c r="I890" i="2"/>
  <c r="I1399" i="2"/>
  <c r="I1260" i="2"/>
  <c r="I650" i="2"/>
  <c r="I1905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5" i="2" s="1"/>
  <c r="L1605" i="2" s="1"/>
  <c r="L1606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58" i="2" s="1"/>
  <c r="L1858" i="2" s="1"/>
  <c r="L1859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5" i="2" s="1"/>
  <c r="L1785" i="2" s="1"/>
  <c r="L1786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J729" i="2" s="1"/>
  <c r="L729" i="2" s="1"/>
  <c r="E111" i="4"/>
  <c r="I111" i="4" s="1"/>
  <c r="J1596" i="2" s="1"/>
  <c r="L1596" i="2" s="1"/>
  <c r="L1597" i="2" s="1"/>
  <c r="A1594" i="2" s="1"/>
  <c r="E161" i="4"/>
  <c r="I161" i="4" s="1"/>
  <c r="E173" i="4"/>
  <c r="E39" i="4"/>
  <c r="E52" i="4"/>
  <c r="E72" i="4"/>
  <c r="I72" i="4" s="1"/>
  <c r="E99" i="4"/>
  <c r="I99" i="4" s="1"/>
  <c r="J734" i="2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0" i="2" s="1"/>
  <c r="L1680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9" i="4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F68" i="4" l="1"/>
  <c r="I68" i="4" s="1"/>
  <c r="J567" i="2" s="1"/>
  <c r="L567" i="2" s="1"/>
  <c r="L568" i="2" s="1"/>
  <c r="J68" i="4"/>
  <c r="E255" i="4"/>
  <c r="I255" i="4" s="1"/>
  <c r="J1911" i="2"/>
  <c r="J1938" i="2"/>
  <c r="A229" i="4"/>
  <c r="A230" i="4" s="1"/>
  <c r="A231" i="4" s="1"/>
  <c r="E6" i="4"/>
  <c r="E69" i="4" s="1"/>
  <c r="J1653" i="2"/>
  <c r="L1557" i="2"/>
  <c r="L1558" i="2" s="1"/>
  <c r="P1558" i="2" s="1"/>
  <c r="L1562" i="2"/>
  <c r="L1563" i="2" s="1"/>
  <c r="P1563" i="2" s="1"/>
  <c r="I1598" i="2"/>
  <c r="A75" i="4"/>
  <c r="L196" i="2"/>
  <c r="E222" i="4"/>
  <c r="I222" i="4" s="1"/>
  <c r="J746" i="2"/>
  <c r="L746" i="2" s="1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5" i="2"/>
  <c r="K246" i="6"/>
  <c r="K247" i="6" s="1"/>
  <c r="A54" i="6"/>
  <c r="L1584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89" i="2"/>
  <c r="L1580" i="2"/>
  <c r="L1581" i="2" s="1"/>
  <c r="P1581" i="2" s="1"/>
  <c r="L1575" i="2"/>
  <c r="L1576" i="2" s="1"/>
  <c r="P1576" i="2" s="1"/>
  <c r="J1522" i="2"/>
  <c r="L1570" i="2"/>
  <c r="L1571" i="2" s="1"/>
  <c r="N1571" i="2" s="1"/>
  <c r="I253" i="4"/>
  <c r="J1953" i="2" s="1"/>
  <c r="L980" i="2"/>
  <c r="L981" i="2" s="1"/>
  <c r="P981" i="2" s="1"/>
  <c r="L1566" i="2"/>
  <c r="L1567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0" i="2"/>
  <c r="L1911" i="2" s="1"/>
  <c r="I250" i="4"/>
  <c r="J1907" i="2" s="1"/>
  <c r="I249" i="4"/>
  <c r="J1904" i="2" s="1"/>
  <c r="L1904" i="2" s="1"/>
  <c r="L1905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5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A10" i="4"/>
  <c r="A11" i="4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4" i="2"/>
  <c r="L1664" i="2" s="1"/>
  <c r="L1665" i="2" s="1"/>
  <c r="I144" i="4"/>
  <c r="I109" i="4"/>
  <c r="J763" i="2" s="1"/>
  <c r="L763" i="2" s="1"/>
  <c r="L764" i="2" s="1"/>
  <c r="I133" i="4"/>
  <c r="J1127" i="2" s="1"/>
  <c r="F11" i="4"/>
  <c r="I11" i="4" s="1"/>
  <c r="I242" i="4"/>
  <c r="J1792" i="2" s="1"/>
  <c r="L1792" i="2" s="1"/>
  <c r="L1793" i="2" s="1"/>
  <c r="I97" i="4"/>
  <c r="J737" i="2" s="1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4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4" i="2" s="1"/>
  <c r="I173" i="4"/>
  <c r="J1402" i="2" s="1"/>
  <c r="L1402" i="2" s="1"/>
  <c r="I235" i="4"/>
  <c r="J1874" i="2" s="1"/>
  <c r="L1874" i="2" s="1"/>
  <c r="L1875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2" i="2" s="1"/>
  <c r="L1732" i="2" s="1"/>
  <c r="L1733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3" i="2" s="1"/>
  <c r="L1843" i="2" s="1"/>
  <c r="L1844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49" i="2" s="1"/>
  <c r="L1849" i="2" s="1"/>
  <c r="L1850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1" i="2" s="1"/>
  <c r="L1771" i="2" s="1"/>
  <c r="L1772" i="2" s="1"/>
  <c r="I169" i="4"/>
  <c r="I236" i="4"/>
  <c r="J1711" i="2" s="1"/>
  <c r="L1711" i="2" s="1"/>
  <c r="L1712" i="2" s="1"/>
  <c r="I142" i="4"/>
  <c r="J1278" i="2" s="1"/>
  <c r="L1278" i="2" s="1"/>
  <c r="I233" i="4"/>
  <c r="J1623" i="2" s="1"/>
  <c r="L1623" i="2" s="1"/>
  <c r="L1624" i="2" s="1"/>
  <c r="F42" i="4"/>
  <c r="I42" i="4" s="1"/>
  <c r="J438" i="2" s="1"/>
  <c r="L438" i="2" s="1"/>
  <c r="L439" i="2" s="1"/>
  <c r="I246" i="4"/>
  <c r="J1838" i="2" s="1"/>
  <c r="L1838" i="2" s="1"/>
  <c r="L1839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2" i="2" s="1"/>
  <c r="L1802" i="2" s="1"/>
  <c r="L1803" i="2" s="1"/>
  <c r="I156" i="4"/>
  <c r="J740" i="2" s="1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2" i="2" s="1"/>
  <c r="L1672" i="2" s="1"/>
  <c r="L1673" i="2" s="1"/>
  <c r="I247" i="4"/>
  <c r="J1880" i="2" s="1"/>
  <c r="L1880" i="2" s="1"/>
  <c r="L1881" i="2" s="1"/>
  <c r="I120" i="4"/>
  <c r="I122" i="4"/>
  <c r="J724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89" i="2" s="1"/>
  <c r="L1689" i="2" s="1"/>
  <c r="L1690" i="2" s="1"/>
  <c r="I234" i="4"/>
  <c r="J1866" i="2" s="1"/>
  <c r="L1866" i="2" s="1"/>
  <c r="L1867" i="2" s="1"/>
  <c r="I178" i="4"/>
  <c r="J1435" i="2" s="1"/>
  <c r="L1435" i="2" s="1"/>
  <c r="I125" i="4"/>
  <c r="J898" i="2" s="1"/>
  <c r="L898" i="2" s="1"/>
  <c r="L899" i="2" s="1"/>
  <c r="I243" i="4"/>
  <c r="J1821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0" i="2" s="1"/>
  <c r="L1930" i="2" s="1"/>
  <c r="L1931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4" i="2" s="1"/>
  <c r="L1634" i="2" s="1"/>
  <c r="L1635" i="2" s="1"/>
  <c r="I244" i="4"/>
  <c r="J1898" i="2" s="1"/>
  <c r="L1898" i="2" s="1"/>
  <c r="L1899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6" i="2" s="1"/>
  <c r="L1916" i="2" s="1"/>
  <c r="J1786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J730" i="2"/>
  <c r="L730" i="2" s="1"/>
  <c r="R38" i="15"/>
  <c r="J1367" i="2"/>
  <c r="L1367" i="2" s="1"/>
  <c r="J1606" i="2"/>
  <c r="J1316" i="2"/>
  <c r="J969" i="2"/>
  <c r="I76" i="4"/>
  <c r="J613" i="2" s="1"/>
  <c r="J13" i="4"/>
  <c r="I13" i="4"/>
  <c r="J138" i="2" s="1"/>
  <c r="L138" i="2" s="1"/>
  <c r="J1859" i="2"/>
  <c r="I20" i="4"/>
  <c r="J20" i="4"/>
  <c r="J29" i="4"/>
  <c r="J38" i="4"/>
  <c r="J46" i="4"/>
  <c r="J54" i="4"/>
  <c r="I55" i="4"/>
  <c r="J597" i="2" s="1"/>
  <c r="J55" i="4"/>
  <c r="J1597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1" i="2"/>
  <c r="L1681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J735" i="2"/>
  <c r="L735" i="2" s="1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3" i="2"/>
  <c r="J1654" i="2"/>
  <c r="L1654" i="2" s="1"/>
  <c r="L1938" i="2"/>
  <c r="L1939" i="2" s="1"/>
  <c r="J1939" i="2"/>
  <c r="N1558" i="2"/>
  <c r="N1563" i="2"/>
  <c r="P1547" i="2"/>
  <c r="L1138" i="2"/>
  <c r="J1592" i="2"/>
  <c r="A77" i="4"/>
  <c r="A78" i="4" s="1"/>
  <c r="J747" i="2"/>
  <c r="L197" i="2"/>
  <c r="J1149" i="2"/>
  <c r="L1149" i="2" s="1"/>
  <c r="L1150" i="2" s="1"/>
  <c r="A1146" i="2" s="1"/>
  <c r="J1145" i="2"/>
  <c r="L1144" i="2"/>
  <c r="L1145" i="2" s="1"/>
  <c r="P1553" i="2"/>
  <c r="P1567" i="2"/>
  <c r="A1564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5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88" i="2"/>
  <c r="L1589" i="2" s="1"/>
  <c r="L1431" i="2"/>
  <c r="L1432" i="2" s="1"/>
  <c r="L208" i="2"/>
  <c r="N1576" i="2"/>
  <c r="N1581" i="2"/>
  <c r="L724" i="2"/>
  <c r="L725" i="2" s="1"/>
  <c r="P725" i="2" s="1"/>
  <c r="J725" i="2"/>
  <c r="L1028" i="2"/>
  <c r="L1029" i="2" s="1"/>
  <c r="L1039" i="2"/>
  <c r="L1040" i="2" s="1"/>
  <c r="P1571" i="2"/>
  <c r="J953" i="2"/>
  <c r="L223" i="2"/>
  <c r="L224" i="2" s="1"/>
  <c r="J1382" i="2"/>
  <c r="J1954" i="2"/>
  <c r="L1953" i="2"/>
  <c r="J228" i="2"/>
  <c r="L228" i="2" s="1"/>
  <c r="L229" i="2" s="1"/>
  <c r="N1567" i="2"/>
  <c r="N981" i="2"/>
  <c r="J1347" i="2"/>
  <c r="L1347" i="2" s="1"/>
  <c r="A1342" i="2" s="1"/>
  <c r="L1764" i="2"/>
  <c r="L1765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7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1" i="2"/>
  <c r="P1911" i="2"/>
  <c r="J1427" i="2"/>
  <c r="J1443" i="2"/>
  <c r="L1443" i="2" s="1"/>
  <c r="L1194" i="2"/>
  <c r="K167" i="6"/>
  <c r="K168" i="6" s="1"/>
  <c r="J87" i="7"/>
  <c r="L662" i="2"/>
  <c r="L87" i="7" s="1"/>
  <c r="J1908" i="2"/>
  <c r="L1907" i="2"/>
  <c r="L1908" i="2" s="1"/>
  <c r="L167" i="2"/>
  <c r="L168" i="2" s="1"/>
  <c r="L299" i="2"/>
  <c r="L300" i="2" s="1"/>
  <c r="J300" i="2"/>
  <c r="L217" i="2"/>
  <c r="L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5" i="2"/>
  <c r="L1934" i="2"/>
  <c r="L1935" i="2" s="1"/>
  <c r="L597" i="2"/>
  <c r="J16" i="7"/>
  <c r="L36" i="7"/>
  <c r="L40" i="7" s="1"/>
  <c r="L756" i="2"/>
  <c r="L1806" i="2"/>
  <c r="P1464" i="2"/>
  <c r="N1464" i="2"/>
  <c r="P1407" i="2"/>
  <c r="N1407" i="2"/>
  <c r="A12" i="4"/>
  <c r="A13" i="4" s="1"/>
  <c r="J1905" i="2"/>
  <c r="J118" i="2"/>
  <c r="L118" i="2" s="1"/>
  <c r="L119" i="2" s="1"/>
  <c r="J1712" i="2"/>
  <c r="P1712" i="2" s="1"/>
  <c r="R57" i="15"/>
  <c r="X57" i="15" s="1"/>
  <c r="X58" i="15" s="1"/>
  <c r="J1839" i="2"/>
  <c r="N1839" i="2" s="1"/>
  <c r="J890" i="2"/>
  <c r="L890" i="2" s="1"/>
  <c r="P890" i="2" s="1"/>
  <c r="J1040" i="2"/>
  <c r="J1875" i="2"/>
  <c r="N1875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3" i="2"/>
  <c r="N1733" i="2" s="1"/>
  <c r="J738" i="2"/>
  <c r="L738" i="2" s="1"/>
  <c r="A736" i="2" s="1"/>
  <c r="J1931" i="2"/>
  <c r="J1320" i="2"/>
  <c r="L1320" i="2" s="1"/>
  <c r="N1320" i="2" s="1"/>
  <c r="J1793" i="2"/>
  <c r="N1793" i="2" s="1"/>
  <c r="J882" i="2"/>
  <c r="J1624" i="2"/>
  <c r="J1772" i="2"/>
  <c r="P1772" i="2" s="1"/>
  <c r="J1844" i="2"/>
  <c r="P1844" i="2" s="1"/>
  <c r="R139" i="15"/>
  <c r="J1062" i="2"/>
  <c r="J1016" i="2"/>
  <c r="N1016" i="2" s="1"/>
  <c r="J1690" i="2"/>
  <c r="P1690" i="2" s="1"/>
  <c r="J650" i="2"/>
  <c r="J773" i="2"/>
  <c r="J1237" i="2"/>
  <c r="N1237" i="2" s="1"/>
  <c r="J1411" i="2"/>
  <c r="L1411" i="2" s="1"/>
  <c r="N1411" i="2" s="1"/>
  <c r="J1803" i="2"/>
  <c r="N1803" i="2" s="1"/>
  <c r="J941" i="2"/>
  <c r="N941" i="2"/>
  <c r="J1209" i="2"/>
  <c r="J1324" i="2"/>
  <c r="L1324" i="2" s="1"/>
  <c r="P1324" i="2" s="1"/>
  <c r="J1091" i="2"/>
  <c r="L1091" i="2" s="1"/>
  <c r="N1091" i="2" s="1"/>
  <c r="J1822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5" i="2"/>
  <c r="P1665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1" i="2"/>
  <c r="J808" i="2"/>
  <c r="J1850" i="2"/>
  <c r="N1850" i="2" s="1"/>
  <c r="O81" i="6"/>
  <c r="O82" i="6" s="1"/>
  <c r="J1899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7" i="2"/>
  <c r="N1867" i="2" s="1"/>
  <c r="J741" i="2"/>
  <c r="L741" i="2" s="1"/>
  <c r="N741" i="2" s="1"/>
  <c r="J1635" i="2"/>
  <c r="P1635" i="2" s="1"/>
  <c r="J1673" i="2"/>
  <c r="N1673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6" i="2"/>
  <c r="P1786" i="2"/>
  <c r="N1899" i="2"/>
  <c r="P1899" i="2"/>
  <c r="J154" i="2"/>
  <c r="J1000" i="2"/>
  <c r="A731" i="2"/>
  <c r="P735" i="2"/>
  <c r="N735" i="2"/>
  <c r="N747" i="2"/>
  <c r="P747" i="2"/>
  <c r="J423" i="2"/>
  <c r="N1859" i="2"/>
  <c r="P1859" i="2"/>
  <c r="J139" i="2"/>
  <c r="L139" i="2" s="1"/>
  <c r="P969" i="2"/>
  <c r="N969" i="2"/>
  <c r="P1606" i="2"/>
  <c r="N1606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1" i="2"/>
  <c r="N1681" i="2"/>
  <c r="J1279" i="2"/>
  <c r="L1279" i="2" s="1"/>
  <c r="N1881" i="2"/>
  <c r="P1881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7" i="2"/>
  <c r="L1917" i="2" s="1"/>
  <c r="N1917" i="2" s="1"/>
  <c r="J465" i="2"/>
  <c r="N678" i="2"/>
  <c r="P678" i="2"/>
  <c r="N1585" i="2" l="1"/>
  <c r="O247" i="6" s="1"/>
  <c r="J609" i="2"/>
  <c r="P1935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4" i="2"/>
  <c r="P1654" i="2"/>
  <c r="P1939" i="2"/>
  <c r="N1939" i="2"/>
  <c r="P1624" i="2"/>
  <c r="P909" i="2"/>
  <c r="N756" i="2"/>
  <c r="N40" i="7" s="1"/>
  <c r="J1150" i="2"/>
  <c r="L1592" i="2"/>
  <c r="L1593" i="2" s="1"/>
  <c r="J1593" i="2"/>
  <c r="L198" i="2"/>
  <c r="N1150" i="2"/>
  <c r="J626" i="2"/>
  <c r="L625" i="2"/>
  <c r="P1145" i="2"/>
  <c r="N1145" i="2"/>
  <c r="P882" i="2"/>
  <c r="N293" i="2"/>
  <c r="P293" i="2"/>
  <c r="P830" i="2"/>
  <c r="N830" i="2"/>
  <c r="P1585" i="2"/>
  <c r="Q247" i="6" s="1"/>
  <c r="K243" i="6"/>
  <c r="P1589" i="2"/>
  <c r="A1586" i="2"/>
  <c r="J1215" i="2"/>
  <c r="L1215" i="2" s="1"/>
  <c r="N1215" i="2" s="1"/>
  <c r="J1222" i="2"/>
  <c r="N229" i="2"/>
  <c r="P229" i="2"/>
  <c r="N764" i="2"/>
  <c r="P660" i="2"/>
  <c r="N1589" i="2"/>
  <c r="O193" i="6"/>
  <c r="O194" i="6" s="1"/>
  <c r="J1007" i="2"/>
  <c r="L1006" i="2"/>
  <c r="L1007" i="2" s="1"/>
  <c r="N1432" i="2"/>
  <c r="N1040" i="2"/>
  <c r="L1954" i="2"/>
  <c r="J229" i="2"/>
  <c r="P1347" i="2"/>
  <c r="N1347" i="2"/>
  <c r="J1765" i="2"/>
  <c r="J1955" i="2" s="1"/>
  <c r="N1765" i="2"/>
  <c r="P987" i="2"/>
  <c r="N987" i="2"/>
  <c r="N1597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08" i="2"/>
  <c r="P1908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7" i="2"/>
  <c r="L1808" i="2"/>
  <c r="L188" i="2"/>
  <c r="J193" i="2"/>
  <c r="N660" i="2"/>
  <c r="N1635" i="2"/>
  <c r="A739" i="2"/>
  <c r="P1850" i="2"/>
  <c r="N1665" i="2"/>
  <c r="A1331" i="2"/>
  <c r="P741" i="2"/>
  <c r="N725" i="2"/>
  <c r="P1673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5" i="2"/>
  <c r="P1905" i="2"/>
  <c r="J97" i="2"/>
  <c r="P1048" i="2"/>
  <c r="R142" i="15"/>
  <c r="R58" i="15"/>
  <c r="O32" i="6"/>
  <c r="P1867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1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3" i="2"/>
  <c r="N738" i="2"/>
  <c r="P1150" i="2"/>
  <c r="P836" i="2"/>
  <c r="N836" i="2"/>
  <c r="X103" i="15"/>
  <c r="X104" i="15" s="1"/>
  <c r="AB104" i="15" s="1"/>
  <c r="P1237" i="2"/>
  <c r="N1935" i="2"/>
  <c r="X83" i="15"/>
  <c r="X84" i="15" s="1"/>
  <c r="Z84" i="15" s="1"/>
  <c r="P1388" i="2"/>
  <c r="N1772" i="2"/>
  <c r="P1875" i="2"/>
  <c r="P1040" i="2"/>
  <c r="N1844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5" i="2"/>
  <c r="N685" i="2"/>
  <c r="P1733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2" i="2"/>
  <c r="P1803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4" i="2"/>
  <c r="N853" i="2"/>
  <c r="P1839" i="2"/>
  <c r="A1321" i="2"/>
  <c r="N1324" i="2"/>
  <c r="P1209" i="2"/>
  <c r="N1931" i="2"/>
  <c r="P899" i="2"/>
  <c r="N1690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7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4" i="2"/>
  <c r="L626" i="2"/>
  <c r="L92" i="7"/>
  <c r="L93" i="7" s="1"/>
  <c r="P1249" i="2"/>
  <c r="Q153" i="6" s="1"/>
  <c r="N1593" i="2"/>
  <c r="P1593" i="2"/>
  <c r="L199" i="2"/>
  <c r="P1215" i="2"/>
  <c r="K248" i="6"/>
  <c r="M243" i="6"/>
  <c r="P119" i="2"/>
  <c r="N119" i="2"/>
  <c r="P1007" i="2"/>
  <c r="N1007" i="2"/>
  <c r="P1954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09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0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1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2" i="2"/>
  <c r="A37" i="4"/>
  <c r="A144" i="4"/>
  <c r="A143" i="4"/>
  <c r="A145" i="4"/>
  <c r="A73" i="15"/>
  <c r="H225" i="2" l="1"/>
  <c r="H378" i="2" s="1"/>
  <c r="P209" i="2"/>
  <c r="N209" i="2"/>
  <c r="L225" i="2"/>
  <c r="A97" i="6"/>
  <c r="L1813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3" i="2"/>
  <c r="P1813" i="2"/>
  <c r="L1815" i="2"/>
  <c r="L1814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2" i="2"/>
  <c r="K1955" i="2" s="1"/>
  <c r="L1821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6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2" i="2"/>
  <c r="I1955" i="2" s="1"/>
  <c r="L1822" i="2"/>
  <c r="L1955" i="2" s="1"/>
  <c r="L381" i="2" l="1"/>
  <c r="A172" i="4"/>
  <c r="A173" i="4" s="1"/>
  <c r="P1822" i="2"/>
  <c r="I1956" i="2"/>
  <c r="N1822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4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39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7" i="2"/>
  <c r="I439" i="2"/>
  <c r="L399" i="2" l="1"/>
  <c r="I611" i="2"/>
  <c r="I612" i="2" s="1"/>
  <c r="P439" i="2"/>
  <c r="N439" i="2"/>
  <c r="L400" i="2" l="1"/>
  <c r="I1957" i="2"/>
  <c r="I1961" i="2" l="1"/>
  <c r="I1963" i="2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7" i="2" s="1"/>
  <c r="H1962" i="2" s="1"/>
  <c r="N423" i="2"/>
  <c r="P423" i="2"/>
  <c r="L611" i="2"/>
  <c r="A169" i="2"/>
  <c r="X1859" i="2" l="1"/>
  <c r="X1881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2" i="2" l="1"/>
  <c r="A588" i="2" l="1"/>
  <c r="A1383" i="2" l="1"/>
  <c r="X1867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899" i="2" l="1"/>
  <c r="X278" i="2" l="1"/>
  <c r="A1449" i="2" l="1"/>
  <c r="X845" i="2"/>
  <c r="Z844" i="2"/>
  <c r="X963" i="2"/>
  <c r="X1048" i="2"/>
  <c r="X1803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4" i="2" l="1"/>
  <c r="A1041" i="2" l="1"/>
  <c r="X820" i="2" l="1"/>
  <c r="X1222" i="2" l="1"/>
  <c r="X377" i="2" l="1"/>
  <c r="X378" i="2" l="1"/>
  <c r="O379" i="2"/>
  <c r="X1098" i="2" l="1"/>
  <c r="X1295" i="2"/>
  <c r="X1309" i="2"/>
  <c r="X1606" i="2"/>
  <c r="X1624" i="2"/>
  <c r="X1822" i="2"/>
  <c r="A821" i="2" l="1"/>
  <c r="A783" i="2"/>
  <c r="A703" i="2"/>
  <c r="L613" i="2"/>
  <c r="J622" i="2"/>
  <c r="J1598" i="2" s="1"/>
  <c r="L614" i="2"/>
  <c r="J1956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J61" i="2"/>
  <c r="P38" i="2" l="1"/>
  <c r="N38" i="2"/>
  <c r="L61" i="2"/>
  <c r="J88" i="2"/>
  <c r="J194" i="2" s="1"/>
  <c r="J612" i="2" s="1"/>
  <c r="J1957" i="2" s="1"/>
  <c r="M1959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2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0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6" i="2" l="1"/>
  <c r="A697" i="2" l="1"/>
  <c r="A970" i="2"/>
  <c r="A1001" i="2"/>
  <c r="A1416" i="2"/>
  <c r="A1465" i="2"/>
  <c r="A1487" i="2"/>
  <c r="A1572" i="2"/>
  <c r="A1900" i="2"/>
  <c r="A1906" i="2"/>
  <c r="G88" i="7" l="1"/>
  <c r="L663" i="2"/>
  <c r="X664" i="2"/>
  <c r="X663" i="2"/>
  <c r="L664" i="2" l="1"/>
  <c r="G89" i="7"/>
  <c r="L88" i="7"/>
  <c r="L96" i="7" l="1"/>
  <c r="L1598" i="2"/>
  <c r="L1956" i="2" s="1"/>
  <c r="F94" i="7"/>
  <c r="P664" i="2"/>
  <c r="P89" i="7" s="1"/>
  <c r="N664" i="2"/>
  <c r="N89" i="7" s="1"/>
  <c r="A661" i="2"/>
  <c r="L89" i="7"/>
  <c r="L94" i="7" s="1"/>
  <c r="L97" i="7" l="1"/>
  <c r="L1957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6" i="2"/>
  <c r="G1957" i="2" s="1"/>
  <c r="X1598" i="2"/>
  <c r="A982" i="2" l="1"/>
  <c r="L1959" i="2"/>
  <c r="AA1957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8" i="2" l="1"/>
  <c r="A1577" i="2" l="1"/>
  <c r="A1582" i="2" s="1"/>
  <c r="A1590" i="2" l="1"/>
  <c r="A1599" i="2" s="1"/>
  <c r="A1613" i="2" s="1"/>
  <c r="A1628" i="2" s="1"/>
  <c r="A1658" i="2" s="1"/>
  <c r="A1666" i="2" s="1"/>
  <c r="A1682" i="2" s="1"/>
  <c r="A1701" i="2" s="1"/>
  <c r="A1722" i="2" s="1"/>
  <c r="A1760" i="2" s="1"/>
  <c r="A1766" i="2" s="1"/>
  <c r="A1780" i="2" s="1"/>
  <c r="A1787" i="2" s="1"/>
  <c r="A1794" i="2" s="1"/>
  <c r="A1814" i="2" s="1"/>
  <c r="A1832" i="2" s="1"/>
  <c r="A1840" i="2" s="1"/>
  <c r="A1845" i="2" s="1"/>
  <c r="A1851" i="2" s="1"/>
  <c r="A1860" i="2" s="1"/>
  <c r="A1868" i="2" s="1"/>
  <c r="A1876" i="2" s="1"/>
  <c r="A1882" i="2" s="1"/>
  <c r="A1909" i="2" s="1"/>
  <c r="A1912" i="2" s="1"/>
  <c r="A1918" i="2" s="1"/>
  <c r="A1936" i="2" s="1"/>
  <c r="A19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645BFDE9-E8D0-4F76-A94D-1A3F51A77A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5" authorId="0" shapeId="0" xr:uid="{96FAE3F5-30EC-4AF9-86C5-665B472DF4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6" authorId="0" shapeId="0" xr:uid="{547A2D79-2C77-4970-8EDF-0A2F01DCBF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7" authorId="0" shapeId="0" xr:uid="{B074DAD3-7CFA-4DCC-AF1D-59947CF8E4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8" authorId="0" shapeId="0" xr:uid="{D5534F73-C6C2-4B41-926B-EA0BA50703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2FD8C19-7DC5-4B7D-ACC6-E16DAEE1DA5A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418B8579-D63C-428A-B685-0013795CC837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8002EF6F-7550-48A3-8365-3F1E4CEA12AB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14E8DDD5-906A-4333-BFBA-840CA43683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1939131D-E054-4DBD-8EA8-4A2D7C63CD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082DBF0A-0BE5-4415-BD43-26981E80A0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EB4163DE-3F96-434B-90FF-83C24658F7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105B724F-D8A5-4F90-B847-60D160FFC4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3" authorId="0" shapeId="0" xr:uid="{5F63FFD9-5371-4EA9-ADD0-D43CC3E6EB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6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ADA29538-E6FA-4886-A2AF-EC1F2FFA41B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 cont đợi thông quan ngày 11/09/2026</t>
        </r>
      </text>
    </comment>
    <comment ref="C8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33BA2F93-658E-4432-AECB-B65027AC42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7A4FE70B-5679-4163-AADA-26B6E20B85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7B2024C6-8E08-453E-8A9E-70DB6DAD20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45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54BAC604-2304-45E6-9692-506E2A4E08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<sst xmlns="http://schemas.openxmlformats.org/spreadsheetml/2006/main" count="6986" uniqueCount="2444">
  <si>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</si>
  <si>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</si>
  <si>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</si>
  <si>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</si>
  <si>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</si>
  <si>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</si>
  <si>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</si>
  <si>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</si>
  <si>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</si>
  <si>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</si>
  <si>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</si>
  <si>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</si>
  <si>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</si>
  <si>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</si>
  <si>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</si>
  <si>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</si>
  <si>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</si>
  <si>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</si>
  <si>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</si>
  <si>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</si>
  <si>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</si>
  <si>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</si>
  <si>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</si>
  <si>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</si>
  <si>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</si>
  <si>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</si>
  <si>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</si>
  <si>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</si>
  <si>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</si>
  <si>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</si>
  <si>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</si>
  <si>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</si>
  <si>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</si>
  <si>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</si>
  <si>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</si>
  <si>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</si>
  <si>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</si>
  <si>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</si>
  <si>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</si>
  <si>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</si>
  <si>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</si>
  <si>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</si>
  <si>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</si>
  <si>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</si>
  <si>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</si>
  <si>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</si>
  <si>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</si>
  <si>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</si>
  <si>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</si>
  <si>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</si>
  <si>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</si>
  <si>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</si>
  <si>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</si>
  <si>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</si>
  <si>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</si>
  <si>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</si>
  <si>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</si>
  <si>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</si>
  <si>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</si>
  <si>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</si>
  <si>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</si>
  <si>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</si>
  <si>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</si>
  <si>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</si>
  <si>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</si>
  <si>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</si>
  <si>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</si>
  <si>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</si>
  <si>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</si>
  <si>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</si>
  <si>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</si>
  <si>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</si>
  <si>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</si>
  <si>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</si>
  <si>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</si>
  <si>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</si>
  <si>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</si>
  <si>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</si>
  <si>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</si>
  <si>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</si>
  <si>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</si>
  <si>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</si>
  <si>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</si>
  <si>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</si>
  <si>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</si>
  <si>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</si>
  <si>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</si>
  <si>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</si>
  <si>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</si>
  <si>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</si>
  <si>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</si>
  <si>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</si>
  <si>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</si>
  <si>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</si>
  <si>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</si>
  <si>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</si>
  <si>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</si>
  <si>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</si>
  <si>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</si>
  <si>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</si>
  <si>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</si>
  <si>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</si>
  <si>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</si>
  <si>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</si>
  <si>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</si>
  <si>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</si>
  <si>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</si>
  <si>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</si>
  <si>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</si>
  <si>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</si>
  <si>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</si>
  <si>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</si>
  <si>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</si>
  <si>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</si>
  <si>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</si>
  <si>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</si>
  <si>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</si>
  <si>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</si>
  <si>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</si>
  <si>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</si>
  <si>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</si>
  <si>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</si>
  <si>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</si>
  <si>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</si>
  <si>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</si>
  <si>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</si>
  <si>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</si>
  <si>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</si>
  <si>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</si>
  <si>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</si>
  <si>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</si>
  <si>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</si>
  <si>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</si>
  <si>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</si>
  <si>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</si>
  <si>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</si>
  <si>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</si>
  <si>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</si>
  <si>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</si>
  <si>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</si>
  <si>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</si>
  <si>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</si>
  <si>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</si>
  <si>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</si>
  <si>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</si>
  <si>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</si>
  <si>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</si>
  <si>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</si>
  <si>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</si>
  <si>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</si>
  <si>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</si>
  <si>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</si>
  <si>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</si>
  <si>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</si>
  <si>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</si>
  <si>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</si>
  <si>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</si>
  <si>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</si>
  <si>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</si>
  <si>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</si>
  <si>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</si>
  <si>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</si>
  <si>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</si>
  <si>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</si>
  <si>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</si>
  <si>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</si>
  <si>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</si>
  <si>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</si>
  <si>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</si>
  <si>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</si>
  <si>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</si>
  <si>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</si>
  <si>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</si>
  <si>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</si>
  <si>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</si>
  <si>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</si>
  <si>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</si>
  <si>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</si>
  <si>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</si>
  <si>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</si>
  <si>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</si>
  <si>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</si>
  <si>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</si>
  <si>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</si>
  <si>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</si>
  <si>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</si>
  <si>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</si>
  <si>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</si>
  <si>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</si>
  <si>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</si>
  <si>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</si>
  <si>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</si>
  <si>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</si>
  <si>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</si>
  <si>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</si>
  <si>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</si>
  <si>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</si>
  <si>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</si>
  <si>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</si>
  <si>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</si>
  <si>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</si>
  <si>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</si>
  <si>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</si>
  <si>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</si>
  <si>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</si>
  <si>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</si>
  <si>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</si>
  <si>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</si>
  <si>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</si>
  <si>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</si>
  <si>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</si>
  <si>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</si>
  <si>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</si>
  <si>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</si>
  <si>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</si>
  <si>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</si>
  <si>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</si>
  <si>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</si>
  <si>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</si>
  <si>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</si>
  <si>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</si>
  <si>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</si>
  <si>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</si>
  <si>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</si>
  <si>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</si>
  <si>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</si>
  <si>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</si>
  <si>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</si>
  <si>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</si>
  <si>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</si>
  <si>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</si>
  <si>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</si>
  <si>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</si>
  <si>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</si>
  <si>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</si>
  <si>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</si>
  <si>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</si>
  <si>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</si>
  <si>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</si>
  <si>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</si>
  <si>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</si>
  <si>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</si>
  <si>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</si>
  <si>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</si>
  <si>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</si>
  <si>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</si>
  <si>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</si>
  <si>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</si>
  <si>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</si>
  <si>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</si>
  <si>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</si>
  <si>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</si>
  <si>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</si>
  <si>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</si>
  <si>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</si>
  <si>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</si>
  <si>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</si>
  <si>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</si>
  <si>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</si>
  <si>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</si>
  <si>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</si>
  <si>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</si>
  <si>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</si>
  <si>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</si>
  <si>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</si>
  <si>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</si>
  <si>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</si>
  <si>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</si>
  <si>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</si>
  <si>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</si>
  <si>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</si>
  <si>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</si>
  <si>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</si>
  <si>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</si>
  <si>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</si>
  <si>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</si>
  <si>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</si>
  <si>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</si>
  <si>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</si>
  <si>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</si>
  <si>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</si>
  <si>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</si>
  <si>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</si>
  <si>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</si>
  <si>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</si>
  <si>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</si>
  <si>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</si>
  <si>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</si>
  <si>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</si>
  <si>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</si>
  <si>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</si>
  <si>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</si>
  <si>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</si>
  <si>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</si>
  <si>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</si>
  <si>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</si>
  <si>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</si>
  <si>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</si>
  <si>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</si>
  <si>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</si>
  <si>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</si>
  <si>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</si>
  <si>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</si>
  <si>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</si>
  <si>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</si>
  <si>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</si>
  <si>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</si>
  <si>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</si>
  <si>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</si>
  <si>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</si>
  <si>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</si>
  <si>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</si>
  <si>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</si>
  <si>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</si>
  <si>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</si>
  <si>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</si>
  <si>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</si>
  <si>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</si>
  <si>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</si>
  <si>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</si>
  <si>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</si>
  <si>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</si>
  <si>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</si>
  <si>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</si>
  <si>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</si>
  <si>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</si>
  <si>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</si>
  <si>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</si>
  <si>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</si>
  <si>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</si>
  <si>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</si>
  <si>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</si>
  <si>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</si>
  <si>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</si>
  <si>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</si>
  <si>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</si>
  <si>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</si>
  <si>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</si>
  <si>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</si>
  <si>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</si>
  <si>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</si>
  <si>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</si>
  <si>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</si>
  <si>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</si>
  <si>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</si>
  <si>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</si>
  <si>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</si>
  <si>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</si>
  <si>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</si>
  <si>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</si>
  <si>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</si>
  <si>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</si>
  <si>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</si>
  <si>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</si>
  <si>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</si>
  <si>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</si>
  <si>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</si>
  <si>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</si>
  <si>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</si>
  <si>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</si>
  <si>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</si>
  <si>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</si>
  <si>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</si>
  <si>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</si>
  <si>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</si>
  <si>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</si>
  <si>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</si>
  <si>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</si>
  <si>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</si>
  <si>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</si>
  <si>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</si>
  <si>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</si>
  <si>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</si>
  <si>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</si>
  <si>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</si>
  <si>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</si>
  <si>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</si>
  <si>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</si>
  <si>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</si>
  <si>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</si>
  <si>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</si>
  <si>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</si>
  <si>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</si>
  <si>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</si>
  <si>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</si>
  <si>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</si>
  <si>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</si>
  <si>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</si>
  <si>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</si>
  <si>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</si>
  <si>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</si>
  <si>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</si>
  <si>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</si>
  <si>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</si>
  <si>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</si>
  <si>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</si>
  <si>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</si>
  <si>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</si>
  <si>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</si>
  <si>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</si>
  <si>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</si>
  <si>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</si>
  <si>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</si>
  <si>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</si>
  <si>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</si>
  <si>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</si>
  <si>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</si>
  <si>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</si>
  <si>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</si>
  <si>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</si>
  <si>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</si>
  <si>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</si>
  <si>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</si>
  <si>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</si>
  <si>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</si>
  <si>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</si>
  <si>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</si>
  <si>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</si>
  <si>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</si>
  <si>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</si>
  <si>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</si>
  <si>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</si>
  <si>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</si>
  <si>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</si>
  <si>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</si>
  <si>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</si>
  <si>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</si>
  <si>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</si>
  <si>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</si>
  <si>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</si>
  <si>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</si>
  <si>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</si>
  <si>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</si>
  <si>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</si>
  <si>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</si>
  <si>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</si>
  <si>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</si>
  <si>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</si>
  <si>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</si>
  <si>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</si>
  <si>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</si>
  <si>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</si>
  <si>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</si>
  <si>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</si>
  <si>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</si>
  <si>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</si>
  <si>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</si>
  <si>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</si>
  <si>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</si>
  <si>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</si>
  <si>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</si>
  <si>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</si>
  <si>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</si>
  <si>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</si>
  <si>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</si>
  <si>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</si>
  <si>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</si>
  <si>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</si>
  <si>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</si>
  <si>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</si>
  <si>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</si>
  <si>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</si>
  <si>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</si>
  <si>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</si>
  <si>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</si>
  <si>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</si>
  <si>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</si>
  <si>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</si>
  <si>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</si>
  <si>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</si>
  <si>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</si>
  <si>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</si>
  <si>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</si>
  <si>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</si>
  <si>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</si>
  <si>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</si>
  <si>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</si>
  <si>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</si>
  <si>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</si>
  <si>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</si>
  <si>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</si>
  <si>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</si>
  <si>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</si>
  <si>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</si>
  <si>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</si>
  <si>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</si>
  <si>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</si>
  <si>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</si>
  <si>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</si>
  <si>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</si>
  <si>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</si>
  <si>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</si>
  <si>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</si>
  <si>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</si>
  <si>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</si>
  <si>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</si>
  <si>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</si>
  <si>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</si>
  <si>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</si>
  <si>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</si>
  <si>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</si>
  <si>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</si>
  <si>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</si>
  <si>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</si>
  <si>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</si>
  <si>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</si>
  <si>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</si>
  <si>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</si>
  <si>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</si>
  <si>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</si>
  <si>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</si>
  <si>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</si>
  <si>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</si>
  <si>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</si>
  <si>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</si>
  <si>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</si>
  <si>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</si>
  <si>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</si>
  <si>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</si>
  <si>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</si>
  <si>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</si>
  <si>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</si>
  <si>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</si>
  <si>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</si>
  <si>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</si>
  <si>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</si>
  <si>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</si>
  <si>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</si>
  <si>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</si>
  <si>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</si>
  <si>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</si>
  <si>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</si>
  <si>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</si>
  <si>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</si>
  <si>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</si>
  <si>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</si>
  <si>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</si>
  <si>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</si>
  <si>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</si>
  <si>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</si>
  <si>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</si>
  <si>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</si>
  <si>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</si>
  <si>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</si>
  <si>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</si>
  <si>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</si>
  <si>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</si>
  <si>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</si>
  <si>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</si>
  <si>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</si>
  <si>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</si>
  <si>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</si>
  <si>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</si>
  <si>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</si>
  <si>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</si>
  <si>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</si>
  <si>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</si>
  <si>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</si>
  <si>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</si>
  <si>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</si>
  <si>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</si>
  <si>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</si>
  <si>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</si>
  <si>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</si>
  <si>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</si>
  <si>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</si>
  <si>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</si>
  <si>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</si>
  <si>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</si>
  <si>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</si>
  <si>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</si>
  <si>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</si>
  <si>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</si>
  <si>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</si>
  <si>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</si>
  <si>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</si>
  <si>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</si>
  <si>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</si>
  <si>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</si>
  <si>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</si>
  <si>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</si>
  <si>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</si>
  <si>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</si>
  <si>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</si>
  <si>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</si>
  <si>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</si>
  <si>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</si>
  <si>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</si>
  <si>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</si>
  <si>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</si>
  <si>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</si>
  <si>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</si>
  <si>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</si>
  <si>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</si>
  <si>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</si>
  <si>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</si>
  <si>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</si>
  <si>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</si>
  <si>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</si>
  <si>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</si>
  <si>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</si>
  <si>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</si>
  <si>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</si>
  <si>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</si>
  <si>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</si>
  <si>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</si>
  <si>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</si>
  <si>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</si>
  <si>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</si>
  <si>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</si>
  <si>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</si>
  <si>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</si>
  <si>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</si>
  <si>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</si>
  <si>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</si>
  <si>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</si>
  <si>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</si>
  <si>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</si>
  <si>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</si>
  <si>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</si>
  <si>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</si>
  <si>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</si>
  <si>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</si>
  <si>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</si>
  <si>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</si>
  <si>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</si>
  <si>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</si>
  <si>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</si>
  <si>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</si>
  <si>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</si>
  <si>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</si>
  <si>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</si>
  <si>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</si>
  <si>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</si>
  <si>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</si>
  <si>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</si>
  <si>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</si>
  <si>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</si>
  <si>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</si>
  <si>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</si>
  <si>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</si>
  <si>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</si>
  <si>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</si>
  <si>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</si>
  <si>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</si>
  <si>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</si>
  <si>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</si>
  <si>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</si>
  <si>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</si>
  <si>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</si>
  <si>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</si>
  <si>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</si>
  <si>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</si>
  <si>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</si>
  <si>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</si>
  <si>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</si>
  <si>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</si>
  <si>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</si>
  <si>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</si>
  <si>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</si>
  <si>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</si>
  <si>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</si>
  <si>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</si>
  <si>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</si>
  <si>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</si>
  <si>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</si>
  <si>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</si>
  <si>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</si>
  <si>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</si>
  <si>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</si>
  <si>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</si>
  <si>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</si>
  <si>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</si>
  <si>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</si>
  <si>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</si>
  <si>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</si>
  <si>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</si>
  <si>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</si>
  <si>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</si>
  <si>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</si>
  <si>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</si>
  <si>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</si>
  <si>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</si>
  <si>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</si>
  <si>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</si>
  <si>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</si>
  <si>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</si>
  <si>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</si>
  <si>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</si>
  <si>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</si>
  <si>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</si>
  <si>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</si>
  <si>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</si>
  <si>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</si>
  <si>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</si>
  <si>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</si>
  <si>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</si>
  <si>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</si>
  <si>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</si>
  <si>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</si>
  <si>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</si>
  <si>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</si>
  <si>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</si>
  <si>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</si>
  <si>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</si>
  <si>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</si>
  <si>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</si>
  <si>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</si>
  <si>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</si>
  <si>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</si>
  <si>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</si>
  <si>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</si>
  <si>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</si>
  <si>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</si>
  <si>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</si>
  <si>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</si>
  <si>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</si>
  <si>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</si>
  <si>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</si>
  <si>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</si>
  <si>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</si>
  <si>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</si>
  <si>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</si>
  <si>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</si>
  <si>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</si>
  <si>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</si>
  <si>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</si>
  <si>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</si>
  <si>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</si>
  <si>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</si>
  <si>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</si>
  <si>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</si>
  <si>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</si>
  <si>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</si>
  <si>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</si>
  <si>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</si>
  <si>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</si>
  <si>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</si>
  <si>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</si>
  <si>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</si>
  <si>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</si>
  <si>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</si>
  <si>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</si>
  <si>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</si>
  <si>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</si>
  <si>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</si>
  <si>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</si>
  <si>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</si>
  <si>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</si>
  <si>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</si>
  <si>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</si>
  <si>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</si>
  <si>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</si>
  <si>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</si>
  <si>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</si>
  <si>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</si>
  <si>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</si>
  <si>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</si>
  <si>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</si>
  <si>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</si>
  <si>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</si>
  <si>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</si>
  <si>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</si>
  <si>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</si>
  <si>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</si>
  <si>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</si>
  <si>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</si>
  <si>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</si>
  <si>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</si>
  <si>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</si>
  <si>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</si>
  <si>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</si>
  <si>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</si>
  <si>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</si>
  <si>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</si>
  <si>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</si>
  <si>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</si>
  <si>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</si>
  <si>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</si>
  <si>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</si>
  <si>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</si>
  <si>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</si>
  <si>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</si>
  <si>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</si>
  <si>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</si>
  <si>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</si>
  <si>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</si>
  <si>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</si>
  <si>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</si>
  <si>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</si>
  <si>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</si>
  <si>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</si>
  <si>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</si>
  <si>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</si>
  <si>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</si>
  <si>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</si>
  <si>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</si>
  <si>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</si>
  <si>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</si>
  <si>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</si>
  <si>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</si>
  <si>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</si>
  <si>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</si>
  <si>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</si>
  <si>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</si>
  <si>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</si>
  <si>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</si>
  <si>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</si>
  <si>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</si>
  <si>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</si>
  <si>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</si>
  <si>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</si>
  <si>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</si>
  <si>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</si>
  <si>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</si>
  <si>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</si>
  <si>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</si>
  <si>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</si>
  <si>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</si>
  <si>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</si>
  <si>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</si>
  <si>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</si>
  <si>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</si>
  <si>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</si>
  <si>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</si>
  <si>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</si>
  <si>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</si>
  <si>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</si>
  <si>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</si>
  <si>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</si>
  <si>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</si>
  <si>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</si>
  <si>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</si>
  <si>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</si>
  <si>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</si>
  <si>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</si>
  <si>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</si>
  <si>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</si>
  <si>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</si>
  <si>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</si>
  <si>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</si>
  <si>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</si>
  <si>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</si>
  <si>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</si>
  <si>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</si>
  <si>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</si>
  <si>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</si>
  <si>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</si>
  <si>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</si>
  <si>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</si>
  <si>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</si>
  <si>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</si>
  <si>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</si>
  <si>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</si>
  <si>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</si>
  <si>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</si>
  <si>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</si>
  <si>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</si>
  <si>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</si>
  <si>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</si>
  <si>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</si>
  <si>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</si>
  <si>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</si>
  <si>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</si>
  <si>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</si>
  <si>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</si>
  <si>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</si>
  <si>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</si>
  <si>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</si>
  <si>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</si>
  <si>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</si>
  <si>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</si>
  <si>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</si>
  <si>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</si>
  <si>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</si>
  <si>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</si>
  <si>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</si>
  <si>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</si>
  <si>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</si>
  <si>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</si>
  <si>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</si>
  <si>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</si>
  <si>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</si>
  <si>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</si>
  <si>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</si>
  <si>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</si>
  <si>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</si>
  <si>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</si>
  <si>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</si>
  <si>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</si>
  <si>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</si>
  <si>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</si>
  <si>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</si>
  <si>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</si>
  <si>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</si>
  <si>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</si>
  <si>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</si>
  <si>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</si>
  <si>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</si>
  <si>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</si>
  <si>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</si>
  <si>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</si>
  <si>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</si>
  <si>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</si>
  <si>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</si>
  <si>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</si>
  <si>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</si>
  <si>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</si>
  <si>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</si>
  <si>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</si>
  <si>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</si>
  <si>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</si>
  <si>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</si>
  <si>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</si>
  <si>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</si>
  <si>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</si>
  <si>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</si>
  <si>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</si>
  <si>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</si>
  <si>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</si>
  <si>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</si>
  <si>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</si>
  <si>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</si>
  <si>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</si>
  <si>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</si>
  <si>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</si>
  <si>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</si>
  <si>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</si>
  <si>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</si>
  <si>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</si>
  <si>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</si>
  <si>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</si>
  <si>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</si>
  <si>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</si>
  <si>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</si>
  <si>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</si>
  <si>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</si>
  <si>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</si>
  <si>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</si>
  <si>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</si>
  <si>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</si>
  <si>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</si>
  <si>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</si>
  <si>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</si>
  <si>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</si>
  <si>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</si>
  <si>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</si>
  <si>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</si>
  <si>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</si>
  <si>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</si>
  <si>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</si>
  <si>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</si>
  <si>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</si>
  <si>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</si>
  <si>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</si>
  <si>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</si>
  <si>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</si>
  <si>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</si>
  <si>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</si>
  <si>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</si>
  <si>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</si>
  <si>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</si>
  <si>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</si>
  <si>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</si>
  <si>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</si>
  <si>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</si>
  <si>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</si>
  <si>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</si>
  <si>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</si>
  <si>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</si>
  <si>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</si>
  <si>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</si>
  <si>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</si>
  <si>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</si>
  <si>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</si>
  <si>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</si>
  <si>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</si>
  <si>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</si>
  <si>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</si>
  <si>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</si>
  <si>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</si>
  <si>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</si>
  <si>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</si>
  <si>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</si>
  <si>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</si>
  <si>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</si>
  <si>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</si>
  <si>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</si>
  <si>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</si>
  <si>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</si>
  <si>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</si>
  <si>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</si>
  <si>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</si>
  <si>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</si>
  <si>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</si>
  <si>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</si>
  <si>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</si>
  <si>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</si>
  <si>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</si>
  <si>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</si>
  <si>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</si>
  <si>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</si>
  <si>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</si>
  <si>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</si>
  <si>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</si>
  <si>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</si>
  <si>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</si>
  <si>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</si>
  <si>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</si>
  <si>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</si>
  <si>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</si>
  <si>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</si>
  <si>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</si>
  <si>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</si>
  <si>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</si>
  <si>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</si>
  <si>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</si>
  <si>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</si>
  <si>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</si>
  <si>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</si>
  <si>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</si>
  <si>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</si>
  <si>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</si>
  <si>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</si>
  <si>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</si>
  <si>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</si>
  <si>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</si>
  <si>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</si>
  <si>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</si>
  <si>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</si>
  <si>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</si>
  <si>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</si>
  <si>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</si>
  <si>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</si>
  <si>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</si>
  <si>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</si>
  <si>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</si>
  <si>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</si>
  <si>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</si>
  <si>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</si>
  <si>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</si>
  <si>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</si>
  <si>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</si>
  <si>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</si>
  <si>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</si>
  <si>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</si>
  <si>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</si>
  <si>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</si>
  <si>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</si>
  <si>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</si>
  <si>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</si>
  <si>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</si>
  <si>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</si>
  <si>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</si>
  <si>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</si>
  <si>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</si>
  <si>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</si>
  <si>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</si>
  <si>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</si>
  <si>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</si>
  <si>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</si>
  <si>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</si>
  <si>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</si>
  <si>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</si>
  <si>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</si>
  <si>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</si>
  <si>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</si>
  <si>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</si>
  <si>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</si>
  <si>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</si>
  <si>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</si>
  <si>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</si>
  <si>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</si>
  <si>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</si>
  <si>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</si>
  <si>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</si>
  <si>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</si>
  <si>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</si>
  <si>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</si>
  <si>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</si>
  <si>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</si>
  <si>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</si>
  <si>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</si>
  <si>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</si>
  <si>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</si>
  <si>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</si>
  <si>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</si>
  <si>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</si>
  <si>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</si>
  <si>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</si>
  <si>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</si>
  <si>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</si>
  <si>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</si>
  <si>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</si>
  <si>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</si>
  <si>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</si>
  <si>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</si>
  <si>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</si>
  <si>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</si>
  <si>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</si>
  <si>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</si>
  <si>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</si>
  <si>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</si>
  <si>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</si>
  <si>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</si>
  <si>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</si>
  <si>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</si>
  <si>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</si>
  <si>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</si>
  <si>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</si>
  <si>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</si>
  <si>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</si>
  <si>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</si>
  <si>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</si>
  <si>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</si>
  <si>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</si>
  <si>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</si>
  <si>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</si>
  <si>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</si>
  <si>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</si>
  <si>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</si>
  <si>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</si>
  <si>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</si>
  <si>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</si>
  <si>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</si>
  <si>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</si>
  <si>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</si>
  <si>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</si>
  <si>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</si>
  <si>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</si>
  <si>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</si>
  <si>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</si>
  <si>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</si>
  <si>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</si>
  <si>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</si>
  <si>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</si>
  <si>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</si>
  <si>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</si>
  <si>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</si>
  <si>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</si>
  <si>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</si>
  <si>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</si>
  <si>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</si>
  <si>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</si>
  <si>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</si>
  <si>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</si>
  <si>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</si>
  <si>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</si>
  <si>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</si>
  <si>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</si>
  <si>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</si>
  <si>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</si>
  <si>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</si>
  <si>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</si>
  <si>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</si>
  <si>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</si>
  <si>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</si>
  <si>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</si>
  <si>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</si>
  <si>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</si>
  <si>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</si>
  <si>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</si>
  <si>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</si>
  <si>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</si>
  <si>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</si>
  <si>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</si>
  <si>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</si>
  <si>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</si>
  <si>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</si>
  <si>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</si>
  <si>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</si>
  <si>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</si>
  <si>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</si>
  <si>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</si>
  <si>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</si>
  <si>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</si>
  <si>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</si>
  <si>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</si>
  <si>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</si>
  <si>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</si>
  <si>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</si>
  <si>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</si>
  <si>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</si>
  <si>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</si>
  <si>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</si>
  <si>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</si>
  <si>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</si>
  <si>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</si>
  <si>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</si>
  <si>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</si>
  <si>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</si>
  <si>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</si>
  <si>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</si>
  <si>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</si>
  <si>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</si>
  <si>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</si>
  <si>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</si>
  <si>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</si>
  <si>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</si>
  <si>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</si>
  <si>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</si>
  <si>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</si>
  <si>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</si>
  <si>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</si>
  <si>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</si>
  <si>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</si>
  <si>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</si>
  <si>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</si>
  <si>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</si>
  <si>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</si>
  <si>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</si>
  <si>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</si>
  <si>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</si>
  <si>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</si>
  <si>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</si>
  <si>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</si>
  <si>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</si>
  <si>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</si>
  <si>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</si>
  <si>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</si>
  <si>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</si>
  <si>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</si>
  <si>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</si>
  <si>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</si>
  <si>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</si>
  <si>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</si>
  <si>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</si>
  <si>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</si>
  <si>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</si>
  <si>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</si>
  <si>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</si>
  <si>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</si>
  <si>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</si>
  <si>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</si>
  <si>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</si>
  <si>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</si>
  <si>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</si>
  <si>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</si>
  <si>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</si>
  <si>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</si>
  <si>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</si>
  <si>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</si>
  <si>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</si>
  <si>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</si>
  <si>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</si>
  <si>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</si>
  <si>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</si>
  <si>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</si>
  <si>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</si>
  <si>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</si>
  <si>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</si>
  <si>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</si>
  <si>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</si>
  <si>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</si>
  <si>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</si>
  <si>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</si>
  <si>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</si>
  <si>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</si>
  <si>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</si>
  <si>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</si>
  <si>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</si>
  <si>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</si>
  <si>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</si>
  <si>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</si>
  <si>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</si>
  <si>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</si>
  <si>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</si>
  <si>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</si>
  <si>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</si>
  <si>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</si>
  <si>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</si>
  <si>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</si>
  <si>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</si>
  <si>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</si>
  <si>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</si>
  <si>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</si>
  <si>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</si>
  <si>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</si>
  <si>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</si>
  <si>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</si>
  <si>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</si>
  <si>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</si>
  <si>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</si>
  <si>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</si>
  <si>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</si>
  <si>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</si>
  <si>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</si>
  <si>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</si>
  <si>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</si>
  <si>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</si>
  <si>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</si>
  <si>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</si>
  <si>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</si>
  <si>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</si>
  <si>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</si>
  <si>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</si>
  <si>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</si>
  <si>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</si>
  <si>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</si>
  <si>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</si>
  <si>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</si>
  <si>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</si>
  <si>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</si>
  <si>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</si>
  <si>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</si>
  <si>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</si>
  <si>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</si>
  <si>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</si>
  <si>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</si>
  <si>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</si>
  <si>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</si>
  <si>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</si>
  <si>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</si>
  <si>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</si>
  <si>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</si>
  <si>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</si>
  <si>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</si>
  <si>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</si>
  <si>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</si>
  <si>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</si>
  <si>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</si>
  <si>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</si>
  <si>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</si>
  <si>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</si>
  <si>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</si>
  <si>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</si>
  <si>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</si>
  <si>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</si>
  <si>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</si>
  <si>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</si>
  <si>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</si>
  <si>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</si>
  <si>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</si>
  <si>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</si>
  <si>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</si>
  <si>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</si>
  <si>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</si>
  <si>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</si>
  <si>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</si>
  <si>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</si>
  <si>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</si>
  <si>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</si>
  <si>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</si>
  <si>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</si>
  <si>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</si>
  <si>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</si>
  <si>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</si>
  <si>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</si>
  <si>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</si>
  <si>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</si>
  <si>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</si>
  <si>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</si>
  <si>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</si>
  <si>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</si>
  <si>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</si>
  <si>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</si>
  <si>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</si>
  <si>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</si>
  <si>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</si>
  <si>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</si>
  <si>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</si>
  <si>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</si>
  <si>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</si>
  <si>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</si>
  <si>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</si>
  <si>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</si>
  <si>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</si>
  <si>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</si>
  <si>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</si>
  <si>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</si>
  <si>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</si>
  <si>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</si>
  <si>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</si>
  <si>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</si>
  <si>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</si>
  <si>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</si>
  <si>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</si>
  <si>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</si>
  <si>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</si>
  <si>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</si>
  <si>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</si>
  <si>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</si>
  <si>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</si>
  <si>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</si>
  <si>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</si>
  <si>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</si>
  <si>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</si>
  <si>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</si>
  <si>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</si>
  <si>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</si>
  <si>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</si>
  <si>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</si>
  <si>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</si>
  <si>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</si>
  <si>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</si>
  <si>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</si>
  <si>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</si>
  <si>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</si>
  <si>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</si>
  <si>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</si>
  <si>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</si>
  <si>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</si>
  <si>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</si>
  <si>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</si>
  <si>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</si>
  <si>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</si>
  <si>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</si>
  <si>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</si>
  <si>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</si>
  <si>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</si>
  <si>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</si>
  <si>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</si>
  <si>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</si>
  <si>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</si>
  <si>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</si>
  <si>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</si>
  <si>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</si>
  <si>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</si>
  <si>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</si>
  <si>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</si>
  <si>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</si>
  <si>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</si>
  <si>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</si>
  <si>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</si>
  <si>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</si>
  <si>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</si>
  <si>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</si>
  <si>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</si>
  <si>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</si>
  <si>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</si>
  <si>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</si>
  <si>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</si>
  <si>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</si>
  <si>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</si>
  <si>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</si>
  <si>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</si>
  <si>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</si>
  <si>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</si>
  <si>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</si>
  <si>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</si>
  <si>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</si>
  <si>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</si>
  <si>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</si>
  <si>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</si>
  <si>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</si>
  <si>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</si>
  <si>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</si>
  <si>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</si>
  <si>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</si>
  <si>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</si>
  <si>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</si>
  <si>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</si>
  <si>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</si>
  <si>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</si>
  <si>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</si>
  <si>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</si>
  <si>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</si>
  <si>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</si>
  <si>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</si>
  <si>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</si>
  <si>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</si>
  <si>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</si>
  <si>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</si>
  <si>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</si>
  <si>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</si>
  <si>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</si>
  <si>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</si>
  <si>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</si>
  <si>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</si>
  <si>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</si>
  <si>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</si>
  <si>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</si>
  <si>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</si>
  <si>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</si>
  <si>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</si>
  <si>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</si>
  <si>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</si>
  <si>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</si>
  <si>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</si>
  <si>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</si>
  <si>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</si>
  <si>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</si>
  <si>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</si>
  <si>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</si>
  <si>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</si>
  <si>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</si>
  <si>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</si>
  <si>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</si>
  <si>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</si>
  <si>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</si>
  <si>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</si>
  <si>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</si>
  <si>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</si>
  <si>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</si>
  <si>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</si>
  <si>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</si>
  <si>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</si>
  <si>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</si>
  <si>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</si>
  <si>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</si>
  <si>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</si>
  <si>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</si>
  <si>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</si>
  <si>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</si>
  <si>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</si>
  <si>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</si>
  <si>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</si>
  <si>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</si>
  <si>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</si>
  <si>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</si>
  <si>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</si>
  <si>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</si>
  <si>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</si>
  <si>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</si>
  <si>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</si>
  <si>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</si>
  <si>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</si>
  <si>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</si>
  <si>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</si>
  <si>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</si>
  <si>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</si>
  <si>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</si>
  <si>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</si>
  <si>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</si>
  <si>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</si>
  <si>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</si>
  <si>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</si>
  <si>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</si>
  <si>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</si>
  <si>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</si>
  <si>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</si>
  <si>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</si>
  <si>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</si>
  <si>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</si>
  <si>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</si>
  <si>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</si>
  <si>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</si>
  <si>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</si>
  <si>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</si>
  <si>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</si>
  <si>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</si>
  <si>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</si>
  <si>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</si>
  <si>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</si>
  <si>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</si>
  <si>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</si>
  <si>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</si>
  <si>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</si>
  <si>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</si>
  <si>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</si>
  <si>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</si>
  <si>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</si>
  <si>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</si>
  <si>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</si>
  <si>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</si>
  <si>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</si>
  <si>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</si>
  <si>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</si>
  <si>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</si>
  <si>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</si>
  <si>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</si>
  <si>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</si>
  <si>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</si>
  <si>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</si>
  <si>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</si>
  <si>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</si>
  <si>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</si>
  <si>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</si>
  <si>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</si>
  <si>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</si>
  <si>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</si>
  <si>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</si>
  <si>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</si>
  <si>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</si>
  <si>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</si>
  <si>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</si>
  <si>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</si>
  <si>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</si>
  <si>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</si>
  <si>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</si>
  <si>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</si>
  <si>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</si>
  <si>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</si>
  <si>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</si>
  <si>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</si>
  <si>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</si>
  <si>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</si>
  <si>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</si>
  <si>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</si>
  <si>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</si>
  <si>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</si>
  <si>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</si>
  <si>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</si>
  <si>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</si>
  <si>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</si>
  <si>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</si>
  <si>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</si>
  <si>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</si>
  <si>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</si>
  <si>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</si>
  <si>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</si>
  <si>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</si>
  <si>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</si>
  <si>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</si>
  <si>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</si>
  <si>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</si>
  <si>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</si>
  <si>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</si>
  <si>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</si>
  <si>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</si>
  <si>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</si>
  <si>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</si>
  <si>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</si>
  <si>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</si>
  <si>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</si>
  <si>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</si>
  <si>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</si>
  <si>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</si>
  <si>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</si>
  <si>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</si>
  <si>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</si>
  <si>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</si>
  <si>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</si>
  <si>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</si>
  <si>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</si>
  <si>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</si>
  <si>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</si>
  <si>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</si>
  <si>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</si>
  <si>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</si>
  <si>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</si>
  <si>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</si>
  <si>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</si>
  <si>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</si>
  <si>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</si>
  <si>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</si>
  <si>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</si>
  <si>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</si>
  <si>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</si>
  <si>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</si>
  <si>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</si>
  <si>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</si>
  <si>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</si>
  <si>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</si>
  <si>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</si>
  <si>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</si>
  <si>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</si>
  <si>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</si>
  <si>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</si>
  <si>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</si>
  <si>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</si>
  <si>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</si>
  <si>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</si>
  <si>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</si>
  <si>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</si>
  <si>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</si>
  <si>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</si>
  <si>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</si>
  <si>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</si>
  <si>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</si>
  <si>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</si>
  <si>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</si>
  <si>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</si>
  <si>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</si>
  <si>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</si>
  <si>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</si>
  <si>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</si>
  <si>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</si>
  <si>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</si>
  <si>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</si>
  <si>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</si>
  <si>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</si>
  <si>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</si>
  <si>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</si>
  <si>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</si>
  <si>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</si>
  <si>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</si>
  <si>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</si>
  <si>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</si>
  <si>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</si>
  <si>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</si>
  <si>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</si>
  <si>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</si>
  <si>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</si>
  <si>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</si>
  <si>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</si>
  <si>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</si>
  <si>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</si>
  <si>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</si>
  <si>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</si>
  <si>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</si>
  <si>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</si>
  <si>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</si>
  <si>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</si>
  <si>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</si>
  <si>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</si>
  <si>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</si>
  <si>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</si>
  <si>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</si>
  <si>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</si>
  <si>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</si>
  <si>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</si>
  <si>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</si>
  <si>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</si>
  <si>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</si>
  <si>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</si>
  <si>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</si>
  <si>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</si>
  <si>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</si>
  <si>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</si>
  <si>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</si>
  <si>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</si>
  <si>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</si>
  <si>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</si>
  <si>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</si>
  <si>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</si>
  <si>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</si>
  <si>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</si>
  <si>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</si>
  <si>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</si>
  <si>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</si>
  <si>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</si>
  <si>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</si>
  <si>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</si>
  <si>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</si>
  <si>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</si>
  <si>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</si>
  <si>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</si>
  <si>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</si>
  <si>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</si>
  <si>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</si>
  <si>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</si>
  <si>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</si>
  <si>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</si>
  <si>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</si>
  <si>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</si>
  <si>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</si>
  <si>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</si>
  <si>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</si>
  <si>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</si>
  <si>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</si>
  <si>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</si>
  <si>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</si>
  <si>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</si>
  <si>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</si>
  <si>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</si>
  <si>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</si>
  <si>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</si>
  <si>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</si>
  <si>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</si>
  <si>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</si>
  <si>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</si>
  <si>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</si>
  <si>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</si>
  <si>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</si>
  <si>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</si>
  <si>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</si>
  <si>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</si>
  <si>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</si>
  <si>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</si>
  <si>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</si>
  <si>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</si>
  <si>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</si>
  <si>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</si>
  <si>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</si>
  <si>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</si>
  <si>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</si>
  <si>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</si>
  <si>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</si>
  <si>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</si>
  <si>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</si>
  <si>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</si>
  <si>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</si>
  <si>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</si>
  <si>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</si>
  <si>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</si>
  <si>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</si>
  <si>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</si>
  <si>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</si>
  <si>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</si>
  <si>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</si>
  <si>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</si>
  <si>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</si>
  <si>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</si>
  <si>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</si>
  <si>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</si>
  <si>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</si>
  <si>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</si>
  <si>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</si>
  <si>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</si>
  <si>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</si>
  <si>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</si>
  <si>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</si>
  <si>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</si>
  <si>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</si>
  <si>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</si>
  <si>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</si>
  <si>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</si>
  <si>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</si>
  <si>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</si>
  <si>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</si>
  <si>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</si>
  <si>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</si>
  <si>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</si>
  <si>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</si>
  <si>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</si>
  <si>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</si>
  <si>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</si>
  <si>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</si>
  <si>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</si>
  <si>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</si>
  <si>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</si>
  <si>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</si>
  <si>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</si>
  <si>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</si>
  <si>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</si>
  <si>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</si>
  <si>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</si>
  <si>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</si>
  <si>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</si>
  <si>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</si>
  <si>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</si>
  <si>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</si>
  <si>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</si>
  <si>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</si>
  <si>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A7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</si>
  <si>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</si>
  <si>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</si>
  <si>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</si>
  <si>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</si>
  <si>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</si>
  <si>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</si>
  <si>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X6.1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</si>
  <si>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</si>
  <si>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</si>
  <si>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</si>
  <si>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</si>
  <si>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</si>
  <si>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</si>
  <si>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</si>
  <si>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</si>
  <si>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</si>
  <si>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</si>
  <si>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</si>
  <si>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</si>
  <si>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</si>
  <si>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</si>
  <si>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</si>
  <si>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</si>
  <si>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</si>
  <si>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</si>
  <si>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</si>
  <si>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A3</t>
  </si>
  <si>
    <t>Conc. Red  2% (Lot 42)</t>
  </si>
  <si>
    <t>Conc. 21V (Lot 26)</t>
  </si>
  <si>
    <t>X2.2</t>
  </si>
  <si>
    <t>Conc. 62PV (Lot 25)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</si>
  <si>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</si>
  <si>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</si>
  <si>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</si>
  <si>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</si>
  <si>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</si>
  <si>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</si>
  <si>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</si>
  <si>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</si>
  <si>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</si>
  <si>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</si>
  <si>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</si>
  <si>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</si>
  <si>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</si>
  <si>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</si>
  <si>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</si>
  <si>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</si>
  <si>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</si>
  <si>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</si>
  <si>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</si>
  <si>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</si>
  <si>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</si>
  <si>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</si>
  <si>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</si>
  <si>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</si>
  <si>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</si>
  <si>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</si>
  <si>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</si>
  <si>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</si>
  <si>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</si>
  <si>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</si>
  <si>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</si>
  <si>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A4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</si>
  <si>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</si>
  <si>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</si>
  <si>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</si>
  <si>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</si>
  <si>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</si>
  <si>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</si>
  <si>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</si>
  <si>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</si>
  <si>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</si>
  <si>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</si>
  <si>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</si>
  <si>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</si>
  <si>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</si>
  <si>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</si>
  <si>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B16.1</t>
  </si>
  <si>
    <t>V4.2</t>
  </si>
  <si>
    <t>Z7.2</t>
  </si>
  <si>
    <t>X4.2</t>
  </si>
  <si>
    <t>X7.2</t>
  </si>
  <si>
    <t>Conc. 67V (Lot 30)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</si>
  <si>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</si>
  <si>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</si>
  <si>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</si>
  <si>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</si>
  <si>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</si>
  <si>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</si>
  <si>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</si>
  <si>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</si>
  <si>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</si>
  <si>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</si>
  <si>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</si>
  <si>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</si>
  <si>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</si>
  <si>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</si>
  <si>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</si>
  <si>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</si>
  <si>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</si>
  <si>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25V (Lot 31)</t>
  </si>
  <si>
    <t>X8.3</t>
  </si>
  <si>
    <t>Conc. 52V (Lot 33)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</si>
  <si>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</si>
  <si>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</si>
  <si>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</si>
  <si>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</si>
  <si>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</si>
  <si>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</si>
  <si>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</si>
  <si>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</si>
  <si>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582 (Lot 35)</t>
  </si>
  <si>
    <t>Conc. MC-0697B (Lot 32)</t>
  </si>
  <si>
    <t>Conc. 21V (Lot 33)</t>
  </si>
  <si>
    <t>Conc. 25V (Lot 32)</t>
  </si>
  <si>
    <t>Conc. 52M (Lot 56)</t>
  </si>
  <si>
    <t>C0</t>
  </si>
  <si>
    <t>B6</t>
  </si>
  <si>
    <t>A5</t>
  </si>
  <si>
    <t>Z2.3</t>
  </si>
  <si>
    <t>524P32</t>
  </si>
  <si>
    <t>B3</t>
  </si>
  <si>
    <t>Z1.1</t>
  </si>
  <si>
    <t>X4.3</t>
  </si>
  <si>
    <t>Conc. Amnil (Lot 32)</t>
  </si>
  <si>
    <t>Conc. Red  2% (Lot 56)</t>
  </si>
  <si>
    <t>Conc. 582 (Lot 36)</t>
  </si>
  <si>
    <t>Conc. MC-0697 (Lot 33)</t>
  </si>
  <si>
    <t>Conc. MC-0697G (Lot 32)</t>
  </si>
  <si>
    <t>Conc. 10M (Lot 45)</t>
  </si>
  <si>
    <t>Conc.48V (Lot 33)</t>
  </si>
  <si>
    <t>Y1.3</t>
  </si>
  <si>
    <t>Conc. 52M (Lot 58)</t>
  </si>
  <si>
    <t>Conc. 52SV (Lot 33)</t>
  </si>
  <si>
    <t>Conc. 66V (Lot 33)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</si>
  <si>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</si>
  <si>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</si>
  <si>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</si>
  <si>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</si>
  <si>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</si>
  <si>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</si>
  <si>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</si>
  <si>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</si>
  <si>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MEAT BONE MEAL (48.26%)</t>
  </si>
  <si>
    <t>NEXTIDE (58.5%)</t>
  </si>
  <si>
    <t>Total NEXTIDE</t>
  </si>
  <si>
    <t>B25.1</t>
  </si>
  <si>
    <t>B8</t>
  </si>
  <si>
    <t>Feather Meal (86.26%)</t>
  </si>
  <si>
    <t>A12.1</t>
  </si>
  <si>
    <t>V1.2</t>
  </si>
  <si>
    <t>V1.3</t>
  </si>
  <si>
    <t>Conc. Amnil (Lot 33)</t>
  </si>
  <si>
    <t>X2.3</t>
  </si>
  <si>
    <t>X6.3</t>
  </si>
  <si>
    <t>X7.3</t>
  </si>
  <si>
    <t>Conc. Red  2% (Lot 57)</t>
  </si>
  <si>
    <t>Conc. 571 (Lot 34)</t>
  </si>
  <si>
    <t>Conc. MC-0697 (Lot 34)</t>
  </si>
  <si>
    <t>Conc. 10M (Lot 46)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</si>
  <si>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</si>
  <si>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</si>
  <si>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</si>
  <si>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</si>
  <si>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</si>
  <si>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</si>
  <si>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</si>
  <si>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</si>
  <si>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</si>
  <si>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</si>
  <si>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</si>
  <si>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hb04ta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</si>
  <si>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</si>
  <si>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</si>
  <si>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</si>
  <si>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</si>
  <si>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</si>
  <si>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</si>
  <si>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</si>
  <si>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</si>
  <si>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</si>
  <si>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</si>
  <si>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</si>
  <si>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</si>
  <si>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</si>
  <si>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</si>
  <si>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</si>
  <si>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</si>
  <si>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</si>
  <si>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</si>
  <si>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</si>
  <si>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</si>
  <si>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</si>
  <si>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</si>
  <si>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</si>
  <si>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</si>
  <si>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</si>
  <si>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</si>
  <si>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</si>
  <si>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</si>
  <si>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</si>
  <si>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</si>
  <si>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</si>
  <si>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</si>
  <si>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</si>
  <si>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</si>
  <si>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</si>
  <si>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</si>
  <si>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</si>
  <si>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</si>
  <si>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</si>
  <si>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</si>
  <si>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</si>
  <si>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</si>
  <si>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</si>
  <si>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</si>
  <si>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</si>
  <si>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</si>
  <si>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</si>
  <si>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</si>
  <si>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</si>
  <si>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</si>
  <si>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</si>
  <si>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</si>
  <si>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</si>
  <si>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</si>
  <si>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</si>
  <si>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</si>
  <si>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</si>
  <si>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</si>
  <si>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</si>
  <si>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</si>
  <si>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</si>
  <si>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</si>
  <si>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</si>
  <si>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</si>
  <si>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</si>
  <si>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</si>
  <si>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</si>
  <si>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</si>
  <si>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</si>
  <si>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</si>
  <si>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</si>
  <si>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</si>
  <si>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</si>
  <si>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</si>
  <si>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</si>
  <si>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</si>
  <si>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</si>
  <si>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</si>
  <si>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</si>
  <si>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</si>
  <si>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</si>
  <si>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</si>
  <si>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</si>
  <si>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</si>
  <si>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</si>
  <si>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</si>
  <si>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</si>
  <si>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</si>
  <si>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</si>
  <si>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</si>
  <si>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</si>
  <si>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</si>
  <si>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</si>
  <si>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</si>
  <si>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</si>
  <si>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</si>
  <si>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</si>
  <si>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</si>
  <si>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</si>
  <si>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</si>
  <si>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</si>
  <si>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</si>
  <si>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</si>
  <si>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</si>
  <si>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</si>
  <si>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</si>
  <si>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</si>
  <si>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</si>
  <si>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</si>
  <si>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</si>
  <si>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</si>
  <si>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</si>
  <si>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</si>
  <si>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</si>
  <si>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</si>
  <si>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</si>
  <si>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</si>
  <si>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</si>
  <si>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</si>
  <si>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13540700000044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</si>
  <si>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</si>
  <si>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</si>
  <si>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</si>
  <si>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</si>
  <si>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</si>
  <si>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</si>
  <si>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</si>
  <si>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</si>
  <si>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</si>
  <si>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</si>
  <si>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</si>
  <si>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</si>
  <si>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</si>
  <si>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</si>
  <si>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</si>
  <si>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</si>
  <si>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</si>
  <si>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</si>
  <si>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</si>
  <si>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</si>
  <si>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</si>
  <si>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</si>
  <si>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</si>
  <si>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</si>
  <si>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</si>
  <si>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</si>
  <si>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</si>
  <si>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</si>
  <si>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</si>
  <si>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</si>
  <si>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</si>
  <si>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</si>
  <si>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</si>
  <si>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</si>
  <si>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</si>
  <si>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</si>
  <si>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</si>
  <si>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</si>
  <si>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</si>
  <si>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</si>
  <si>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</si>
  <si>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</si>
  <si>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</si>
  <si>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</si>
  <si>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</si>
  <si>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</si>
  <si>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</si>
  <si>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</si>
  <si>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</si>
  <si>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</si>
  <si>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</si>
  <si>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</si>
  <si>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</si>
  <si>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</si>
  <si>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</si>
  <si>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</si>
  <si>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</si>
  <si>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</si>
  <si>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</si>
  <si>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</si>
  <si>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</si>
  <si>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</si>
  <si>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</si>
  <si>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</si>
  <si>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</si>
  <si>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</si>
  <si>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</si>
  <si>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</si>
  <si>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</si>
  <si>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</si>
  <si>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</si>
  <si>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</si>
  <si>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13600114150100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</si>
  <si>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</si>
  <si>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</si>
  <si>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</si>
  <si>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</si>
  <si>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</si>
  <si>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</si>
  <si>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</si>
  <si>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</si>
  <si>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</si>
  <si>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</si>
  <si>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</si>
  <si>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</si>
  <si>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</si>
  <si>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</si>
  <si>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</si>
  <si>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</si>
  <si>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</si>
  <si>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</si>
  <si>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</si>
  <si>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</si>
  <si>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</si>
  <si>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</si>
  <si>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C7</t>
  </si>
  <si>
    <t>A13.1</t>
  </si>
  <si>
    <t>B23.1</t>
  </si>
  <si>
    <t>MEAT BONE MEAL (49.64%)</t>
  </si>
  <si>
    <t>MEAT BONE MEAL (50.45%)</t>
  </si>
  <si>
    <t>MEAT BONE MEAL (49.27%)</t>
  </si>
  <si>
    <t>A1</t>
  </si>
  <si>
    <t>A2</t>
  </si>
  <si>
    <t>A22.2</t>
  </si>
  <si>
    <t>Feather Meal (84.95%)</t>
  </si>
  <si>
    <t>MEAT BONE MEAL (50.06%)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</si>
  <si>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</si>
  <si>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</si>
  <si>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</si>
  <si>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</si>
  <si>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</si>
  <si>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</si>
  <si>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</si>
  <si>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</si>
  <si>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</si>
  <si>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</si>
  <si>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</si>
  <si>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</si>
  <si>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</si>
  <si>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</si>
  <si>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</si>
  <si>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V9.3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</si>
  <si>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</si>
  <si>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</si>
  <si>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</si>
  <si>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</si>
  <si>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</si>
  <si>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</si>
  <si>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</si>
  <si>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</si>
  <si>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</si>
  <si>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</si>
  <si>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</si>
  <si>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</si>
  <si>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</si>
  <si>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ID Code</t>
  </si>
  <si>
    <t>043234*</t>
  </si>
  <si>
    <t>820498.HA</t>
  </si>
  <si>
    <t>831001*H.A</t>
  </si>
  <si>
    <t>840011.MNS</t>
  </si>
  <si>
    <t>840012 MNS</t>
  </si>
  <si>
    <t>840030 Mini</t>
  </si>
  <si>
    <t>917004 HA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</si>
  <si>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</si>
  <si>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</si>
  <si>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</si>
  <si>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</si>
  <si>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</si>
  <si>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</si>
  <si>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</si>
  <si>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</si>
  <si>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</si>
  <si>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</si>
  <si>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</si>
  <si>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</si>
  <si>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</si>
  <si>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</si>
  <si>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</si>
  <si>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</si>
  <si>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CORN  # USA 8x8</t>
  </si>
  <si>
    <t>CRNArg #2 7.0% (3X3)</t>
  </si>
  <si>
    <t>CLEARLINE 1/8</t>
  </si>
  <si>
    <t>TAP BP Fiber high</t>
  </si>
  <si>
    <t>TAP BP fiber 25-27% (bin 74 bo de)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</si>
  <si>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</si>
  <si>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</si>
  <si>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</si>
  <si>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</si>
  <si>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</si>
  <si>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</si>
  <si>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</si>
  <si>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</si>
  <si>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</si>
  <si>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</si>
  <si>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</si>
  <si>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</si>
  <si>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</si>
  <si>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LEVUCELL</t>
  </si>
  <si>
    <t>SO</t>
  </si>
  <si>
    <t>FO BASA VNF</t>
  </si>
  <si>
    <t>molasses Vnf</t>
  </si>
  <si>
    <t>VEDANFEED</t>
  </si>
  <si>
    <t>M DCP</t>
  </si>
  <si>
    <t>L.S</t>
  </si>
  <si>
    <t>LS</t>
  </si>
  <si>
    <t>LS_C 38%</t>
  </si>
  <si>
    <t>SALT F98%</t>
  </si>
  <si>
    <t>SALT F98%.HA</t>
  </si>
  <si>
    <t>WY SWEET 11.5%</t>
  </si>
  <si>
    <t>WY DEPRO 3.6%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</si>
  <si>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</si>
  <si>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</si>
  <si>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</si>
  <si>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</si>
  <si>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</si>
  <si>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</si>
  <si>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</si>
  <si>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</si>
  <si>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</si>
  <si>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</si>
  <si>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</si>
  <si>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</si>
  <si>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</si>
  <si>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</si>
  <si>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</si>
  <si>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Versazyme/cibenza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</si>
  <si>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</si>
  <si>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</si>
  <si>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</si>
  <si>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</si>
  <si>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</si>
  <si>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</si>
  <si>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</si>
  <si>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</si>
  <si>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 xml:space="preserve">M-TOX PLUS </t>
  </si>
  <si>
    <t>MYCOFIX Plux 3.0</t>
  </si>
  <si>
    <t>Toxy-nil dry</t>
  </si>
  <si>
    <t>BENTONITE</t>
  </si>
  <si>
    <t>BENTONITE. HA</t>
  </si>
  <si>
    <t>BIOMIN</t>
  </si>
  <si>
    <t>GalliPro Tect(Probiotic)</t>
  </si>
  <si>
    <t>ENDOX</t>
  </si>
  <si>
    <t>Monensin</t>
  </si>
  <si>
    <t>Acid Buf 10</t>
  </si>
  <si>
    <t>COPPER CHLORIDE 58%Caliton</t>
  </si>
  <si>
    <t>AVAILA Zn</t>
  </si>
  <si>
    <t>ALLPLEX -B</t>
  </si>
  <si>
    <t>ALLPLEX -S</t>
  </si>
  <si>
    <t>ALLPLEX -GF</t>
  </si>
  <si>
    <t>Microplex Cr</t>
  </si>
  <si>
    <t>ZN OXIDE 75%</t>
  </si>
  <si>
    <t>HIZOX</t>
  </si>
  <si>
    <t>CHLOTETRA 15%</t>
  </si>
  <si>
    <t>QUIXALUD</t>
  </si>
  <si>
    <t>TIOTILIN 80%</t>
  </si>
  <si>
    <t>Amoxycillin 80%</t>
  </si>
  <si>
    <t>LAVADEX 1%</t>
  </si>
  <si>
    <t>PIGFEN</t>
  </si>
  <si>
    <t>Tilmovet/Pulmotil/Timicox/Miclozan 200</t>
  </si>
  <si>
    <t>IR/FR (SWINE)</t>
  </si>
  <si>
    <t>PX 10V</t>
  </si>
  <si>
    <t>PX_21V</t>
  </si>
  <si>
    <t>px 25v</t>
  </si>
  <si>
    <t>PX_48V</t>
  </si>
  <si>
    <t>PX 10M</t>
  </si>
  <si>
    <t>PX 51V</t>
  </si>
  <si>
    <t>PX 52SV</t>
  </si>
  <si>
    <t>PX52V</t>
  </si>
  <si>
    <t>PX-66V</t>
  </si>
  <si>
    <t>PX-62PV</t>
  </si>
  <si>
    <t>PX-67SV</t>
  </si>
  <si>
    <t>MS Swine 0314 (Biomin)</t>
  </si>
  <si>
    <t>pX 52M</t>
  </si>
  <si>
    <t>572sv Premix</t>
  </si>
  <si>
    <t>MC-0697 Premix</t>
  </si>
  <si>
    <t>MCL</t>
  </si>
  <si>
    <t>Required (kgs)</t>
  </si>
  <si>
    <t>Actual (kgs)</t>
  </si>
  <si>
    <t>Deviation (kgs)</t>
  </si>
  <si>
    <t>% Deviation</t>
  </si>
  <si>
    <t>Formula ID</t>
  </si>
  <si>
    <t>114001B</t>
  </si>
  <si>
    <t>510 10/8 BR PRESTR</t>
  </si>
  <si>
    <t>511B 5/8  BR STR</t>
  </si>
  <si>
    <t>513F 4/8  BR WTHDRWL</t>
  </si>
  <si>
    <t>MS12 27/8 BR WTHDRWL</t>
  </si>
  <si>
    <t>524 4/8  CHICK LAY</t>
  </si>
  <si>
    <t>524P15  28/7 CHICK LAY</t>
  </si>
  <si>
    <t>549 3/9  MEAT DUCK</t>
  </si>
  <si>
    <t>550SFS25 27/08  CREEP FEED</t>
  </si>
  <si>
    <t>551FS54 10/8 PIG PRESTR</t>
  </si>
  <si>
    <t>551GPFS13 4/8  PIG PRESTR</t>
  </si>
  <si>
    <t>551GPFS31 4/8  PIG PRESTR</t>
  </si>
  <si>
    <t>552S 4/8  PIG STR</t>
  </si>
  <si>
    <t>552SF 9/9 PIG STR</t>
  </si>
  <si>
    <t>552 4/8  PIG STR</t>
  </si>
  <si>
    <t>552MX 20/1 PIG STR</t>
  </si>
  <si>
    <t>552F 9/9 PIG STR</t>
  </si>
  <si>
    <t>552WDF 9/9 PIG STR</t>
  </si>
  <si>
    <t>553MF 14/8 PIG GROWER( MALE)</t>
  </si>
  <si>
    <t>562P 13/05  GILT PREMATING</t>
  </si>
  <si>
    <t>562PF 9/9 GILT PREMATING</t>
  </si>
  <si>
    <t>566 4/8  PIG GEST</t>
  </si>
  <si>
    <t>566XS34 4/8  PIG GEST</t>
  </si>
  <si>
    <t>566FS31 6/8  PIG GEST</t>
  </si>
  <si>
    <t>567SXS34 4/8  PIG LACT</t>
  </si>
  <si>
    <t>567SFS25 31/7 PIG LACT</t>
  </si>
  <si>
    <t>594 20/05  BEEF STR 18</t>
  </si>
  <si>
    <t>595 15/05  BEEF 16</t>
  </si>
  <si>
    <t>6995 22/7 BEEF 16</t>
  </si>
  <si>
    <t>384 24/08  (005-18) DAIRY</t>
  </si>
  <si>
    <t>HB08TA-0808 4/7-(7T) CÃ¡m bÃ² &gt;= 14T</t>
  </si>
  <si>
    <t>BS05LD-0505 17/07 CÃ¡m s?n lu?ng cao</t>
  </si>
  <si>
    <t>HB08LD-0508 4/7  cÃ¡m bÃ² =14 thÃ¡ng</t>
  </si>
  <si>
    <t>BS05TA-0805 4/7 CÃ¡m s?n lu?ng cao</t>
  </si>
  <si>
    <t>502 21/7  QL-LAYER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</si>
  <si>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</si>
  <si>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</si>
  <si>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</si>
  <si>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</si>
  <si>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</si>
  <si>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</si>
  <si>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</si>
  <si>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</si>
  <si>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</si>
  <si>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</si>
  <si>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</si>
  <si>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</si>
  <si>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</si>
  <si>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</si>
  <si>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</si>
  <si>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CTY TNHH SX Vµ TM Vinh Hoa</t>
  </si>
  <si>
    <t>51C71417</t>
  </si>
  <si>
    <t>CTY TNHH SX Vµ TM MINH T¢N</t>
  </si>
  <si>
    <t>15C22665</t>
  </si>
  <si>
    <t>DNTN SX Vµ TM Kh­¬ng Duy</t>
  </si>
  <si>
    <t>60H04196</t>
  </si>
  <si>
    <t>C«ng Ty TNHH Nguyªn LiÖu Thøc ¡n  Ch¨n Nu«i CJ ViÖt Nam</t>
  </si>
  <si>
    <t>51C99339</t>
  </si>
  <si>
    <t>C«ng Ty TNHH Nguyªn LiÖu Thñy S¶n</t>
  </si>
  <si>
    <t>50H 29253</t>
  </si>
  <si>
    <t>H</t>
  </si>
  <si>
    <t>Total By Shift</t>
  </si>
  <si>
    <t>FM 58</t>
  </si>
  <si>
    <t>C11</t>
  </si>
  <si>
    <t>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</si>
</sst>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9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36" fillId="24" borderId="50" xfId="0" applyFont="1" applyFill="1" applyBorder="1" applyAlignment="1">
      <alignment horizontal="left" vertical="center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43" fontId="141" fillId="0" borderId="0" xfId="27" applyFont="1"/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4" fontId="185" fillId="0" borderId="0" xfId="0" applyNumberFormat="1" applyFont="1" applyAlignment="1">
      <alignment vertical="top"/>
    </xf>
    <xf numFmtId="179" fontId="185" fillId="0" borderId="0" xfId="0" applyNumberFormat="1" applyFont="1" applyAlignment="1">
      <alignment vertical="top"/>
    </xf>
    <xf numFmtId="3" fontId="54" fillId="32" borderId="184" xfId="0" applyNumberFormat="1" applyFont="1" applyFill="1" applyBorder="1" applyAlignment="1">
      <alignment horizontal="right" vertical="center" wrapText="1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3" fontId="59" fillId="24" borderId="64" xfId="0" applyNumberFormat="1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0" fontId="59" fillId="24" borderId="30" xfId="0" applyFont="1" applyFill="1" applyBorder="1" applyAlignment="1">
      <alignment horizontal="left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 wrapText="1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177" xfId="0" applyFont="1" applyFill="1" applyBorder="1" applyAlignment="1">
      <alignment horizontal="left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28" fillId="26" borderId="23" xfId="0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58" fillId="24" borderId="2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28" fillId="26" borderId="53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horizontal="left" vertical="center"/>
    </xf>
    <xf numFmtId="0" fontId="58" fillId="24" borderId="189" xfId="0" applyFont="1" applyFill="1" applyBorder="1" applyAlignment="1">
      <alignment horizontal="left" vertical="center"/>
    </xf>
    <xf numFmtId="0" fontId="59" fillId="24" borderId="88" xfId="0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12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32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3" fontId="43" fillId="26" borderId="19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58" fillId="24" borderId="3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58" fillId="24" borderId="177" xfId="0" applyFont="1" applyFill="1" applyBorder="1" applyAlignment="1">
      <alignment horizontal="left" vertical="center"/>
    </xf>
    <xf numFmtId="0" fontId="58" fillId="24" borderId="126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center" vertical="center" wrapText="1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 wrapText="1"/>
    </xf>
    <xf numFmtId="0" fontId="28" fillId="28" borderId="19" xfId="0" applyFont="1" applyFill="1" applyBorder="1" applyAlignment="1">
      <alignment horizontal="center" vertical="center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 wrapText="1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vertical="center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/>
    </xf>
    <xf numFmtId="0" fontId="162" fillId="0" borderId="0" xfId="0" applyFont="1" applyAlignment="1">
      <alignment horizontal="left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8" fillId="26" borderId="23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4" fontId="110" fillId="25" borderId="23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6" borderId="61" xfId="0" applyFont="1" applyFill="1" applyBorder="1" applyAlignment="1">
      <alignment horizontal="center" vertical="center"/>
    </xf>
    <xf numFmtId="0" fontId="59" fillId="0" borderId="33" xfId="0" applyFont="1" applyBorder="1" applyAlignment="1">
      <alignment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0" fontId="172" fillId="0" borderId="189" xfId="0" applyFont="1" applyBorder="1" applyAlignment="1">
      <alignment horizontal="left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 wrapText="1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1958</xdr:row>
      <xdr:rowOff>12700</xdr:rowOff>
    </xdr:from>
    <xdr:to>
      <xdr:col>13</xdr:col>
      <xdr:colOff>990600</xdr:colOff>
      <xdr:row>1959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0"/>
  <sheetViews>
    <sheetView showGridLines="0" showZeros="0" tabSelected="1" zoomScale="62" zoomScaleNormal="62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33" sqref="H33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156" t="s">
        <v>445</v>
      </c>
      <c r="B1" s="2156"/>
      <c r="C1" s="2156"/>
      <c r="D1" s="2156"/>
      <c r="E1" s="2156"/>
      <c r="F1" s="2156"/>
      <c r="G1" s="2156"/>
      <c r="H1" s="2156"/>
      <c r="I1" s="2156"/>
      <c r="J1" s="2156"/>
      <c r="K1" s="2156"/>
      <c r="L1" s="2156"/>
      <c r="M1" s="2156"/>
      <c r="N1" s="2156"/>
      <c r="O1" s="2156"/>
      <c r="P1" s="2156"/>
      <c r="U1" s="787"/>
      <c r="V1" s="787">
        <v>4</v>
      </c>
      <c r="W1" s="788">
        <f>+SUM(O1606:O1954)</f>
        <v>3652.5</v>
      </c>
      <c r="X1" s="789">
        <f>+R1955</f>
        <v>18678.97</v>
      </c>
      <c r="Y1" s="790"/>
      <c r="Z1" s="791"/>
      <c r="AA1" s="792"/>
      <c r="AB1" s="793"/>
      <c r="AC1" s="679"/>
    </row>
    <row r="2" spans="1:45" ht="23.25" customHeight="1" x14ac:dyDescent="0.25">
      <c r="A2" s="2157" t="s">
        <v>446</v>
      </c>
      <c r="B2" s="2157"/>
      <c r="C2" s="2157"/>
      <c r="D2" s="2157"/>
      <c r="E2" s="2157"/>
      <c r="F2" s="2157"/>
      <c r="G2" s="2157"/>
      <c r="H2" s="2157"/>
      <c r="I2" s="2157"/>
      <c r="J2" s="2157"/>
      <c r="K2" s="2157"/>
      <c r="L2" s="2157"/>
      <c r="M2" s="2157"/>
      <c r="N2" s="2157"/>
      <c r="O2" s="2157"/>
      <c r="P2" s="2157"/>
      <c r="S2" s="1238">
        <v>4.5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1827602.6666666672</v>
      </c>
      <c r="X2" s="789">
        <f>+R611</f>
        <v>9141212</v>
      </c>
      <c r="Y2" s="790"/>
      <c r="Z2" s="791"/>
      <c r="AA2" s="787"/>
      <c r="AB2" s="787"/>
      <c r="AC2" s="679"/>
    </row>
    <row r="3" spans="1:45" ht="31.5" x14ac:dyDescent="0.25">
      <c r="A3" s="1510" t="s">
        <v>133</v>
      </c>
      <c r="B3" s="1510"/>
      <c r="C3" s="1768"/>
      <c r="D3" s="1510"/>
      <c r="E3" s="1510"/>
      <c r="F3" s="1511"/>
      <c r="G3" s="1512"/>
      <c r="H3" s="1513"/>
      <c r="I3" s="1512"/>
      <c r="J3" s="1514"/>
      <c r="K3" s="2110" t="s">
        <v>1483</v>
      </c>
      <c r="L3" s="2110"/>
      <c r="M3" s="1516" t="s">
        <v>1481</v>
      </c>
      <c r="N3" s="1458">
        <v>46265</v>
      </c>
      <c r="O3" s="323" t="s">
        <v>463</v>
      </c>
      <c r="P3" s="1517">
        <v>46271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1597+O650+O1353+O1361+O1388+O1382+O1373+O1367+O1399+O808+O1330+O1464+O1411+O1407+O1403+O1415+O1421+O1432+O1460+O664+O814+O1128+O1120+O825+O820+O1427+O1469+O1475+O1272+O1480+O1490+O1254+O1062+O975+O987+O1567+O981+O1571+O1576+O1581+O1007+O1500+O1505+O1511+O1522+O1528+O1532+O1538+O1542+O1547+O1585+O1495+O1145+O626+O1553+O1558+O1563+O1516</f>
        <v>38275</v>
      </c>
      <c r="X3" s="789">
        <f>+R1598</f>
        <v>189558.06999999995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11" t="s">
        <v>1484</v>
      </c>
      <c r="L4" s="2111"/>
      <c r="M4" s="1516" t="s">
        <v>1481</v>
      </c>
      <c r="N4" s="1458">
        <v>46272</v>
      </c>
      <c r="O4" s="323" t="s">
        <v>463</v>
      </c>
      <c r="P4" s="1517">
        <v>46277</v>
      </c>
      <c r="U4" s="794" t="s">
        <v>859</v>
      </c>
      <c r="V4" s="787"/>
      <c r="W4" s="788">
        <f>+W1+W2+W3</f>
        <v>1869530.1666666672</v>
      </c>
      <c r="X4" s="789">
        <f>+X1+X2+X3</f>
        <v>9349449.040000001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9"/>
      <c r="N5" s="1520"/>
      <c r="O5" s="368"/>
      <c r="P5" s="1517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7" t="s">
        <v>1478</v>
      </c>
      <c r="B6" s="6" t="s">
        <v>1799</v>
      </c>
      <c r="C6" s="2176" t="s">
        <v>134</v>
      </c>
      <c r="D6" s="2176"/>
      <c r="E6" s="2176"/>
      <c r="F6" s="2176"/>
      <c r="G6" s="2176"/>
      <c r="H6" s="2176"/>
      <c r="I6" s="2176"/>
      <c r="J6" s="2176"/>
      <c r="K6" s="153"/>
      <c r="L6" s="623"/>
      <c r="M6" s="1443"/>
      <c r="N6" s="545"/>
      <c r="O6" s="1443"/>
      <c r="P6" s="1520"/>
      <c r="U6" s="794" t="s">
        <v>858</v>
      </c>
      <c r="V6" s="787"/>
      <c r="W6" s="1957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7" t="s">
        <v>1479</v>
      </c>
      <c r="B7" s="6" t="s">
        <v>1800</v>
      </c>
      <c r="C7" s="2176" t="s">
        <v>1448</v>
      </c>
      <c r="D7" s="2176"/>
      <c r="E7" s="2176"/>
      <c r="F7" s="2176"/>
      <c r="G7" s="2176"/>
      <c r="H7" s="2176"/>
      <c r="I7" s="2176"/>
      <c r="J7" s="2176"/>
      <c r="K7" s="1503" t="s">
        <v>1482</v>
      </c>
      <c r="L7" s="386">
        <v>46276</v>
      </c>
      <c r="M7" s="2181" t="s">
        <v>1462</v>
      </c>
      <c r="N7" s="2182"/>
      <c r="O7" s="2179" t="s">
        <v>1464</v>
      </c>
      <c r="P7" s="2180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7" t="s">
        <v>1480</v>
      </c>
      <c r="B8" s="6" t="s">
        <v>1798</v>
      </c>
      <c r="C8" s="14"/>
      <c r="D8" s="27"/>
      <c r="E8" s="9"/>
      <c r="F8" s="220"/>
      <c r="G8" s="200"/>
      <c r="H8" s="229"/>
      <c r="I8" s="205"/>
      <c r="J8" s="204"/>
      <c r="L8" s="200"/>
      <c r="M8" s="2184" t="s">
        <v>1463</v>
      </c>
      <c r="N8" s="2185"/>
      <c r="O8" s="2177" t="s">
        <v>1465</v>
      </c>
      <c r="P8" s="2178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20"/>
      <c r="O9" s="368"/>
      <c r="P9" s="1521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158"/>
      <c r="B10" s="2158"/>
      <c r="C10" s="2158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  <c r="O10" s="2158"/>
      <c r="P10" s="2158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59" t="s">
        <v>1449</v>
      </c>
      <c r="B12" s="2144" t="s">
        <v>1</v>
      </c>
      <c r="C12" s="2172" t="s">
        <v>41</v>
      </c>
      <c r="D12" s="2150" t="s">
        <v>1447</v>
      </c>
      <c r="E12" s="2170"/>
      <c r="F12" s="2142" t="s">
        <v>6</v>
      </c>
      <c r="G12" s="1509" t="s">
        <v>5</v>
      </c>
      <c r="H12" s="1509" t="s">
        <v>11</v>
      </c>
      <c r="I12" s="1668" t="s">
        <v>316</v>
      </c>
      <c r="J12" s="1669" t="s">
        <v>307</v>
      </c>
      <c r="K12" s="1668" t="s">
        <v>315</v>
      </c>
      <c r="L12" s="1668" t="s">
        <v>12</v>
      </c>
      <c r="M12" s="1506" t="s">
        <v>313</v>
      </c>
      <c r="N12" s="2186" t="s">
        <v>1458</v>
      </c>
      <c r="O12" s="1506" t="s">
        <v>314</v>
      </c>
      <c r="P12" s="2139" t="s">
        <v>1458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60"/>
      <c r="B13" s="2145"/>
      <c r="C13" s="2173"/>
      <c r="D13" s="2151"/>
      <c r="E13" s="2171"/>
      <c r="F13" s="2143"/>
      <c r="G13" s="1499" t="s">
        <v>1455</v>
      </c>
      <c r="H13" s="1499" t="s">
        <v>1485</v>
      </c>
      <c r="I13" s="1498" t="s">
        <v>1466</v>
      </c>
      <c r="J13" s="1522" t="s">
        <v>1461</v>
      </c>
      <c r="K13" s="1498" t="s">
        <v>1467</v>
      </c>
      <c r="L13" s="1498" t="s">
        <v>1456</v>
      </c>
      <c r="M13" s="1523" t="s">
        <v>1457</v>
      </c>
      <c r="N13" s="2187"/>
      <c r="O13" s="1523" t="s">
        <v>1460</v>
      </c>
      <c r="P13" s="2140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8" t="s">
        <v>1450</v>
      </c>
      <c r="B14" s="2146" t="s">
        <v>1451</v>
      </c>
      <c r="C14" s="2150" t="s">
        <v>1452</v>
      </c>
      <c r="D14" s="2148" t="s">
        <v>1453</v>
      </c>
      <c r="E14" s="2152"/>
      <c r="F14" s="2154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8" t="s">
        <v>1459</v>
      </c>
      <c r="O14" s="1501" t="s">
        <v>308</v>
      </c>
      <c r="P14" s="2146" t="s">
        <v>1459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9"/>
      <c r="B15" s="2147"/>
      <c r="C15" s="2151"/>
      <c r="D15" s="2149"/>
      <c r="E15" s="2153"/>
      <c r="F15" s="2155"/>
      <c r="G15" s="1524" t="s">
        <v>1468</v>
      </c>
      <c r="H15" s="1524" t="s">
        <v>1468</v>
      </c>
      <c r="I15" s="1524" t="s">
        <v>1468</v>
      </c>
      <c r="J15" s="1524" t="s">
        <v>1468</v>
      </c>
      <c r="K15" s="1524" t="s">
        <v>1468</v>
      </c>
      <c r="L15" s="1524" t="s">
        <v>1468</v>
      </c>
      <c r="M15" s="1508" t="s">
        <v>1469</v>
      </c>
      <c r="N15" s="2151"/>
      <c r="O15" s="1525" t="s">
        <v>1469</v>
      </c>
      <c r="P15" s="2147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66">
        <f>IF(L88=0,"",1)</f>
        <v>1</v>
      </c>
      <c r="B16" s="2090" t="s">
        <v>254</v>
      </c>
      <c r="C16" s="1505" t="s">
        <v>200</v>
      </c>
      <c r="D16" s="1504" t="s">
        <v>10</v>
      </c>
      <c r="E16" s="890">
        <v>46272</v>
      </c>
      <c r="F16" s="292">
        <f t="shared" ref="F16:F36" si="0">$L$7-E16</f>
        <v>4</v>
      </c>
      <c r="G16" s="315">
        <v>0</v>
      </c>
      <c r="H16" s="304"/>
      <c r="I16" s="304">
        <v>70000</v>
      </c>
      <c r="J16" s="284"/>
      <c r="K16" s="1821">
        <v>60000</v>
      </c>
      <c r="L16" s="1702">
        <f t="shared" ref="L16:L37" si="1">+G16+H16+I16-J16-K16</f>
        <v>10000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66"/>
      <c r="B17" s="2084"/>
      <c r="C17" s="1505" t="s">
        <v>469</v>
      </c>
      <c r="D17" s="850" t="s">
        <v>10</v>
      </c>
      <c r="E17" s="851">
        <v>45951</v>
      </c>
      <c r="F17" s="292">
        <f t="shared" si="0"/>
        <v>325</v>
      </c>
      <c r="G17" s="36">
        <v>0</v>
      </c>
      <c r="H17" s="297"/>
      <c r="I17" s="297"/>
      <c r="J17" s="284"/>
      <c r="K17" s="304"/>
      <c r="L17" s="1702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66"/>
      <c r="B18" s="2084"/>
      <c r="C18" s="135" t="s">
        <v>444</v>
      </c>
      <c r="D18" s="850" t="s">
        <v>10</v>
      </c>
      <c r="E18" s="851">
        <v>46218</v>
      </c>
      <c r="F18" s="292">
        <f t="shared" si="0"/>
        <v>58</v>
      </c>
      <c r="G18" s="36">
        <v>0</v>
      </c>
      <c r="H18" s="297"/>
      <c r="I18" s="297"/>
      <c r="J18" s="281"/>
      <c r="K18" s="297"/>
      <c r="L18" s="1702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66"/>
      <c r="B19" s="2084"/>
      <c r="C19" s="135" t="s">
        <v>467</v>
      </c>
      <c r="D19" s="850" t="s">
        <v>10</v>
      </c>
      <c r="E19" s="851">
        <v>46203</v>
      </c>
      <c r="F19" s="292">
        <f t="shared" si="0"/>
        <v>73</v>
      </c>
      <c r="G19" s="36">
        <v>0</v>
      </c>
      <c r="H19" s="297"/>
      <c r="I19" s="297"/>
      <c r="J19" s="281"/>
      <c r="K19" s="297"/>
      <c r="L19" s="1702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66"/>
      <c r="B20" s="2084"/>
      <c r="C20" s="135" t="s">
        <v>470</v>
      </c>
      <c r="D20" s="850" t="s">
        <v>10</v>
      </c>
      <c r="E20" s="851">
        <v>45664</v>
      </c>
      <c r="F20" s="292">
        <f t="shared" si="0"/>
        <v>612</v>
      </c>
      <c r="G20" s="296">
        <v>0</v>
      </c>
      <c r="H20" s="297"/>
      <c r="I20" s="297"/>
      <c r="J20" s="281"/>
      <c r="K20" s="297"/>
      <c r="L20" s="1702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66"/>
      <c r="B21" s="2090"/>
      <c r="C21" s="135" t="s">
        <v>479</v>
      </c>
      <c r="D21" s="850" t="s">
        <v>10</v>
      </c>
      <c r="E21" s="851">
        <v>45917</v>
      </c>
      <c r="F21" s="292">
        <f t="shared" si="0"/>
        <v>359</v>
      </c>
      <c r="G21" s="36">
        <v>0</v>
      </c>
      <c r="H21" s="297"/>
      <c r="I21" s="297"/>
      <c r="J21" s="280"/>
      <c r="K21" s="297"/>
      <c r="L21" s="1702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66"/>
      <c r="B22" s="2090"/>
      <c r="C22" s="135" t="s">
        <v>478</v>
      </c>
      <c r="D22" s="850" t="s">
        <v>10</v>
      </c>
      <c r="E22" s="851">
        <v>45917</v>
      </c>
      <c r="F22" s="292">
        <f t="shared" si="0"/>
        <v>359</v>
      </c>
      <c r="G22" s="36">
        <v>0</v>
      </c>
      <c r="H22" s="297"/>
      <c r="I22" s="297"/>
      <c r="J22" s="280"/>
      <c r="K22" s="297"/>
      <c r="L22" s="1702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66"/>
      <c r="B23" s="2090"/>
      <c r="C23" s="135" t="s">
        <v>466</v>
      </c>
      <c r="D23" s="850" t="s">
        <v>10</v>
      </c>
      <c r="E23" s="851">
        <v>45666</v>
      </c>
      <c r="F23" s="292">
        <f t="shared" si="0"/>
        <v>610</v>
      </c>
      <c r="G23" s="36">
        <v>0</v>
      </c>
      <c r="H23" s="297"/>
      <c r="I23" s="297"/>
      <c r="J23" s="280"/>
      <c r="K23" s="298"/>
      <c r="L23" s="1702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66"/>
      <c r="B24" s="2090"/>
      <c r="C24" s="135" t="s">
        <v>477</v>
      </c>
      <c r="D24" s="852" t="s">
        <v>10</v>
      </c>
      <c r="E24" s="851">
        <v>45922</v>
      </c>
      <c r="F24" s="292">
        <f t="shared" si="0"/>
        <v>354</v>
      </c>
      <c r="G24" s="36">
        <v>0</v>
      </c>
      <c r="H24" s="297"/>
      <c r="I24" s="297"/>
      <c r="J24" s="280"/>
      <c r="K24" s="298"/>
      <c r="L24" s="1702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66"/>
      <c r="B25" s="2090"/>
      <c r="C25" s="135" t="s">
        <v>476</v>
      </c>
      <c r="D25" s="850" t="s">
        <v>10</v>
      </c>
      <c r="E25" s="851">
        <v>46202</v>
      </c>
      <c r="F25" s="292">
        <f t="shared" si="0"/>
        <v>74</v>
      </c>
      <c r="G25" s="36">
        <v>0</v>
      </c>
      <c r="H25" s="297"/>
      <c r="I25" s="297"/>
      <c r="J25" s="280"/>
      <c r="K25" s="298"/>
      <c r="L25" s="1702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66"/>
      <c r="B26" s="2090"/>
      <c r="C26" s="135" t="s">
        <v>475</v>
      </c>
      <c r="D26" s="850" t="s">
        <v>10</v>
      </c>
      <c r="E26" s="853">
        <v>45914</v>
      </c>
      <c r="F26" s="292">
        <f t="shared" si="0"/>
        <v>362</v>
      </c>
      <c r="G26" s="36">
        <v>0</v>
      </c>
      <c r="H26" s="298"/>
      <c r="I26" s="298"/>
      <c r="J26" s="280"/>
      <c r="K26" s="298"/>
      <c r="L26" s="1702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66"/>
      <c r="B27" s="2090"/>
      <c r="C27" s="135" t="s">
        <v>79</v>
      </c>
      <c r="D27" s="850" t="s">
        <v>10</v>
      </c>
      <c r="E27" s="1210"/>
      <c r="F27" s="292"/>
      <c r="G27" s="36">
        <v>0</v>
      </c>
      <c r="H27" s="298"/>
      <c r="I27" s="298">
        <v>100000</v>
      </c>
      <c r="J27" s="280"/>
      <c r="K27" s="634">
        <v>100000</v>
      </c>
      <c r="L27" s="1702">
        <f t="shared" si="1"/>
        <v>0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66"/>
      <c r="B28" s="2090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2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66"/>
      <c r="B29" s="2090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2">
        <f t="shared" si="1"/>
        <v>0</v>
      </c>
      <c r="M29" s="1446"/>
      <c r="N29" s="1854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66"/>
      <c r="B30" s="2090"/>
      <c r="C30" s="135" t="s">
        <v>920</v>
      </c>
      <c r="D30" s="850" t="s">
        <v>10</v>
      </c>
      <c r="E30" s="1210">
        <v>45903</v>
      </c>
      <c r="F30" s="73">
        <f t="shared" si="0"/>
        <v>373</v>
      </c>
      <c r="G30" s="36">
        <v>0</v>
      </c>
      <c r="H30" s="298"/>
      <c r="I30" s="298"/>
      <c r="J30" s="280"/>
      <c r="K30" s="298"/>
      <c r="L30" s="1702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66"/>
      <c r="B31" s="2090"/>
      <c r="C31" s="135"/>
      <c r="D31" s="850" t="s">
        <v>10</v>
      </c>
      <c r="E31" s="1210">
        <v>46201</v>
      </c>
      <c r="F31" s="73">
        <f t="shared" si="0"/>
        <v>75</v>
      </c>
      <c r="G31" s="36">
        <v>0</v>
      </c>
      <c r="H31" s="298"/>
      <c r="I31" s="298"/>
      <c r="J31" s="280"/>
      <c r="K31" s="298"/>
      <c r="L31" s="1702">
        <f t="shared" si="1"/>
        <v>0</v>
      </c>
      <c r="M31" s="1446"/>
      <c r="N31" s="1854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66"/>
      <c r="B32" s="2090"/>
      <c r="C32" s="135" t="s">
        <v>1428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2">
        <f t="shared" si="1"/>
        <v>0</v>
      </c>
      <c r="M32" s="1446"/>
      <c r="N32" s="1854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66"/>
      <c r="B33" s="2090"/>
      <c r="C33" s="135" t="s">
        <v>1400</v>
      </c>
      <c r="D33" s="850" t="s">
        <v>10</v>
      </c>
      <c r="E33" s="1210">
        <v>46275</v>
      </c>
      <c r="F33" s="292">
        <f t="shared" si="0"/>
        <v>1</v>
      </c>
      <c r="G33" s="36">
        <v>526930</v>
      </c>
      <c r="H33" s="298"/>
      <c r="I33" s="298">
        <v>391180</v>
      </c>
      <c r="J33" s="280"/>
      <c r="K33" s="298">
        <v>170000</v>
      </c>
      <c r="L33" s="1702">
        <f t="shared" si="1"/>
        <v>748110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66"/>
      <c r="B34" s="2090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2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66"/>
      <c r="B35" s="2090"/>
      <c r="C35" s="135" t="s">
        <v>1859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2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597250</v>
      </c>
      <c r="S35" s="796"/>
      <c r="T35" s="797"/>
      <c r="U35" s="797"/>
      <c r="V35" s="797"/>
      <c r="W35" s="785">
        <f>IFERROR(VLOOKUP($Q35,'391'!$S:$AG,15,0),0)</f>
        <v>182972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66"/>
      <c r="B36" s="2090"/>
      <c r="C36" s="135"/>
      <c r="D36" s="850" t="s">
        <v>10</v>
      </c>
      <c r="E36" s="1210">
        <v>45920</v>
      </c>
      <c r="F36" s="73">
        <f t="shared" si="0"/>
        <v>356</v>
      </c>
      <c r="G36" s="298">
        <v>0</v>
      </c>
      <c r="H36" s="298"/>
      <c r="I36" s="298"/>
      <c r="J36" s="317"/>
      <c r="K36" s="1878"/>
      <c r="L36" s="1702">
        <f t="shared" si="1"/>
        <v>0</v>
      </c>
      <c r="M36" s="1446"/>
      <c r="N36" s="241"/>
      <c r="O36" s="1446"/>
      <c r="P36" s="728"/>
      <c r="Q36" s="666" t="s">
        <v>1610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451083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66"/>
      <c r="B37" s="2084"/>
      <c r="C37" s="149" t="s">
        <v>1930</v>
      </c>
      <c r="D37" s="850" t="s">
        <v>10</v>
      </c>
      <c r="E37" s="853">
        <v>46209</v>
      </c>
      <c r="F37" s="73">
        <f>$L$7-E37</f>
        <v>67</v>
      </c>
      <c r="G37" s="298">
        <v>1146</v>
      </c>
      <c r="H37" s="298"/>
      <c r="I37" s="317">
        <f>+K27</f>
        <v>100000</v>
      </c>
      <c r="J37" s="1948">
        <f>usage!I5</f>
        <v>92206</v>
      </c>
      <c r="K37" s="298"/>
      <c r="L37" s="1702">
        <f t="shared" si="1"/>
        <v>8940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66"/>
      <c r="B38" s="260" t="s">
        <v>219</v>
      </c>
      <c r="C38" s="88"/>
      <c r="D38" s="864"/>
      <c r="E38" s="864"/>
      <c r="F38" s="865"/>
      <c r="G38" s="324">
        <v>528076</v>
      </c>
      <c r="H38" s="324">
        <f t="shared" ref="H38:L38" si="2">+SUM(H16:H37)</f>
        <v>0</v>
      </c>
      <c r="I38" s="324">
        <f t="shared" si="2"/>
        <v>661180</v>
      </c>
      <c r="J38" s="324">
        <f t="shared" si="2"/>
        <v>92206</v>
      </c>
      <c r="K38" s="324">
        <f t="shared" si="2"/>
        <v>330000</v>
      </c>
      <c r="L38" s="324">
        <f t="shared" si="2"/>
        <v>767050</v>
      </c>
      <c r="M38" s="59">
        <f>IFERROR((R35+R36)/$S$2,"")</f>
        <v>132722.22222222222</v>
      </c>
      <c r="N38" s="854">
        <f>IFERROR(L38/M38,0)</f>
        <v>5.779363750523232</v>
      </c>
      <c r="O38" s="889">
        <f>IFERROR(SUMIF(ETM!$A:$A,$Q38,ETM!$E:$E),"")-803650</f>
        <v>104532.66666666686</v>
      </c>
      <c r="P38" s="1920">
        <f>IFERROR(L38/O38,0)</f>
        <v>7.3378975631222003</v>
      </c>
      <c r="Q38" s="795" t="s">
        <v>804</v>
      </c>
      <c r="R38" s="785">
        <f>IFERROR(VLOOKUP($Q38,'391'!$P:$W,8,0),"")</f>
        <v>4778177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528076</v>
      </c>
      <c r="Y38" s="1087">
        <f>+G38+G61+G92+G80</f>
        <v>15415043.859999999</v>
      </c>
      <c r="Z38" s="1088">
        <f>+W39+W40+W49+W50+W60+W92+W59+W80+W36+W38+W35+W61</f>
        <v>19093833</v>
      </c>
      <c r="AA38" s="1089">
        <f>+Y38-Z38</f>
        <v>-3678789.1400000006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66"/>
      <c r="B39" s="2161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154</v>
      </c>
      <c r="G39" s="297">
        <v>0</v>
      </c>
      <c r="H39" s="298"/>
      <c r="I39" s="298"/>
      <c r="J39" s="316"/>
      <c r="K39" s="1164"/>
      <c r="L39" s="531">
        <f t="shared" ref="L39:L87" si="4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66"/>
      <c r="B40" s="2162"/>
      <c r="C40" s="132"/>
      <c r="D40" s="850" t="s">
        <v>10</v>
      </c>
      <c r="E40" s="851">
        <v>45986</v>
      </c>
      <c r="F40" s="42">
        <f t="shared" ref="F40:F55" si="5">$L$7-E40</f>
        <v>290</v>
      </c>
      <c r="G40" s="298">
        <v>0</v>
      </c>
      <c r="H40" s="297"/>
      <c r="I40" s="297"/>
      <c r="J40" s="316"/>
      <c r="K40" s="297"/>
      <c r="L40" s="531">
        <f t="shared" si="4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66"/>
      <c r="B41" s="2162"/>
      <c r="C41" s="135"/>
      <c r="D41" s="850" t="s">
        <v>10</v>
      </c>
      <c r="E41" s="851">
        <v>45943</v>
      </c>
      <c r="F41" s="42">
        <f t="shared" si="5"/>
        <v>333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66"/>
      <c r="B42" s="2163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66"/>
      <c r="B43" s="2163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66"/>
      <c r="B44" s="2164"/>
      <c r="C44" s="135"/>
      <c r="D44" s="850" t="s">
        <v>10</v>
      </c>
      <c r="E44" s="851"/>
      <c r="F44" s="42">
        <f t="shared" ref="F44:F47" si="6">$L$7-E44</f>
        <v>46276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66"/>
      <c r="B45" s="2164"/>
      <c r="C45" s="135"/>
      <c r="D45" s="850" t="s">
        <v>10</v>
      </c>
      <c r="E45" s="851"/>
      <c r="F45" s="42">
        <f t="shared" si="6"/>
        <v>46276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66"/>
      <c r="B46" s="2164"/>
      <c r="C46" s="135"/>
      <c r="D46" s="850" t="s">
        <v>10</v>
      </c>
      <c r="E46" s="851"/>
      <c r="F46" s="42">
        <f t="shared" si="6"/>
        <v>46276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66"/>
      <c r="B47" s="2164"/>
      <c r="C47" s="1484" t="s">
        <v>79</v>
      </c>
      <c r="D47" s="850" t="s">
        <v>10</v>
      </c>
      <c r="E47" s="851">
        <v>46134</v>
      </c>
      <c r="F47" s="42">
        <f t="shared" si="6"/>
        <v>142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66"/>
      <c r="B48" s="2163"/>
      <c r="C48" s="1484"/>
      <c r="D48" s="850" t="s">
        <v>10</v>
      </c>
      <c r="E48" s="851"/>
      <c r="F48" s="42"/>
      <c r="G48" s="297">
        <v>0</v>
      </c>
      <c r="H48" s="1947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66"/>
      <c r="B49" s="2163"/>
      <c r="C49" s="1484"/>
      <c r="D49" s="852" t="s">
        <v>10</v>
      </c>
      <c r="E49" s="851">
        <v>46055</v>
      </c>
      <c r="F49" s="42">
        <f t="shared" ref="F49" si="11">$L$7-E49</f>
        <v>221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66"/>
      <c r="B50" s="2163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66"/>
      <c r="B51" s="2163"/>
      <c r="C51" s="132" t="s">
        <v>469</v>
      </c>
      <c r="D51" s="852" t="s">
        <v>10</v>
      </c>
      <c r="E51" s="851">
        <v>46124</v>
      </c>
      <c r="F51" s="42">
        <f t="shared" si="5"/>
        <v>152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66"/>
      <c r="B52" s="2163"/>
      <c r="C52" s="132" t="s">
        <v>467</v>
      </c>
      <c r="D52" s="852" t="s">
        <v>10</v>
      </c>
      <c r="E52" s="851">
        <v>46065</v>
      </c>
      <c r="F52" s="42">
        <f t="shared" si="5"/>
        <v>211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66"/>
      <c r="B53" s="2164"/>
      <c r="C53" s="132" t="s">
        <v>470</v>
      </c>
      <c r="D53" s="850" t="s">
        <v>10</v>
      </c>
      <c r="E53" s="851">
        <v>45986</v>
      </c>
      <c r="F53" s="42">
        <f t="shared" ref="F53" si="12">$L$7-E53</f>
        <v>290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66"/>
      <c r="B54" s="2163"/>
      <c r="C54" s="132" t="s">
        <v>479</v>
      </c>
      <c r="D54" s="29" t="s">
        <v>10</v>
      </c>
      <c r="E54" s="851">
        <v>45955</v>
      </c>
      <c r="F54" s="42">
        <f t="shared" si="5"/>
        <v>321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66"/>
      <c r="B55" s="2164"/>
      <c r="C55" s="132" t="s">
        <v>478</v>
      </c>
      <c r="D55" s="852" t="s">
        <v>10</v>
      </c>
      <c r="E55" s="851">
        <v>45955</v>
      </c>
      <c r="F55" s="42">
        <f t="shared" si="5"/>
        <v>321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66"/>
      <c r="B56" s="2164"/>
      <c r="C56" s="132" t="s">
        <v>466</v>
      </c>
      <c r="D56" s="852" t="s">
        <v>10</v>
      </c>
      <c r="E56" s="853">
        <v>45939</v>
      </c>
      <c r="F56" s="42">
        <f t="shared" ref="F56" si="13">$L$7-E56</f>
        <v>337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66"/>
      <c r="B57" s="2163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290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66"/>
      <c r="B58" s="2163"/>
      <c r="C58" s="132" t="s">
        <v>476</v>
      </c>
      <c r="D58" s="852" t="s">
        <v>10</v>
      </c>
      <c r="E58" s="853">
        <v>46087</v>
      </c>
      <c r="F58" s="42">
        <f t="shared" si="14"/>
        <v>189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66"/>
      <c r="B59" s="2164"/>
      <c r="C59" s="132" t="s">
        <v>475</v>
      </c>
      <c r="D59" s="852" t="s">
        <v>10</v>
      </c>
      <c r="E59" s="853">
        <v>45986</v>
      </c>
      <c r="F59" s="42">
        <f t="shared" si="14"/>
        <v>290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66"/>
      <c r="B60" s="2165"/>
      <c r="C60" s="149" t="s">
        <v>1805</v>
      </c>
      <c r="D60" s="850" t="s">
        <v>10</v>
      </c>
      <c r="E60" s="853">
        <v>46134</v>
      </c>
      <c r="F60" s="73">
        <f>$L$7-E60</f>
        <v>142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4"/>
        <v>0</v>
      </c>
      <c r="M60" s="1448"/>
      <c r="N60" s="85"/>
      <c r="O60" s="1958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66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4"/>
        <v>0</v>
      </c>
      <c r="M61" s="1917">
        <f>IFERROR((R61+R50+R60)/$S$2,"")</f>
        <v>0</v>
      </c>
      <c r="N61" s="1918">
        <f>IFERROR(L61/M61,0)</f>
        <v>0</v>
      </c>
      <c r="O61" s="1919">
        <f>IFERROR(SUMIF(ETM!$A:$A,$Q61,ETM!$E:$E),"")</f>
        <v>0</v>
      </c>
      <c r="P61" s="1920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4491061</v>
      </c>
      <c r="T61" s="801"/>
      <c r="U61" s="801"/>
      <c r="V61" s="801"/>
      <c r="W61" s="785">
        <f>IFERROR(VLOOKUP($Q61,'391'!$S:$AG,15,0),0)</f>
        <v>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66"/>
      <c r="B62" s="2183" t="s">
        <v>1564</v>
      </c>
      <c r="C62" s="132" t="s">
        <v>200</v>
      </c>
      <c r="D62" s="852" t="s">
        <v>10</v>
      </c>
      <c r="E62" s="853">
        <v>46122</v>
      </c>
      <c r="F62" s="42">
        <f>$L$7-E62</f>
        <v>154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6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66"/>
      <c r="B63" s="2164"/>
      <c r="C63" s="132" t="s">
        <v>444</v>
      </c>
      <c r="D63" s="850" t="s">
        <v>10</v>
      </c>
      <c r="E63" s="851">
        <v>46252</v>
      </c>
      <c r="F63" s="42">
        <f t="shared" ref="F63:F79" si="17">$L$7-E63</f>
        <v>24</v>
      </c>
      <c r="G63" s="298">
        <v>0</v>
      </c>
      <c r="H63" s="298"/>
      <c r="I63" s="298"/>
      <c r="J63" s="316"/>
      <c r="K63" s="1164"/>
      <c r="L63" s="531">
        <f t="shared" ref="L63:L79" si="18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66"/>
      <c r="B64" s="2164"/>
      <c r="C64" s="132" t="s">
        <v>467</v>
      </c>
      <c r="D64" s="850" t="s">
        <v>10</v>
      </c>
      <c r="E64" s="851">
        <v>46206</v>
      </c>
      <c r="F64" s="42">
        <f t="shared" si="17"/>
        <v>70</v>
      </c>
      <c r="G64" s="298">
        <v>0</v>
      </c>
      <c r="H64" s="297"/>
      <c r="I64" s="297"/>
      <c r="J64" s="316"/>
      <c r="K64" s="1164"/>
      <c r="L64" s="531">
        <f t="shared" si="18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66"/>
      <c r="B65" s="2164"/>
      <c r="C65" s="132" t="s">
        <v>470</v>
      </c>
      <c r="D65" s="850" t="s">
        <v>10</v>
      </c>
      <c r="E65" s="851">
        <v>46240</v>
      </c>
      <c r="F65" s="42">
        <f t="shared" si="17"/>
        <v>36</v>
      </c>
      <c r="G65" s="297">
        <v>0</v>
      </c>
      <c r="H65" s="297"/>
      <c r="I65" s="297"/>
      <c r="J65" s="316"/>
      <c r="K65" s="1164"/>
      <c r="L65" s="531">
        <f t="shared" si="18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66"/>
      <c r="B66" s="2164"/>
      <c r="C66" s="132" t="s">
        <v>479</v>
      </c>
      <c r="D66" s="850" t="s">
        <v>10</v>
      </c>
      <c r="E66" s="851">
        <v>46007</v>
      </c>
      <c r="F66" s="42">
        <f t="shared" si="17"/>
        <v>269</v>
      </c>
      <c r="G66" s="297">
        <v>0</v>
      </c>
      <c r="H66" s="297"/>
      <c r="I66" s="297"/>
      <c r="J66" s="297"/>
      <c r="K66" s="1164"/>
      <c r="L66" s="531">
        <f t="shared" si="18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66"/>
      <c r="B67" s="2164"/>
      <c r="C67" s="132" t="s">
        <v>478</v>
      </c>
      <c r="D67" s="850" t="s">
        <v>10</v>
      </c>
      <c r="E67" s="851">
        <v>46252</v>
      </c>
      <c r="F67" s="42">
        <f t="shared" si="17"/>
        <v>24</v>
      </c>
      <c r="G67" s="297">
        <v>0</v>
      </c>
      <c r="H67" s="297"/>
      <c r="I67" s="297"/>
      <c r="J67" s="297"/>
      <c r="K67" s="1164"/>
      <c r="L67" s="531">
        <f t="shared" ref="L67" si="19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0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66"/>
      <c r="B68" s="2164"/>
      <c r="C68" s="132" t="s">
        <v>466</v>
      </c>
      <c r="D68" s="850" t="s">
        <v>10</v>
      </c>
      <c r="E68" s="851">
        <v>46251</v>
      </c>
      <c r="F68" s="42">
        <f t="shared" si="17"/>
        <v>25</v>
      </c>
      <c r="G68" s="297">
        <v>0</v>
      </c>
      <c r="H68" s="297"/>
      <c r="I68" s="297"/>
      <c r="J68" s="297"/>
      <c r="K68" s="1164"/>
      <c r="L68" s="531">
        <f t="shared" ref="L68" si="21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2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66"/>
      <c r="B69" s="2164"/>
      <c r="C69" s="132" t="s">
        <v>477</v>
      </c>
      <c r="D69" s="850" t="s">
        <v>10</v>
      </c>
      <c r="E69" s="851">
        <v>46234</v>
      </c>
      <c r="F69" s="42">
        <f t="shared" si="17"/>
        <v>42</v>
      </c>
      <c r="G69" s="297">
        <v>0</v>
      </c>
      <c r="H69" s="297"/>
      <c r="I69" s="298"/>
      <c r="J69" s="297"/>
      <c r="K69" s="297"/>
      <c r="L69" s="531">
        <f t="shared" si="18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66"/>
      <c r="B70" s="2164"/>
      <c r="C70" s="132" t="s">
        <v>476</v>
      </c>
      <c r="D70" s="850" t="s">
        <v>10</v>
      </c>
      <c r="E70" s="851">
        <v>46251</v>
      </c>
      <c r="F70" s="42">
        <f t="shared" si="17"/>
        <v>25</v>
      </c>
      <c r="G70" s="1164">
        <v>0</v>
      </c>
      <c r="H70" s="297"/>
      <c r="I70" s="297"/>
      <c r="J70" s="297"/>
      <c r="K70" s="297"/>
      <c r="L70" s="531">
        <f t="shared" si="18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66"/>
      <c r="B71" s="2164"/>
      <c r="C71" s="132" t="s">
        <v>475</v>
      </c>
      <c r="D71" s="850" t="s">
        <v>10</v>
      </c>
      <c r="E71" s="851">
        <v>46253</v>
      </c>
      <c r="F71" s="42">
        <f t="shared" si="17"/>
        <v>23</v>
      </c>
      <c r="G71" s="297">
        <v>0</v>
      </c>
      <c r="H71" s="297"/>
      <c r="I71" s="297"/>
      <c r="J71" s="297"/>
      <c r="K71" s="297"/>
      <c r="L71" s="531">
        <f t="shared" si="18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66"/>
      <c r="B72" s="2164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3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4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66"/>
      <c r="B73" s="2164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5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6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66"/>
      <c r="B74" s="2164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3"/>
        <v>0</v>
      </c>
      <c r="M74" s="1446"/>
      <c r="N74" s="241"/>
      <c r="O74" s="1446"/>
      <c r="P74" s="728"/>
      <c r="Q74" s="1819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66"/>
      <c r="B75" s="2164"/>
      <c r="C75" s="135" t="s">
        <v>857</v>
      </c>
      <c r="D75" s="850" t="s">
        <v>10</v>
      </c>
      <c r="E75" s="851">
        <v>46233</v>
      </c>
      <c r="F75" s="73">
        <f t="shared" ref="F75" si="27">$L$7-E75</f>
        <v>43</v>
      </c>
      <c r="G75" s="297">
        <v>5504490</v>
      </c>
      <c r="H75" s="297"/>
      <c r="I75" s="298"/>
      <c r="J75" s="297"/>
      <c r="K75" s="1164">
        <v>500000</v>
      </c>
      <c r="L75" s="531">
        <f t="shared" si="18"/>
        <v>5004490</v>
      </c>
      <c r="M75" s="1446"/>
      <c r="N75" s="1854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5504490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66"/>
      <c r="B76" s="2164"/>
      <c r="C76" s="135" t="s">
        <v>1178</v>
      </c>
      <c r="D76" s="850" t="s">
        <v>10</v>
      </c>
      <c r="E76" s="851"/>
      <c r="F76" s="73"/>
      <c r="G76" s="297">
        <v>0</v>
      </c>
      <c r="H76" s="297"/>
      <c r="I76" s="298"/>
      <c r="J76" s="1219"/>
      <c r="K76" s="2000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66"/>
      <c r="B77" s="2164"/>
      <c r="C77" s="135" t="s">
        <v>53</v>
      </c>
      <c r="D77" s="850" t="s">
        <v>10</v>
      </c>
      <c r="E77" s="851">
        <v>46233</v>
      </c>
      <c r="F77" s="42">
        <f t="shared" si="17"/>
        <v>43</v>
      </c>
      <c r="G77" s="298">
        <v>5792008</v>
      </c>
      <c r="H77" s="1243"/>
      <c r="I77" s="298">
        <v>500000</v>
      </c>
      <c r="J77" s="1219"/>
      <c r="K77" s="1219">
        <v>800000</v>
      </c>
      <c r="L77" s="531">
        <f t="shared" si="18"/>
        <v>5492008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66"/>
      <c r="B78" s="2164"/>
      <c r="C78" s="135" t="s">
        <v>1307</v>
      </c>
      <c r="D78" s="850" t="s">
        <v>10</v>
      </c>
      <c r="E78" s="851">
        <v>46241</v>
      </c>
      <c r="F78" s="42">
        <f t="shared" ref="F78" si="29">$L$7-E78</f>
        <v>35</v>
      </c>
      <c r="G78" s="1987">
        <v>3297000</v>
      </c>
      <c r="H78" s="1988"/>
      <c r="I78" s="298"/>
      <c r="J78" s="1219"/>
      <c r="K78" s="1219"/>
      <c r="L78" s="531">
        <f t="shared" ref="L78" si="30">+G78+H78+I78-J78-K78</f>
        <v>3297000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66"/>
      <c r="B79" s="2165"/>
      <c r="C79" s="149" t="s">
        <v>2248</v>
      </c>
      <c r="D79" s="850" t="s">
        <v>10</v>
      </c>
      <c r="E79" s="853">
        <v>46233</v>
      </c>
      <c r="F79" s="42">
        <f t="shared" si="17"/>
        <v>43</v>
      </c>
      <c r="G79" s="298">
        <v>279082.85999999975</v>
      </c>
      <c r="H79" s="830"/>
      <c r="I79" s="317">
        <f>K77+K78</f>
        <v>800000</v>
      </c>
      <c r="J79" s="1164">
        <f>usage!I6</f>
        <v>949414.75</v>
      </c>
      <c r="K79" s="297"/>
      <c r="L79" s="531">
        <f t="shared" si="18"/>
        <v>129668.10999999987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279082.85999999975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66"/>
      <c r="B80" s="509" t="s">
        <v>1563</v>
      </c>
      <c r="C80" s="88"/>
      <c r="D80" s="864"/>
      <c r="E80" s="864"/>
      <c r="F80" s="865"/>
      <c r="G80" s="324">
        <v>14872580.859999999</v>
      </c>
      <c r="H80" s="324">
        <f t="shared" ref="H80" si="32">SUM(H62:H79)</f>
        <v>0</v>
      </c>
      <c r="I80" s="324">
        <f>SUM(I62:I79)</f>
        <v>1300000</v>
      </c>
      <c r="J80" s="324">
        <f t="shared" ref="J80:K80" si="33">SUM(J62:J79)</f>
        <v>949414.75</v>
      </c>
      <c r="K80" s="324">
        <f t="shared" si="33"/>
        <v>1300000</v>
      </c>
      <c r="L80" s="324">
        <f>SUM(L62:L79)</f>
        <v>13923166.109999999</v>
      </c>
      <c r="M80" s="59">
        <f>IFERROR(R80/$S$2,"")</f>
        <v>865291.33333333337</v>
      </c>
      <c r="N80" s="366">
        <f>IFERROR(L80/M80,0)</f>
        <v>16.090726410449811</v>
      </c>
      <c r="O80" s="861">
        <f>IFERROR(SUMIF(ETM!$A:$A,$Q80,ETM!$E:$E),"")+803650</f>
        <v>803650</v>
      </c>
      <c r="P80" s="855">
        <f>IFERROR(L80/O80,0)</f>
        <v>17.324912723200399</v>
      </c>
      <c r="Q80" s="666" t="s">
        <v>1562</v>
      </c>
      <c r="R80" s="785">
        <f>IFERROR(VLOOKUP($Q80,'391'!$S:$Z,8,0),0)</f>
        <v>3893811</v>
      </c>
      <c r="S80" s="800"/>
      <c r="T80" s="801"/>
      <c r="U80" s="801"/>
      <c r="V80" s="801"/>
      <c r="W80" s="785">
        <f>IFERROR(VLOOKUP($Q80,'391'!$S:$AG,15,0),0)</f>
        <v>18216435</v>
      </c>
      <c r="X80" s="799">
        <f t="shared" si="31"/>
        <v>-3343854.1400000006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66"/>
      <c r="B81" s="2051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1005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66"/>
      <c r="B82" s="2073"/>
      <c r="C82" s="106" t="s">
        <v>444</v>
      </c>
      <c r="D82" s="852" t="s">
        <v>10</v>
      </c>
      <c r="E82" s="853">
        <v>45293</v>
      </c>
      <c r="F82" s="73">
        <f t="shared" si="34"/>
        <v>983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66"/>
      <c r="B83" s="2073"/>
      <c r="C83" s="106" t="s">
        <v>467</v>
      </c>
      <c r="D83" s="852" t="s">
        <v>10</v>
      </c>
      <c r="E83" s="853">
        <v>45273</v>
      </c>
      <c r="F83" s="73">
        <f t="shared" si="34"/>
        <v>1003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66"/>
      <c r="B84" s="2073"/>
      <c r="C84" s="106" t="s">
        <v>470</v>
      </c>
      <c r="D84" s="852" t="s">
        <v>10</v>
      </c>
      <c r="E84" s="853">
        <v>45282</v>
      </c>
      <c r="F84" s="73">
        <f t="shared" si="34"/>
        <v>994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66"/>
      <c r="B85" s="2073"/>
      <c r="C85" s="106" t="s">
        <v>479</v>
      </c>
      <c r="D85" s="852" t="s">
        <v>10</v>
      </c>
      <c r="E85" s="853">
        <v>45258</v>
      </c>
      <c r="F85" s="73">
        <f t="shared" si="34"/>
        <v>1018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66"/>
      <c r="B86" s="2073"/>
      <c r="C86" s="106" t="s">
        <v>478</v>
      </c>
      <c r="D86" s="852" t="s">
        <v>10</v>
      </c>
      <c r="E86" s="853">
        <v>45268</v>
      </c>
      <c r="F86" s="73">
        <f t="shared" si="34"/>
        <v>1008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67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68" t="s">
        <v>101</v>
      </c>
      <c r="B88" s="2169"/>
      <c r="C88" s="269"/>
      <c r="D88" s="2174"/>
      <c r="E88" s="2175"/>
      <c r="F88" s="270"/>
      <c r="G88" s="383">
        <v>15400656.859999999</v>
      </c>
      <c r="H88" s="383">
        <f>+H80+H61+H38+H87</f>
        <v>0</v>
      </c>
      <c r="I88" s="383">
        <f>+I80+I61+I38+I87</f>
        <v>1961180</v>
      </c>
      <c r="J88" s="383">
        <f>+J80+J61+J38+J87</f>
        <v>1041620.75</v>
      </c>
      <c r="K88" s="383">
        <f>+K80+K61+K38+K87</f>
        <v>1630000</v>
      </c>
      <c r="L88" s="383">
        <f>+L80+L61+L38+L87</f>
        <v>14690216.109999999</v>
      </c>
      <c r="M88" s="383">
        <f>+M87+M61+M38+M80</f>
        <v>998013.55555555562</v>
      </c>
      <c r="N88" s="270">
        <f>(L88/M88)</f>
        <v>14.719455490584517</v>
      </c>
      <c r="O88" s="383">
        <f>O87+O38+O61+O80</f>
        <v>908182.66666666686</v>
      </c>
      <c r="P88" s="732">
        <f>(L88/O88)</f>
        <v>16.175398021983828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15400656.859999999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71">
        <f>IF(L92=0,"",MAX($A$16:A88)+1)</f>
        <v>2</v>
      </c>
      <c r="B89" s="2051" t="s">
        <v>84</v>
      </c>
      <c r="C89" s="107" t="s">
        <v>220</v>
      </c>
      <c r="D89" s="850" t="s">
        <v>10</v>
      </c>
      <c r="E89" s="851">
        <v>46270</v>
      </c>
      <c r="F89" s="41">
        <f>$L$7-E89</f>
        <v>6</v>
      </c>
      <c r="G89" s="36">
        <v>0</v>
      </c>
      <c r="H89" s="36"/>
      <c r="I89" s="36">
        <f>K16</f>
        <v>60000</v>
      </c>
      <c r="J89" s="1294"/>
      <c r="K89" s="36">
        <v>50000</v>
      </c>
      <c r="L89" s="531">
        <f>+G89+H89+I89-J89-K89</f>
        <v>10000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86"/>
      <c r="B90" s="2073"/>
      <c r="C90" s="107" t="s">
        <v>1386</v>
      </c>
      <c r="D90" s="850" t="s">
        <v>10</v>
      </c>
      <c r="E90" s="851">
        <v>46269</v>
      </c>
      <c r="F90" s="41">
        <f>$L$7-E90</f>
        <v>7</v>
      </c>
      <c r="G90" s="36">
        <v>0</v>
      </c>
      <c r="H90" s="36"/>
      <c r="I90" s="36"/>
      <c r="J90" s="1294"/>
      <c r="K90" s="36"/>
      <c r="L90" s="531">
        <f>+G90+H90+I90-J90-K90</f>
        <v>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072"/>
      <c r="B91" s="2052"/>
      <c r="C91" s="108" t="s">
        <v>570</v>
      </c>
      <c r="D91" s="863" t="s">
        <v>10</v>
      </c>
      <c r="E91" s="851">
        <v>46270</v>
      </c>
      <c r="F91" s="38">
        <f>$L$7-E91</f>
        <v>6</v>
      </c>
      <c r="G91" s="28">
        <v>14387</v>
      </c>
      <c r="H91" s="28"/>
      <c r="I91" s="28">
        <f>K89+K90-I90</f>
        <v>50000</v>
      </c>
      <c r="J91" s="1295">
        <f>+usage!I8</f>
        <v>55874</v>
      </c>
      <c r="K91" s="28"/>
      <c r="L91" s="531">
        <f>+G91+H91+I91-J91-K91</f>
        <v>8513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14387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27" t="s">
        <v>102</v>
      </c>
      <c r="B92" s="2028"/>
      <c r="C92" s="88"/>
      <c r="D92" s="864"/>
      <c r="E92" s="864"/>
      <c r="F92" s="865"/>
      <c r="G92" s="1296">
        <v>14387</v>
      </c>
      <c r="H92" s="1296">
        <f>SUM(H89:H91)</f>
        <v>0</v>
      </c>
      <c r="I92" s="1296">
        <f>SUM(I89:I91)</f>
        <v>110000</v>
      </c>
      <c r="J92" s="1296">
        <f>SUM(J89:J91)</f>
        <v>55874</v>
      </c>
      <c r="K92" s="1296">
        <f>SUM(K89:K91)</f>
        <v>50000</v>
      </c>
      <c r="L92" s="1296">
        <f>SUM(L89:L91)</f>
        <v>18513</v>
      </c>
      <c r="M92" s="59">
        <f>IFERROR(R92/$S$2,"")</f>
        <v>63803.555555555555</v>
      </c>
      <c r="N92" s="366">
        <f>(L92/M92)</f>
        <v>0.29015624346953844</v>
      </c>
      <c r="O92" s="59">
        <f>IFERROR(SUMIF(ETM!$A:$A,$Q92,ETM!$E:$E),"")</f>
        <v>63226.499999999993</v>
      </c>
      <c r="P92" s="855">
        <f>(L92/O92)</f>
        <v>0.29280444117577287</v>
      </c>
      <c r="Q92" s="795" t="s">
        <v>84</v>
      </c>
      <c r="R92" s="785">
        <f>IFERROR(VLOOKUP($Q92,'391'!$S:$Z,8,0),0)</f>
        <v>287116</v>
      </c>
      <c r="S92" s="796"/>
      <c r="T92" s="797"/>
      <c r="U92" s="797"/>
      <c r="V92" s="797"/>
      <c r="W92" s="785">
        <f>IFERROR(VLOOKUP($Q92,'391'!$S:$AG,15,0),0)</f>
        <v>243343</v>
      </c>
      <c r="X92" s="799">
        <f t="shared" si="15"/>
        <v>-228956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71" t="str">
        <f>IF(L97=0,"",MAX($A$16:A92)+1)</f>
        <v/>
      </c>
      <c r="B93" s="2051" t="s">
        <v>1439</v>
      </c>
      <c r="C93" s="107" t="s">
        <v>1510</v>
      </c>
      <c r="D93" s="850" t="s">
        <v>10</v>
      </c>
      <c r="E93" s="851">
        <v>45643</v>
      </c>
      <c r="F93" s="41">
        <f>$L$7-E93</f>
        <v>633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86"/>
      <c r="B94" s="2073"/>
      <c r="C94" s="107"/>
      <c r="D94" s="850" t="s">
        <v>10</v>
      </c>
      <c r="E94" s="851">
        <v>43544</v>
      </c>
      <c r="F94" s="41">
        <f>$L$7-E94</f>
        <v>2732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86"/>
      <c r="B95" s="2073"/>
      <c r="C95" s="107"/>
      <c r="D95" s="850" t="s">
        <v>10</v>
      </c>
      <c r="E95" s="851">
        <v>43056</v>
      </c>
      <c r="F95" s="41">
        <f>$L$7-E95</f>
        <v>3220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072"/>
      <c r="B96" s="2052"/>
      <c r="C96" s="108" t="s">
        <v>1320</v>
      </c>
      <c r="D96" s="863" t="s">
        <v>10</v>
      </c>
      <c r="E96" s="851">
        <v>45643</v>
      </c>
      <c r="F96" s="38">
        <f>$L$7-E96</f>
        <v>633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27" t="s">
        <v>1446</v>
      </c>
      <c r="B97" s="2028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1439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71">
        <f>IF(L111=0,"",MAX($A$16:A96)+1)</f>
        <v>3</v>
      </c>
      <c r="B98" s="2051" t="s">
        <v>1294</v>
      </c>
      <c r="C98" s="109"/>
      <c r="D98" s="852" t="s">
        <v>10</v>
      </c>
      <c r="E98" s="853">
        <v>44060</v>
      </c>
      <c r="F98" s="73">
        <f>$L$7-E98</f>
        <v>2216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86"/>
      <c r="B99" s="2073"/>
      <c r="C99" s="109"/>
      <c r="D99" s="852" t="s">
        <v>10</v>
      </c>
      <c r="E99" s="853">
        <v>45049</v>
      </c>
      <c r="F99" s="73">
        <f>$L$7-E99</f>
        <v>1227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86"/>
      <c r="B100" s="2073"/>
      <c r="C100" s="109"/>
      <c r="D100" s="852" t="s">
        <v>10</v>
      </c>
      <c r="E100" s="853">
        <v>44042</v>
      </c>
      <c r="F100" s="73">
        <f>$L$7-E100</f>
        <v>2234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86"/>
      <c r="B101" s="2073"/>
      <c r="C101" s="109" t="s">
        <v>1293</v>
      </c>
      <c r="D101" s="863" t="s">
        <v>10</v>
      </c>
      <c r="E101" s="853">
        <v>45049</v>
      </c>
      <c r="F101" s="73">
        <f>$L$7-E101</f>
        <v>1227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86"/>
      <c r="B102" s="2052"/>
      <c r="C102" s="2141" t="s">
        <v>1296</v>
      </c>
      <c r="D102" s="2138"/>
      <c r="E102" s="2138"/>
      <c r="F102" s="2138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86"/>
      <c r="B103" s="2099" t="s">
        <v>1383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86"/>
      <c r="B104" s="2099"/>
      <c r="C104" s="109" t="s">
        <v>850</v>
      </c>
      <c r="D104" s="852" t="s">
        <v>10</v>
      </c>
      <c r="E104" s="853"/>
      <c r="F104" s="73">
        <f t="shared" ref="F104:F109" si="39">$L$7-E104</f>
        <v>46276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86"/>
      <c r="B105" s="2099"/>
      <c r="C105" s="109" t="s">
        <v>1424</v>
      </c>
      <c r="D105" s="852" t="s">
        <v>10</v>
      </c>
      <c r="E105" s="853">
        <v>45974</v>
      </c>
      <c r="F105" s="73">
        <f t="shared" si="39"/>
        <v>302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1379</v>
      </c>
      <c r="R105" s="785">
        <f>IFERROR(VLOOKUP($Q105,'391'!$P:$W,8,0),0)</f>
        <v>433874</v>
      </c>
      <c r="U105" s="787"/>
      <c r="V105" s="787"/>
      <c r="W105" s="802">
        <f>IFERROR(VLOOKUP($Q105,'391'!$P:$AG,15,0),0)</f>
        <v>504830</v>
      </c>
      <c r="X105" s="799">
        <f t="shared" si="15"/>
        <v>-504830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86"/>
      <c r="B106" s="2099"/>
      <c r="C106" s="109" t="s">
        <v>1599</v>
      </c>
      <c r="D106" s="852" t="s">
        <v>10</v>
      </c>
      <c r="E106" s="853">
        <v>45974</v>
      </c>
      <c r="F106" s="73">
        <f t="shared" si="39"/>
        <v>302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86"/>
      <c r="B107" s="2099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86"/>
      <c r="B108" s="2099"/>
      <c r="C108" s="109">
        <v>204</v>
      </c>
      <c r="D108" s="852" t="s">
        <v>10</v>
      </c>
      <c r="E108" s="853">
        <v>46263</v>
      </c>
      <c r="F108" s="73">
        <f t="shared" si="39"/>
        <v>13</v>
      </c>
      <c r="G108" s="36">
        <v>492481</v>
      </c>
      <c r="H108" s="1258">
        <v>65260</v>
      </c>
      <c r="I108" s="36"/>
      <c r="J108" s="1294"/>
      <c r="K108" s="1258">
        <v>82000</v>
      </c>
      <c r="L108" s="531">
        <f t="shared" si="37"/>
        <v>475741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492481</v>
      </c>
      <c r="Y108" s="787"/>
      <c r="Z108" s="791"/>
      <c r="AA108" s="787"/>
      <c r="AB108" s="787"/>
      <c r="AC108" s="679"/>
    </row>
    <row r="109" spans="1:45" ht="30" customHeight="1" x14ac:dyDescent="0.25">
      <c r="A109" s="2086"/>
      <c r="B109" s="2099"/>
      <c r="C109" s="109" t="s">
        <v>1604</v>
      </c>
      <c r="D109" s="863" t="s">
        <v>10</v>
      </c>
      <c r="E109" s="853">
        <v>46263</v>
      </c>
      <c r="F109" s="73">
        <f t="shared" si="39"/>
        <v>13</v>
      </c>
      <c r="G109" s="28">
        <v>30088</v>
      </c>
      <c r="H109" s="28"/>
      <c r="I109" s="28">
        <f>+SUM(K103:K108)-I107-I108-I105-I106</f>
        <v>82000</v>
      </c>
      <c r="J109" s="1295">
        <f>usage!I12</f>
        <v>83012</v>
      </c>
      <c r="K109" s="28"/>
      <c r="L109" s="531">
        <f t="shared" si="37"/>
        <v>29076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30088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072"/>
      <c r="B110" s="2099"/>
      <c r="C110" s="2141" t="s">
        <v>230</v>
      </c>
      <c r="D110" s="2138"/>
      <c r="E110" s="2138"/>
      <c r="F110" s="2138"/>
      <c r="G110" s="1301">
        <v>522569</v>
      </c>
      <c r="H110" s="1301">
        <f t="shared" ref="H110:K110" si="40">SUM(H103:H109)</f>
        <v>65260</v>
      </c>
      <c r="I110" s="1301">
        <f t="shared" si="40"/>
        <v>82000</v>
      </c>
      <c r="J110" s="1301">
        <f t="shared" si="40"/>
        <v>83012</v>
      </c>
      <c r="K110" s="1301">
        <f t="shared" si="40"/>
        <v>82000</v>
      </c>
      <c r="L110" s="531">
        <f t="shared" si="37"/>
        <v>504817</v>
      </c>
      <c r="M110" s="168">
        <f>+M111-M102</f>
        <v>96416.444444444438</v>
      </c>
      <c r="N110" s="868">
        <f>IFERROR((L110/M110),0)</f>
        <v>5.2357977200754142</v>
      </c>
      <c r="O110" s="168">
        <f>O111-O102</f>
        <v>83244</v>
      </c>
      <c r="P110" s="868">
        <f>IFERROR(L110/O110,0)</f>
        <v>6.0643049348902025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522569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27" t="s">
        <v>103</v>
      </c>
      <c r="B111" s="2028"/>
      <c r="C111" s="88"/>
      <c r="D111" s="864"/>
      <c r="E111" s="864"/>
      <c r="F111" s="865"/>
      <c r="G111" s="1296">
        <v>522569</v>
      </c>
      <c r="H111" s="1296">
        <f t="shared" ref="H111:K111" si="41">+H110+H102</f>
        <v>65260</v>
      </c>
      <c r="I111" s="1296">
        <f t="shared" si="41"/>
        <v>82000</v>
      </c>
      <c r="J111" s="1296">
        <f t="shared" si="41"/>
        <v>83012</v>
      </c>
      <c r="K111" s="1296">
        <f t="shared" si="41"/>
        <v>82000</v>
      </c>
      <c r="L111" s="1296">
        <f>SUM(L107:L109)</f>
        <v>504817</v>
      </c>
      <c r="M111" s="59">
        <f>IFERROR(S111/$S$2,"")</f>
        <v>96416.444444444438</v>
      </c>
      <c r="N111" s="1185">
        <f>+(L111/M111)</f>
        <v>5.2357977200754142</v>
      </c>
      <c r="O111" s="59">
        <f>IFERROR(SUMIF(ETM!$A:$A,$Q111,ETM!$E:$E),"")+O102</f>
        <v>83244</v>
      </c>
      <c r="P111" s="1186">
        <f>+(L111/O111)</f>
        <v>6.0643049348902025</v>
      </c>
      <c r="Q111" s="795" t="s">
        <v>234</v>
      </c>
      <c r="R111" s="785">
        <f>IFERROR(VLOOKUP($Q111,'391'!$P:$W,8,0),0)</f>
        <v>0</v>
      </c>
      <c r="S111" s="800">
        <f>+R111+R109+R105</f>
        <v>433874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17739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05">
        <f>IF(L119=0,"",MAX($A$16:A111)+1)</f>
        <v>4</v>
      </c>
      <c r="B112" s="2051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218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06"/>
      <c r="B113" s="2073"/>
      <c r="C113" s="106" t="s">
        <v>1599</v>
      </c>
      <c r="D113" s="33" t="s">
        <v>10</v>
      </c>
      <c r="E113" s="853">
        <v>46128</v>
      </c>
      <c r="F113" s="42">
        <f t="shared" si="42"/>
        <v>148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06"/>
      <c r="B114" s="2073"/>
      <c r="C114" s="106" t="s">
        <v>1420</v>
      </c>
      <c r="D114" s="33" t="s">
        <v>10</v>
      </c>
      <c r="E114" s="851">
        <v>46249</v>
      </c>
      <c r="F114" s="41">
        <f t="shared" si="42"/>
        <v>27</v>
      </c>
      <c r="G114" s="30">
        <v>144510</v>
      </c>
      <c r="H114" s="308">
        <v>31450</v>
      </c>
      <c r="I114" s="308"/>
      <c r="J114" s="1302"/>
      <c r="K114" s="308">
        <v>12000</v>
      </c>
      <c r="L114" s="531">
        <f t="shared" si="43"/>
        <v>163960</v>
      </c>
      <c r="M114" s="45"/>
      <c r="O114" s="45"/>
      <c r="P114" s="1931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144510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06"/>
      <c r="B115" s="2073"/>
      <c r="C115" s="106"/>
      <c r="D115" s="33" t="s">
        <v>10</v>
      </c>
      <c r="E115" s="34">
        <v>46168</v>
      </c>
      <c r="F115" s="54">
        <f t="shared" si="42"/>
        <v>108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06"/>
      <c r="B116" s="2073"/>
      <c r="C116" s="109"/>
      <c r="D116" s="850" t="s">
        <v>10</v>
      </c>
      <c r="E116" s="851">
        <v>45154</v>
      </c>
      <c r="F116" s="73">
        <f t="shared" si="42"/>
        <v>1122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06"/>
      <c r="B117" s="2073"/>
      <c r="C117" s="109"/>
      <c r="D117" s="850" t="s">
        <v>10</v>
      </c>
      <c r="E117" s="851">
        <v>45122</v>
      </c>
      <c r="F117" s="73">
        <f t="shared" si="42"/>
        <v>1154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06"/>
      <c r="B118" s="2073"/>
      <c r="C118" s="109" t="s">
        <v>1817</v>
      </c>
      <c r="D118" s="850" t="s">
        <v>10</v>
      </c>
      <c r="E118" s="851">
        <v>46249</v>
      </c>
      <c r="F118" s="41">
        <f t="shared" si="42"/>
        <v>27</v>
      </c>
      <c r="G118" s="55">
        <v>19665</v>
      </c>
      <c r="H118" s="36"/>
      <c r="I118" s="36">
        <f>K116+K117+K112+K113+K115+K114</f>
        <v>12000</v>
      </c>
      <c r="J118" s="1294">
        <f>+usage!I14</f>
        <v>14743</v>
      </c>
      <c r="K118" s="36"/>
      <c r="L118" s="531">
        <f t="shared" si="43"/>
        <v>16922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19665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27" t="s">
        <v>104</v>
      </c>
      <c r="B119" s="2028"/>
      <c r="C119" s="88"/>
      <c r="D119" s="864"/>
      <c r="E119" s="864"/>
      <c r="F119" s="865"/>
      <c r="G119" s="1296">
        <v>164175</v>
      </c>
      <c r="H119" s="1296">
        <f t="shared" ref="H119:L119" si="45">+SUM(H112:H118)</f>
        <v>31450</v>
      </c>
      <c r="I119" s="1296">
        <f t="shared" si="45"/>
        <v>12000</v>
      </c>
      <c r="J119" s="1296">
        <f t="shared" si="45"/>
        <v>14743</v>
      </c>
      <c r="K119" s="1296">
        <f t="shared" si="45"/>
        <v>12000</v>
      </c>
      <c r="L119" s="1296">
        <f t="shared" si="45"/>
        <v>180882</v>
      </c>
      <c r="M119" s="59">
        <f>IFERROR((R119/$S$2),"")</f>
        <v>18653.111111111109</v>
      </c>
      <c r="N119" s="1187">
        <f>IFERROR(L119/M119,0)</f>
        <v>9.6971491201944282</v>
      </c>
      <c r="O119" s="59">
        <f>IFERROR(SUMIF(ETM!$A:$A,$Q119,ETM!$E:$E),"")</f>
        <v>20394.333333333332</v>
      </c>
      <c r="P119" s="1188">
        <f>IFERROR(L119/O119,0)</f>
        <v>8.8692283804324727</v>
      </c>
      <c r="Q119" s="795" t="s">
        <v>815</v>
      </c>
      <c r="R119" s="785">
        <f>IFERROR(VLOOKUP($Q119,'391'!$P:$W,8,0),"")</f>
        <v>83939</v>
      </c>
      <c r="S119" s="807"/>
      <c r="T119" s="797"/>
      <c r="U119" s="797"/>
      <c r="V119" s="797"/>
      <c r="W119" s="802">
        <f>IFERROR(VLOOKUP($Q119,'391'!$P:$AG,15,0),0)</f>
        <v>133934</v>
      </c>
      <c r="X119" s="799">
        <f t="shared" si="44"/>
        <v>30241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71" t="str">
        <f>IF(L124=0,"",MAX($A$16:A119)+1)</f>
        <v/>
      </c>
      <c r="B120" s="2107" t="s">
        <v>1174</v>
      </c>
      <c r="C120" s="109"/>
      <c r="D120" s="850" t="s">
        <v>10</v>
      </c>
      <c r="E120" s="851">
        <v>44891</v>
      </c>
      <c r="F120" s="73">
        <f>$L$7-E120</f>
        <v>1385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86"/>
      <c r="B121" s="2108"/>
      <c r="C121" s="109"/>
      <c r="D121" s="850" t="s">
        <v>10</v>
      </c>
      <c r="E121" s="851">
        <v>44686</v>
      </c>
      <c r="F121" s="73">
        <f>$L$7-E121</f>
        <v>1590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86"/>
      <c r="B122" s="2108"/>
      <c r="C122" s="109" t="s">
        <v>1227</v>
      </c>
      <c r="D122" s="850" t="s">
        <v>10</v>
      </c>
      <c r="E122" s="851">
        <v>44891</v>
      </c>
      <c r="F122" s="73">
        <f>$L$7-E122</f>
        <v>1385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072"/>
      <c r="B123" s="2108"/>
      <c r="C123" s="109"/>
      <c r="D123" s="850" t="s">
        <v>10</v>
      </c>
      <c r="E123" s="851">
        <v>44208</v>
      </c>
      <c r="F123" s="41">
        <f>$L$7-E123</f>
        <v>2068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27" t="s">
        <v>621</v>
      </c>
      <c r="B124" s="2028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71">
        <f>IF(L135=0,"",MAX($A$16:A124)+1)</f>
        <v>5</v>
      </c>
      <c r="B125" s="2073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2011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86"/>
      <c r="B126" s="2073"/>
      <c r="C126" s="158" t="s">
        <v>613</v>
      </c>
      <c r="D126" s="866" t="s">
        <v>10</v>
      </c>
      <c r="E126" s="867">
        <v>44265</v>
      </c>
      <c r="F126" s="358">
        <f t="shared" si="47"/>
        <v>2011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86"/>
      <c r="B127" s="2073"/>
      <c r="C127" s="158" t="s">
        <v>491</v>
      </c>
      <c r="D127" s="866" t="s">
        <v>10</v>
      </c>
      <c r="E127" s="867">
        <v>43998</v>
      </c>
      <c r="F127" s="358">
        <f t="shared" si="47"/>
        <v>2278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86"/>
      <c r="B128" s="2073"/>
      <c r="C128" s="158" t="s">
        <v>506</v>
      </c>
      <c r="D128" s="866" t="s">
        <v>10</v>
      </c>
      <c r="E128" s="867">
        <v>43847</v>
      </c>
      <c r="F128" s="358">
        <f t="shared" si="47"/>
        <v>2429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86"/>
      <c r="B129" s="2073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130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86"/>
      <c r="B130" s="2073"/>
      <c r="C130" s="109"/>
      <c r="D130" s="852" t="s">
        <v>10</v>
      </c>
      <c r="E130" s="853">
        <v>46213</v>
      </c>
      <c r="F130" s="877">
        <f t="shared" si="47"/>
        <v>63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86"/>
      <c r="B131" s="2077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17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86"/>
      <c r="B132" s="2077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3</v>
      </c>
      <c r="G132" s="36">
        <v>46470</v>
      </c>
      <c r="H132" s="36"/>
      <c r="I132" s="1282"/>
      <c r="J132" s="1282"/>
      <c r="K132" s="1282">
        <v>5000</v>
      </c>
      <c r="L132" s="531">
        <f t="shared" si="43"/>
        <v>41470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86"/>
      <c r="B133" s="2077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142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86"/>
      <c r="B134" s="2052"/>
      <c r="C134" s="109" t="s">
        <v>600</v>
      </c>
      <c r="D134" s="850" t="s">
        <v>10</v>
      </c>
      <c r="E134" s="851">
        <v>46273</v>
      </c>
      <c r="F134" s="73">
        <f>$L$7-E134</f>
        <v>3</v>
      </c>
      <c r="G134" s="36">
        <v>261</v>
      </c>
      <c r="H134" s="36"/>
      <c r="I134" s="28">
        <f>SUM(K129:K132)</f>
        <v>5000</v>
      </c>
      <c r="J134" s="36">
        <f>+usage!I15</f>
        <v>2158</v>
      </c>
      <c r="K134" s="36"/>
      <c r="L134" s="531">
        <f t="shared" si="43"/>
        <v>3103</v>
      </c>
      <c r="M134" s="35"/>
      <c r="N134" s="87"/>
      <c r="O134" s="35"/>
      <c r="P134" s="740"/>
      <c r="Q134" s="666" t="s">
        <v>1437</v>
      </c>
      <c r="R134" s="785">
        <f>IFERROR(VLOOKUP($Q134,'391'!$P:$W,8,0),"0")</f>
        <v>10885</v>
      </c>
      <c r="S134" s="796"/>
      <c r="T134" s="797"/>
      <c r="U134" s="797"/>
      <c r="V134" s="797"/>
      <c r="W134" s="802">
        <f>IFERROR(VLOOKUP($Q134,'391'!$P:$AG,15,0),0)</f>
        <v>61770</v>
      </c>
      <c r="X134" s="799">
        <f>G134-W134</f>
        <v>-61509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27" t="s">
        <v>1438</v>
      </c>
      <c r="B135" s="2028"/>
      <c r="C135" s="88"/>
      <c r="D135" s="864"/>
      <c r="E135" s="864"/>
      <c r="F135" s="865"/>
      <c r="G135" s="1296">
        <v>46731</v>
      </c>
      <c r="H135" s="1296">
        <f>SUM(H125:H134)</f>
        <v>0</v>
      </c>
      <c r="I135" s="1296">
        <f>SUM(I125:I134)</f>
        <v>5000</v>
      </c>
      <c r="J135" s="1296">
        <f>SUM(J125:J134)</f>
        <v>2158</v>
      </c>
      <c r="K135" s="1296">
        <f>SUM(K125:K134)</f>
        <v>5000</v>
      </c>
      <c r="L135" s="1296">
        <f>SUM(L125:L134)</f>
        <v>44573</v>
      </c>
      <c r="M135" s="59">
        <f>IFERROR((S135/$S$2),"")</f>
        <v>2418.8888888888887</v>
      </c>
      <c r="N135" s="854">
        <f>(L135/M135)</f>
        <v>18.427055581074875</v>
      </c>
      <c r="O135" s="59">
        <f>IFERROR(SUMIF(ETM!$A:$A,$Q135,ETM!$E:$E),"")</f>
        <v>2298</v>
      </c>
      <c r="P135" s="880">
        <f>(L135/O135)</f>
        <v>19.396431679721498</v>
      </c>
      <c r="Q135" s="795" t="s">
        <v>818</v>
      </c>
      <c r="R135" s="785" t="str">
        <f>IFERROR(VLOOKUP($Q135,'391'!$P:$W,8,0),"0")</f>
        <v>0</v>
      </c>
      <c r="S135" s="796">
        <f>+R134+R135</f>
        <v>10885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-15039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81" t="str">
        <f>IF(L139=0,"",MAX($A$12:A135)+1)</f>
        <v/>
      </c>
      <c r="B136" s="2051" t="s">
        <v>480</v>
      </c>
      <c r="C136" s="106"/>
      <c r="D136" s="852" t="s">
        <v>10</v>
      </c>
      <c r="E136" s="853">
        <v>44670</v>
      </c>
      <c r="F136" s="877">
        <f>$L$7-E136</f>
        <v>1606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8"/>
      <c r="B137" s="2073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082"/>
      <c r="B138" s="2073"/>
      <c r="C138" s="106" t="s">
        <v>924</v>
      </c>
      <c r="D138" s="852" t="s">
        <v>10</v>
      </c>
      <c r="E138" s="853">
        <v>44670</v>
      </c>
      <c r="F138" s="856">
        <f>$L$7-E138</f>
        <v>1606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27" t="s">
        <v>482</v>
      </c>
      <c r="B139" s="2028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86">
        <f>IF(L161=0,"", MAX($A$12:A139)+1)</f>
        <v>6</v>
      </c>
      <c r="B140" s="2099" t="s">
        <v>1678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187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86"/>
      <c r="B141" s="2099"/>
      <c r="C141" s="106" t="s">
        <v>444</v>
      </c>
      <c r="D141" s="852" t="s">
        <v>10</v>
      </c>
      <c r="E141" s="853">
        <v>45705</v>
      </c>
      <c r="F141" s="292">
        <f t="shared" si="56"/>
        <v>571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86"/>
      <c r="B142" s="2099"/>
      <c r="C142" s="106" t="s">
        <v>479</v>
      </c>
      <c r="D142" s="852" t="s">
        <v>10</v>
      </c>
      <c r="E142" s="853">
        <v>46255</v>
      </c>
      <c r="F142" s="292">
        <f t="shared" si="56"/>
        <v>21</v>
      </c>
      <c r="G142" s="315">
        <v>0</v>
      </c>
      <c r="H142" s="315"/>
      <c r="I142" s="315"/>
      <c r="J142" s="1298"/>
      <c r="K142" s="296"/>
      <c r="L142" s="531">
        <f t="shared" si="53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86"/>
      <c r="B143" s="2137"/>
      <c r="C143" s="106" t="s">
        <v>478</v>
      </c>
      <c r="D143" s="852" t="s">
        <v>10</v>
      </c>
      <c r="E143" s="853">
        <v>46256</v>
      </c>
      <c r="F143" s="292">
        <f t="shared" si="56"/>
        <v>20</v>
      </c>
      <c r="G143" s="315">
        <v>0</v>
      </c>
      <c r="H143" s="315"/>
      <c r="I143" s="315"/>
      <c r="J143" s="1310"/>
      <c r="K143" s="315"/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86"/>
      <c r="B144" s="2137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21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86"/>
      <c r="B145" s="2137"/>
      <c r="C145" s="106" t="s">
        <v>476</v>
      </c>
      <c r="D145" s="852" t="s">
        <v>10</v>
      </c>
      <c r="E145" s="853">
        <v>46256</v>
      </c>
      <c r="F145" s="292">
        <f t="shared" si="57"/>
        <v>20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86"/>
      <c r="B146" s="2137"/>
      <c r="C146" s="106" t="s">
        <v>959</v>
      </c>
      <c r="D146" s="852" t="s">
        <v>10</v>
      </c>
      <c r="E146" s="853">
        <v>46228</v>
      </c>
      <c r="F146" s="292">
        <f t="shared" si="56"/>
        <v>48</v>
      </c>
      <c r="G146" s="315">
        <v>1548130</v>
      </c>
      <c r="H146" s="315"/>
      <c r="I146" s="315"/>
      <c r="J146" s="1310"/>
      <c r="K146" s="315"/>
      <c r="L146" s="531">
        <f t="shared" si="53"/>
        <v>1548130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1548130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customHeight="1" x14ac:dyDescent="0.25">
      <c r="A147" s="2086"/>
      <c r="B147" s="2137"/>
      <c r="C147" s="106" t="s">
        <v>489</v>
      </c>
      <c r="D147" s="852" t="s">
        <v>10</v>
      </c>
      <c r="E147" s="853">
        <v>46253</v>
      </c>
      <c r="F147" s="292">
        <f t="shared" si="56"/>
        <v>23</v>
      </c>
      <c r="G147" s="315">
        <v>93030</v>
      </c>
      <c r="H147" s="296"/>
      <c r="I147" s="296"/>
      <c r="J147" s="1310"/>
      <c r="K147" s="315">
        <v>60000</v>
      </c>
      <c r="L147" s="531">
        <f t="shared" si="53"/>
        <v>33030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93030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86"/>
      <c r="B148" s="2099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182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86"/>
      <c r="B149" s="2100"/>
      <c r="C149" s="106" t="s">
        <v>478</v>
      </c>
      <c r="D149" s="852" t="s">
        <v>10</v>
      </c>
      <c r="E149" s="853">
        <v>46147</v>
      </c>
      <c r="F149" s="292">
        <f t="shared" si="58"/>
        <v>129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86"/>
      <c r="B150" s="2100"/>
      <c r="C150" s="106" t="s">
        <v>466</v>
      </c>
      <c r="D150" s="852" t="s">
        <v>10</v>
      </c>
      <c r="E150" s="853">
        <v>46147</v>
      </c>
      <c r="F150" s="292">
        <f t="shared" si="58"/>
        <v>129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86"/>
      <c r="B151" s="2137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187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86"/>
      <c r="B152" s="2100"/>
      <c r="C152" s="106" t="s">
        <v>475</v>
      </c>
      <c r="D152" s="852" t="s">
        <v>10</v>
      </c>
      <c r="E152" s="853">
        <v>46155</v>
      </c>
      <c r="F152" s="292">
        <f t="shared" si="59"/>
        <v>121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86"/>
      <c r="B153" s="2099"/>
      <c r="C153" s="849" t="s">
        <v>2250</v>
      </c>
      <c r="D153" s="884" t="s">
        <v>10</v>
      </c>
      <c r="E153" s="885">
        <v>46253</v>
      </c>
      <c r="F153" s="292">
        <f t="shared" si="56"/>
        <v>23</v>
      </c>
      <c r="G153" s="313">
        <v>3039</v>
      </c>
      <c r="H153" s="308"/>
      <c r="I153" s="308">
        <f>+K147+K146</f>
        <v>60000</v>
      </c>
      <c r="J153" s="1302">
        <f>usage!I16</f>
        <v>54193</v>
      </c>
      <c r="K153" s="308"/>
      <c r="L153" s="531">
        <f t="shared" si="53"/>
        <v>8846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3039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86"/>
      <c r="B154" s="2101"/>
      <c r="C154" s="2138" t="s">
        <v>907</v>
      </c>
      <c r="D154" s="2138"/>
      <c r="E154" s="2138"/>
      <c r="F154" s="2138"/>
      <c r="G154" s="1301">
        <v>1644199</v>
      </c>
      <c r="H154" s="1301">
        <f t="shared" ref="H154:L154" si="60">+SUM(H140:H153)</f>
        <v>0</v>
      </c>
      <c r="I154" s="1301">
        <f t="shared" si="60"/>
        <v>60000</v>
      </c>
      <c r="J154" s="1301">
        <f t="shared" si="60"/>
        <v>54193</v>
      </c>
      <c r="K154" s="1301">
        <f t="shared" si="60"/>
        <v>60000</v>
      </c>
      <c r="L154" s="1301">
        <f t="shared" si="60"/>
        <v>1590006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1644199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86"/>
      <c r="B155" s="2073" t="s">
        <v>887</v>
      </c>
      <c r="C155" s="106"/>
      <c r="D155" s="852" t="s">
        <v>10</v>
      </c>
      <c r="E155" s="853">
        <v>43774</v>
      </c>
      <c r="F155" s="292">
        <f>$L$7-E155</f>
        <v>2502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86"/>
      <c r="B156" s="2073"/>
      <c r="C156" s="106" t="s">
        <v>53</v>
      </c>
      <c r="D156" s="852" t="s">
        <v>10</v>
      </c>
      <c r="E156" s="853">
        <v>44158</v>
      </c>
      <c r="F156" s="292">
        <f>$L$7-E156</f>
        <v>2118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86"/>
      <c r="B157" s="2128"/>
      <c r="C157" s="106" t="s">
        <v>920</v>
      </c>
      <c r="D157" s="852" t="s">
        <v>10</v>
      </c>
      <c r="E157" s="853">
        <v>44303</v>
      </c>
      <c r="F157" s="292">
        <f>$L$7-E157</f>
        <v>1973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86"/>
      <c r="B158" s="2073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86"/>
      <c r="B159" s="2073"/>
      <c r="C159" s="849" t="s">
        <v>927</v>
      </c>
      <c r="D159" s="884" t="s">
        <v>10</v>
      </c>
      <c r="E159" s="885">
        <v>44158</v>
      </c>
      <c r="F159" s="292">
        <f>$L$7-E159</f>
        <v>2118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072"/>
      <c r="B160" s="2052"/>
      <c r="C160" s="2138" t="s">
        <v>908</v>
      </c>
      <c r="D160" s="2138"/>
      <c r="E160" s="2138"/>
      <c r="F160" s="2138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27" t="s">
        <v>1128</v>
      </c>
      <c r="B161" s="2028"/>
      <c r="C161" s="88"/>
      <c r="D161" s="864"/>
      <c r="E161" s="864"/>
      <c r="F161" s="865"/>
      <c r="G161" s="1296">
        <v>1644199</v>
      </c>
      <c r="H161" s="1296">
        <f>+H160+H154</f>
        <v>0</v>
      </c>
      <c r="I161" s="1296">
        <f>+I160+I154</f>
        <v>60000</v>
      </c>
      <c r="J161" s="1296">
        <f>+J160+J154</f>
        <v>54193</v>
      </c>
      <c r="K161" s="1296">
        <f>+K160+K154</f>
        <v>60000</v>
      </c>
      <c r="L161" s="1296">
        <f>+L160+L154</f>
        <v>1590006</v>
      </c>
      <c r="M161" s="59">
        <f>IFERROR((R161/$S$2),"")</f>
        <v>65658.222222222219</v>
      </c>
      <c r="N161" s="366">
        <f>(L161/M161)</f>
        <v>24.216403463051087</v>
      </c>
      <c r="O161" s="59">
        <f>IFERROR(SUMIF(ETM!$A:$A,$Q161,ETM!$E:$E),"")</f>
        <v>50038.166666666664</v>
      </c>
      <c r="P161" s="880">
        <f>(L161/O161)</f>
        <v>31.77586442349007</v>
      </c>
      <c r="Q161" s="809" t="s">
        <v>808</v>
      </c>
      <c r="R161" s="785">
        <f>IFERROR(VLOOKUP($Q161,'391'!$P:$W,8,0),"")</f>
        <v>295462</v>
      </c>
      <c r="S161" s="796"/>
      <c r="T161" s="797"/>
      <c r="U161" s="797"/>
      <c r="V161" s="797"/>
      <c r="W161" s="802">
        <f>IFERROR(VLOOKUP($Q161,'391'!$P:$AG,15,0),0)</f>
        <v>1916653</v>
      </c>
      <c r="X161" s="799">
        <f t="shared" si="54"/>
        <v>-272454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81">
        <f>IF(L168=0,"", MAX($A$16:A161)+1)</f>
        <v>7</v>
      </c>
      <c r="B162" s="2051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389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8"/>
      <c r="B163" s="2073"/>
      <c r="C163" s="106"/>
      <c r="D163" s="852" t="s">
        <v>10</v>
      </c>
      <c r="E163" s="853">
        <v>45878</v>
      </c>
      <c r="F163" s="856">
        <f t="shared" si="61"/>
        <v>398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8"/>
      <c r="B164" s="2077"/>
      <c r="C164" s="106" t="s">
        <v>1486</v>
      </c>
      <c r="D164" s="852" t="s">
        <v>10</v>
      </c>
      <c r="E164" s="853">
        <v>46211</v>
      </c>
      <c r="F164" s="856">
        <f t="shared" si="61"/>
        <v>65</v>
      </c>
      <c r="G164" s="296">
        <v>145800</v>
      </c>
      <c r="H164" s="296">
        <v>50090</v>
      </c>
      <c r="I164" s="296"/>
      <c r="J164" s="1298"/>
      <c r="K164" s="296">
        <v>6000</v>
      </c>
      <c r="L164" s="531">
        <f>+G164+H164+I164-J164-K164</f>
        <v>189890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145800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8"/>
      <c r="B165" s="2077"/>
      <c r="C165" s="106"/>
      <c r="D165" s="852" t="s">
        <v>10</v>
      </c>
      <c r="E165" s="853">
        <v>45975</v>
      </c>
      <c r="F165" s="856">
        <f t="shared" si="61"/>
        <v>301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4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8"/>
      <c r="B166" s="2073"/>
      <c r="C166" s="106" t="s">
        <v>492</v>
      </c>
      <c r="D166" s="852" t="s">
        <v>10</v>
      </c>
      <c r="E166" s="853">
        <v>45988</v>
      </c>
      <c r="F166" s="856">
        <f t="shared" si="61"/>
        <v>288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3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8"/>
      <c r="B167" s="2073"/>
      <c r="C167" s="106" t="s">
        <v>1840</v>
      </c>
      <c r="D167" s="852" t="s">
        <v>10</v>
      </c>
      <c r="E167" s="853">
        <v>46211</v>
      </c>
      <c r="F167" s="856">
        <f t="shared" si="61"/>
        <v>65</v>
      </c>
      <c r="G167" s="296">
        <v>1926</v>
      </c>
      <c r="H167" s="296"/>
      <c r="I167" s="296">
        <f>SUM(K162:K166)-I163</f>
        <v>6000</v>
      </c>
      <c r="J167" s="1298">
        <f>+usage!I17</f>
        <v>6527</v>
      </c>
      <c r="K167" s="36"/>
      <c r="L167" s="531">
        <f t="shared" si="62"/>
        <v>1399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1926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27" t="s">
        <v>289</v>
      </c>
      <c r="B168" s="2028"/>
      <c r="C168" s="88"/>
      <c r="D168" s="864"/>
      <c r="E168" s="864"/>
      <c r="F168" s="865"/>
      <c r="G168" s="1296">
        <v>147726</v>
      </c>
      <c r="H168" s="1296">
        <f t="shared" ref="H168:L168" si="65">+SUM(H162:H167)</f>
        <v>50090</v>
      </c>
      <c r="I168" s="1296">
        <f t="shared" si="65"/>
        <v>6000</v>
      </c>
      <c r="J168" s="1296">
        <f t="shared" si="65"/>
        <v>6527</v>
      </c>
      <c r="K168" s="1296">
        <f t="shared" si="65"/>
        <v>6000</v>
      </c>
      <c r="L168" s="1296">
        <f t="shared" si="65"/>
        <v>191289</v>
      </c>
      <c r="M168" s="59">
        <f>IFERROR((R168/$S$2),"")</f>
        <v>21847.111111111109</v>
      </c>
      <c r="N168" s="1185">
        <f>+(L168/M168)</f>
        <v>8.7558029538611777</v>
      </c>
      <c r="O168" s="59">
        <f>IFERROR(SUMIF(ETM!$A:$A,$Q168,ETM!$E:$E),"")</f>
        <v>18091.833333333332</v>
      </c>
      <c r="P168" s="1186">
        <f>+(L168/O168)</f>
        <v>10.573223646028135</v>
      </c>
      <c r="Q168" s="795" t="s">
        <v>813</v>
      </c>
      <c r="R168" s="785">
        <f>IFERROR(VLOOKUP($Q168,'391'!$P:$W,8,0),"")</f>
        <v>98312</v>
      </c>
      <c r="S168" s="796"/>
      <c r="T168" s="797"/>
      <c r="U168" s="797"/>
      <c r="V168" s="797"/>
      <c r="W168" s="802">
        <f>IFERROR(VLOOKUP($Q168,'391'!$P:$AG,15,0),0)</f>
        <v>132298</v>
      </c>
      <c r="X168" s="799">
        <f t="shared" si="64"/>
        <v>15428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81" t="str">
        <f>IF(L177=0,"", MAX($A$16:A168)+1)</f>
        <v/>
      </c>
      <c r="B169" s="2073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3294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8"/>
      <c r="B170" s="2073"/>
      <c r="C170" s="143" t="s">
        <v>326</v>
      </c>
      <c r="D170" s="881" t="s">
        <v>10</v>
      </c>
      <c r="E170" s="882">
        <v>42987</v>
      </c>
      <c r="F170" s="71">
        <f t="shared" si="66"/>
        <v>3289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8"/>
      <c r="B171" s="2073"/>
      <c r="C171" s="143" t="s">
        <v>326</v>
      </c>
      <c r="D171" s="881" t="s">
        <v>10</v>
      </c>
      <c r="E171" s="882">
        <v>42885</v>
      </c>
      <c r="F171" s="71">
        <f t="shared" si="66"/>
        <v>3391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8"/>
      <c r="B172" s="2073"/>
      <c r="C172" s="132"/>
      <c r="D172" s="850" t="s">
        <v>10</v>
      </c>
      <c r="E172" s="853">
        <v>44991</v>
      </c>
      <c r="F172" s="73">
        <f t="shared" si="66"/>
        <v>1285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8"/>
      <c r="B173" s="2073"/>
      <c r="C173" s="132"/>
      <c r="D173" s="850" t="s">
        <v>10</v>
      </c>
      <c r="E173" s="853">
        <v>44929</v>
      </c>
      <c r="F173" s="73">
        <f t="shared" si="66"/>
        <v>1347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8"/>
      <c r="B174" s="2073"/>
      <c r="C174" s="132"/>
      <c r="D174" s="850" t="s">
        <v>10</v>
      </c>
      <c r="E174" s="853">
        <v>44797</v>
      </c>
      <c r="F174" s="73">
        <f t="shared" si="66"/>
        <v>1479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8"/>
      <c r="B175" s="2073"/>
      <c r="C175" s="132"/>
      <c r="D175" s="850" t="s">
        <v>10</v>
      </c>
      <c r="E175" s="853">
        <v>42919</v>
      </c>
      <c r="F175" s="73">
        <f t="shared" si="66"/>
        <v>3357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082"/>
      <c r="B176" s="2073"/>
      <c r="C176" s="138" t="s">
        <v>1163</v>
      </c>
      <c r="D176" s="863" t="s">
        <v>10</v>
      </c>
      <c r="E176" s="886">
        <v>44991</v>
      </c>
      <c r="F176" s="293">
        <f t="shared" si="66"/>
        <v>1285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27" t="s">
        <v>1155</v>
      </c>
      <c r="B177" s="2028"/>
      <c r="C177" s="2044"/>
      <c r="D177" s="2044"/>
      <c r="E177" s="2044"/>
      <c r="F177" s="2044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71">
        <f>IF(L193=0,"",MAX($A$16:A177)+1)</f>
        <v>8</v>
      </c>
      <c r="B178" s="2098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18</v>
      </c>
      <c r="G178" s="36">
        <v>246401</v>
      </c>
      <c r="H178" s="36"/>
      <c r="I178" s="1316"/>
      <c r="J178" s="1294"/>
      <c r="K178" s="1902"/>
      <c r="L178" s="531">
        <f>+G178+H178+I178-J178-K178</f>
        <v>246401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246401</v>
      </c>
      <c r="Y178" s="787"/>
      <c r="Z178" s="791"/>
      <c r="AA178" s="787"/>
      <c r="AB178" s="787"/>
      <c r="AC178" s="679"/>
    </row>
    <row r="179" spans="1:45" ht="30" customHeight="1" x14ac:dyDescent="0.25">
      <c r="A179" s="2086"/>
      <c r="B179" s="2099"/>
      <c r="C179" s="107" t="s">
        <v>512</v>
      </c>
      <c r="D179" s="850" t="s">
        <v>10</v>
      </c>
      <c r="E179" s="851">
        <v>46221</v>
      </c>
      <c r="F179" s="41">
        <f>$L$7-E179</f>
        <v>55</v>
      </c>
      <c r="G179" s="36">
        <v>244575</v>
      </c>
      <c r="H179" s="36">
        <v>70770</v>
      </c>
      <c r="I179" s="1316"/>
      <c r="J179" s="1294"/>
      <c r="K179" s="1862">
        <v>46000</v>
      </c>
      <c r="L179" s="531">
        <f>+G179+H179+I179-J179-K179</f>
        <v>269345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244575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86"/>
      <c r="B180" s="2099"/>
      <c r="C180" s="107" t="s">
        <v>489</v>
      </c>
      <c r="D180" s="850" t="s">
        <v>10</v>
      </c>
      <c r="E180" s="851">
        <v>46111</v>
      </c>
      <c r="F180" s="41">
        <f>$L$7-E180</f>
        <v>165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86"/>
      <c r="B181" s="2100"/>
      <c r="C181" s="107" t="s">
        <v>850</v>
      </c>
      <c r="D181" s="850" t="s">
        <v>10</v>
      </c>
      <c r="E181" s="851">
        <v>46127</v>
      </c>
      <c r="F181" s="41">
        <f>$L$7-E181</f>
        <v>149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86"/>
      <c r="B182" s="2099"/>
      <c r="C182" s="107"/>
      <c r="D182" s="850" t="s">
        <v>10</v>
      </c>
      <c r="E182" s="851">
        <v>45737</v>
      </c>
      <c r="F182" s="41">
        <f>$L$7-E182</f>
        <v>539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86"/>
      <c r="B183" s="2099"/>
      <c r="C183" s="135" t="s">
        <v>2251</v>
      </c>
      <c r="D183" s="850" t="s">
        <v>10</v>
      </c>
      <c r="E183" s="851">
        <v>46221</v>
      </c>
      <c r="F183" s="41">
        <f t="shared" ref="F183" si="69">$L$7-E183</f>
        <v>55</v>
      </c>
      <c r="G183" s="36">
        <v>4683</v>
      </c>
      <c r="H183" s="1218"/>
      <c r="I183" s="1316">
        <f>+K180+K182+K179+K181+K178</f>
        <v>46000</v>
      </c>
      <c r="J183" s="1294">
        <f>usage!I20+usage!I21</f>
        <v>47053</v>
      </c>
      <c r="K183" s="296"/>
      <c r="L183" s="531">
        <f t="shared" si="67"/>
        <v>3630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4683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86"/>
      <c r="B184" s="2099"/>
      <c r="C184" s="2118" t="s">
        <v>1365</v>
      </c>
      <c r="D184" s="2119"/>
      <c r="E184" s="2119"/>
      <c r="F184" s="2119"/>
      <c r="G184" s="1284">
        <v>495659</v>
      </c>
      <c r="H184" s="1284">
        <f>+SUM(H178:H183)</f>
        <v>70770</v>
      </c>
      <c r="I184" s="1284">
        <f t="shared" ref="I184:L184" si="70">+SUM(I178:I183)</f>
        <v>46000</v>
      </c>
      <c r="J184" s="1284">
        <f t="shared" si="70"/>
        <v>47053</v>
      </c>
      <c r="K184" s="1284">
        <f>+SUM(K178:K183)</f>
        <v>46000</v>
      </c>
      <c r="L184" s="1284">
        <f t="shared" si="70"/>
        <v>519376</v>
      </c>
      <c r="M184" s="168">
        <f>+M193-M188</f>
        <v>53115.333333333336</v>
      </c>
      <c r="N184" s="1285">
        <f>+(L184/M184)</f>
        <v>9.7782686732017119</v>
      </c>
      <c r="O184" s="168">
        <f>IFERROR(SUMIF(ETM!$A:$A,$Q184,ETM!$E:$E),"")</f>
        <v>50501.333333333328</v>
      </c>
      <c r="P184" s="1285">
        <f>+(L184/O184)</f>
        <v>10.284401731967474</v>
      </c>
      <c r="Q184" s="795" t="s">
        <v>806</v>
      </c>
      <c r="R184" s="785">
        <f>IFERROR(VLOOKUP($Q184,'391'!$P:$W,8,0),"")</f>
        <v>239019</v>
      </c>
      <c r="S184" s="786"/>
      <c r="T184" s="787"/>
      <c r="U184" s="787"/>
      <c r="V184" s="787"/>
      <c r="W184" s="802">
        <f>IFERROR(VLOOKUP($Q184,'391'!$P:$AG,15,0),0)</f>
        <v>334640</v>
      </c>
      <c r="X184" s="799">
        <f t="shared" si="64"/>
        <v>161019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86"/>
      <c r="B185" s="2099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86"/>
      <c r="B186" s="2099"/>
      <c r="C186" s="107"/>
      <c r="D186" s="850" t="s">
        <v>10</v>
      </c>
      <c r="E186" s="851">
        <v>45234</v>
      </c>
      <c r="F186" s="41">
        <f>$L$7-E186</f>
        <v>1042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86"/>
      <c r="B187" s="2099"/>
      <c r="C187" s="135"/>
      <c r="D187" s="850" t="s">
        <v>10</v>
      </c>
      <c r="E187" s="851">
        <v>45234</v>
      </c>
      <c r="F187" s="41">
        <f>$L$7-E187</f>
        <v>1042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86"/>
      <c r="B188" s="2099"/>
      <c r="C188" s="2118" t="s">
        <v>1367</v>
      </c>
      <c r="D188" s="2119"/>
      <c r="E188" s="2119"/>
      <c r="F188" s="2119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86"/>
      <c r="B189" s="2099"/>
      <c r="C189" s="122" t="s">
        <v>351</v>
      </c>
      <c r="D189" s="887" t="s">
        <v>10</v>
      </c>
      <c r="E189" s="888">
        <v>43141</v>
      </c>
      <c r="F189" s="41">
        <f>$L$7-E189</f>
        <v>3135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86"/>
      <c r="B190" s="2099"/>
      <c r="C190" s="122" t="s">
        <v>361</v>
      </c>
      <c r="D190" s="887" t="s">
        <v>10</v>
      </c>
      <c r="E190" s="888">
        <v>43141</v>
      </c>
      <c r="F190" s="41">
        <f>$L$7-E190</f>
        <v>3135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86"/>
      <c r="B191" s="2099"/>
      <c r="C191" s="122" t="s">
        <v>257</v>
      </c>
      <c r="D191" s="887" t="s">
        <v>10</v>
      </c>
      <c r="E191" s="888">
        <v>43142</v>
      </c>
      <c r="F191" s="41">
        <f>$L$7-E191</f>
        <v>3134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86"/>
      <c r="B192" s="2099"/>
      <c r="C192" s="135" t="s">
        <v>1321</v>
      </c>
      <c r="D192" s="850" t="s">
        <v>10</v>
      </c>
      <c r="E192" s="851">
        <v>45181</v>
      </c>
      <c r="F192" s="41">
        <f>$L$7-E192</f>
        <v>1095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27" t="s">
        <v>105</v>
      </c>
      <c r="B193" s="2028"/>
      <c r="C193" s="88"/>
      <c r="D193" s="864"/>
      <c r="E193" s="864"/>
      <c r="F193" s="865"/>
      <c r="G193" s="1296">
        <v>495659</v>
      </c>
      <c r="H193" s="1296">
        <f>+H188+H184</f>
        <v>70770</v>
      </c>
      <c r="I193" s="1296">
        <f t="shared" ref="I193:L193" si="73">+I188+I184</f>
        <v>46000</v>
      </c>
      <c r="J193" s="1296">
        <f t="shared" si="73"/>
        <v>47053</v>
      </c>
      <c r="K193" s="1296">
        <f t="shared" si="73"/>
        <v>46000</v>
      </c>
      <c r="L193" s="1296">
        <f t="shared" si="73"/>
        <v>519376</v>
      </c>
      <c r="M193" s="59">
        <f>IFERROR((S193/$S$2),"")</f>
        <v>53115.333333333336</v>
      </c>
      <c r="N193" s="1185">
        <f>+(L193/M193)</f>
        <v>9.7782686732017119</v>
      </c>
      <c r="O193" s="889">
        <f>+O188+O184</f>
        <v>50501.333333333328</v>
      </c>
      <c r="P193" s="1186">
        <f>+(L193/O193)</f>
        <v>10.284401731967474</v>
      </c>
      <c r="Q193" s="795" t="s">
        <v>806</v>
      </c>
      <c r="R193" s="785">
        <f>IFERROR(VLOOKUP($Q193,'391'!$P:$W,8,0),"0")</f>
        <v>239019</v>
      </c>
      <c r="S193" s="796">
        <f>+R192+R193</f>
        <v>239019</v>
      </c>
      <c r="T193" s="797"/>
      <c r="U193" s="797"/>
      <c r="V193" s="797"/>
      <c r="W193" s="802">
        <f>IFERROR(VLOOKUP($Q193,'391'!$P:$AG,15,0),0)</f>
        <v>334640</v>
      </c>
      <c r="X193" s="799">
        <f t="shared" si="64"/>
        <v>161019</v>
      </c>
      <c r="Y193" s="1232">
        <f>+W193+W192</f>
        <v>334640</v>
      </c>
      <c r="Z193" s="1088">
        <f>G193-Y193</f>
        <v>161019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26" t="s">
        <v>7</v>
      </c>
      <c r="B194" s="2127"/>
      <c r="C194" s="847"/>
      <c r="D194" s="869"/>
      <c r="E194" s="870"/>
      <c r="F194" s="1325"/>
      <c r="G194" s="1325">
        <f t="shared" ref="G194:L194" si="74">SUM(G88,G92,G111,G119,G135,G161,G168,G177,G193,G124,G139,G97)</f>
        <v>18436102.859999999</v>
      </c>
      <c r="H194" s="1325">
        <f t="shared" si="74"/>
        <v>217570</v>
      </c>
      <c r="I194" s="1325">
        <f t="shared" si="74"/>
        <v>2282180</v>
      </c>
      <c r="J194" s="1325">
        <f t="shared" si="74"/>
        <v>1305180.75</v>
      </c>
      <c r="K194" s="1325">
        <f t="shared" si="74"/>
        <v>1891000</v>
      </c>
      <c r="L194" s="1325">
        <f t="shared" si="74"/>
        <v>17739672.109999999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18436102.859999999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9">
        <f>IF(L225=0,"",MAX($A$16:A194)+1)</f>
        <v>9</v>
      </c>
      <c r="B195" s="2032" t="s">
        <v>1239</v>
      </c>
      <c r="C195" s="132"/>
      <c r="D195" s="850" t="s">
        <v>10</v>
      </c>
      <c r="E195" s="853">
        <v>45691</v>
      </c>
      <c r="F195" s="42">
        <f t="shared" ref="F195" si="75">$L$7-E195</f>
        <v>585</v>
      </c>
      <c r="G195" s="36">
        <v>0</v>
      </c>
      <c r="H195" s="1964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30"/>
      <c r="B196" s="2033"/>
      <c r="C196" s="132"/>
      <c r="D196" s="33" t="s">
        <v>10</v>
      </c>
      <c r="E196" s="853">
        <v>45424</v>
      </c>
      <c r="F196" s="1216"/>
      <c r="G196" s="315">
        <v>0</v>
      </c>
      <c r="H196" s="1964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30"/>
      <c r="B197" s="2033"/>
      <c r="C197" s="135"/>
      <c r="D197" s="33" t="s">
        <v>10</v>
      </c>
      <c r="E197" s="853">
        <v>45425</v>
      </c>
      <c r="F197" s="42"/>
      <c r="G197" s="315">
        <v>0</v>
      </c>
      <c r="H197" s="1964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30"/>
      <c r="B198" s="2033"/>
      <c r="C198" s="132"/>
      <c r="D198" s="33" t="s">
        <v>10</v>
      </c>
      <c r="E198" s="853">
        <v>45706</v>
      </c>
      <c r="F198" s="42">
        <f>$L$7-E198</f>
        <v>570</v>
      </c>
      <c r="G198" s="296">
        <v>0</v>
      </c>
      <c r="H198" s="1964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30"/>
      <c r="B199" s="2033"/>
      <c r="C199" s="132" t="s">
        <v>1510</v>
      </c>
      <c r="D199" s="33" t="s">
        <v>10</v>
      </c>
      <c r="E199" s="853">
        <v>45706</v>
      </c>
      <c r="F199" s="42">
        <f>$L$7-E199</f>
        <v>570</v>
      </c>
      <c r="G199" s="315">
        <v>0</v>
      </c>
      <c r="H199" s="1964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30"/>
      <c r="B200" s="2033"/>
      <c r="C200" s="132" t="s">
        <v>1426</v>
      </c>
      <c r="D200" s="33" t="s">
        <v>10</v>
      </c>
      <c r="E200" s="853">
        <v>45708</v>
      </c>
      <c r="F200" s="42">
        <f>$L$7-E200</f>
        <v>568</v>
      </c>
      <c r="G200" s="296">
        <v>0</v>
      </c>
      <c r="H200" s="1964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30"/>
      <c r="B201" s="2033"/>
      <c r="C201" s="148" t="s">
        <v>1551</v>
      </c>
      <c r="D201" s="29" t="s">
        <v>10</v>
      </c>
      <c r="E201" s="853">
        <v>45691</v>
      </c>
      <c r="F201" s="73">
        <f>$L$7-E201</f>
        <v>585</v>
      </c>
      <c r="G201" s="296">
        <v>0</v>
      </c>
      <c r="H201" s="1964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30"/>
      <c r="B202" s="2034"/>
      <c r="C202" s="2118" t="s">
        <v>1392</v>
      </c>
      <c r="D202" s="2119"/>
      <c r="E202" s="2119"/>
      <c r="F202" s="2119"/>
      <c r="G202" s="1776">
        <v>0</v>
      </c>
      <c r="H202" s="1964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30"/>
      <c r="B203" s="2032" t="s">
        <v>1706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30"/>
      <c r="B204" s="2116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30"/>
      <c r="B205" s="2033"/>
      <c r="C205" s="132">
        <v>203</v>
      </c>
      <c r="D205" s="850" t="s">
        <v>10</v>
      </c>
      <c r="E205" s="853">
        <v>46205</v>
      </c>
      <c r="F205" s="42">
        <f t="shared" ref="F205:F208" si="82">$L$7-E205</f>
        <v>71</v>
      </c>
      <c r="G205" s="36">
        <v>0</v>
      </c>
      <c r="H205" s="36"/>
      <c r="I205" s="36"/>
      <c r="J205" s="1294"/>
      <c r="K205" s="36"/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30"/>
      <c r="B206" s="2116"/>
      <c r="C206" s="132"/>
      <c r="D206" s="850" t="s">
        <v>10</v>
      </c>
      <c r="E206" s="853">
        <v>46249</v>
      </c>
      <c r="F206" s="42">
        <f t="shared" si="82"/>
        <v>27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5"/>
      <c r="N206" s="163"/>
      <c r="O206" s="45"/>
      <c r="P206" s="738"/>
      <c r="Q206" s="666" t="s">
        <v>1408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customHeight="1" x14ac:dyDescent="0.25">
      <c r="A207" s="2030"/>
      <c r="B207" s="2033"/>
      <c r="C207" s="132" t="s">
        <v>1510</v>
      </c>
      <c r="D207" s="850" t="s">
        <v>10</v>
      </c>
      <c r="E207" s="853">
        <v>46260</v>
      </c>
      <c r="F207" s="42">
        <f t="shared" si="82"/>
        <v>16</v>
      </c>
      <c r="G207" s="36">
        <v>0</v>
      </c>
      <c r="H207" s="36"/>
      <c r="I207" s="36"/>
      <c r="J207" s="1294"/>
      <c r="K207" s="36"/>
      <c r="L207" s="531">
        <f t="shared" si="79"/>
        <v>0</v>
      </c>
      <c r="M207" s="1905"/>
      <c r="N207" s="163"/>
      <c r="O207" s="45"/>
      <c r="P207" s="738"/>
      <c r="Q207" s="666" t="s">
        <v>1408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customHeight="1" x14ac:dyDescent="0.25">
      <c r="A208" s="2030"/>
      <c r="B208" s="2033"/>
      <c r="C208" s="148" t="s">
        <v>1816</v>
      </c>
      <c r="D208" s="850" t="s">
        <v>10</v>
      </c>
      <c r="E208" s="853">
        <v>46205</v>
      </c>
      <c r="F208" s="42">
        <f t="shared" si="82"/>
        <v>71</v>
      </c>
      <c r="G208" s="36">
        <v>0</v>
      </c>
      <c r="H208" s="36"/>
      <c r="I208" s="36">
        <f>+K207+K206</f>
        <v>0</v>
      </c>
      <c r="J208" s="1294"/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30"/>
      <c r="B209" s="2117"/>
      <c r="C209" s="2118" t="s">
        <v>1701</v>
      </c>
      <c r="D209" s="2119"/>
      <c r="E209" s="2119"/>
      <c r="F209" s="2119"/>
      <c r="G209" s="1301">
        <v>0</v>
      </c>
      <c r="H209" s="1301">
        <f t="shared" ref="H209:L209" si="85">+SUM(H203:H208)</f>
        <v>0</v>
      </c>
      <c r="I209" s="1301">
        <f t="shared" si="85"/>
        <v>0</v>
      </c>
      <c r="J209" s="1301">
        <f t="shared" si="85"/>
        <v>0</v>
      </c>
      <c r="K209" s="1301">
        <f t="shared" si="85"/>
        <v>0</v>
      </c>
      <c r="L209" s="1301">
        <f t="shared" si="85"/>
        <v>0</v>
      </c>
      <c r="M209" s="285">
        <f>(R209+R207)/$S$2</f>
        <v>337004.22222222225</v>
      </c>
      <c r="N209" s="387">
        <f>IFERROR(L209/M209,0)</f>
        <v>0</v>
      </c>
      <c r="O209" s="285">
        <f>IFERROR(SUMIF(ETM!$A:$A,$Q209,ETM!$E:$E),"")+298628</f>
        <v>298628</v>
      </c>
      <c r="P209" s="387">
        <f>IFERROR(L209/O209,0)</f>
        <v>0</v>
      </c>
      <c r="Q209" s="666" t="s">
        <v>1706</v>
      </c>
      <c r="R209" s="785">
        <f>IFERROR(VLOOKUP($Q209,'391'!$S:$Z,8,0),0)</f>
        <v>1516519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30"/>
      <c r="B210" s="2032" t="s">
        <v>1425</v>
      </c>
      <c r="C210" s="132">
        <v>201</v>
      </c>
      <c r="D210" s="850" t="s">
        <v>10</v>
      </c>
      <c r="E210" s="853">
        <v>46258</v>
      </c>
      <c r="F210" s="42">
        <f>$L$7-E210</f>
        <v>18</v>
      </c>
      <c r="G210" s="36">
        <v>2900820</v>
      </c>
      <c r="H210" s="36"/>
      <c r="I210" s="36"/>
      <c r="J210" s="1294"/>
      <c r="K210" s="36">
        <v>350000</v>
      </c>
      <c r="L210" s="531">
        <f t="shared" si="79"/>
        <v>2550820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2900820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30"/>
      <c r="B211" s="2115"/>
      <c r="C211" s="132">
        <v>202</v>
      </c>
      <c r="D211" s="850" t="s">
        <v>10</v>
      </c>
      <c r="E211" s="853">
        <v>46272</v>
      </c>
      <c r="F211" s="42">
        <f>$L$7-E211</f>
        <v>4</v>
      </c>
      <c r="G211" s="36">
        <v>3084840</v>
      </c>
      <c r="H211" s="36"/>
      <c r="I211" s="36"/>
      <c r="J211" s="1294"/>
      <c r="K211" s="36"/>
      <c r="L211" s="531">
        <f t="shared" si="79"/>
        <v>3084840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3084840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30"/>
      <c r="B212" s="2033"/>
      <c r="C212" s="132"/>
      <c r="D212" s="850" t="s">
        <v>10</v>
      </c>
      <c r="E212" s="853">
        <v>46102</v>
      </c>
      <c r="F212" s="42">
        <f>$L$7-E212</f>
        <v>174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30"/>
      <c r="B213" s="2033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30"/>
      <c r="B214" s="2115"/>
      <c r="C214" s="132"/>
      <c r="D214" s="850" t="s">
        <v>10</v>
      </c>
      <c r="E214" s="853">
        <v>45876</v>
      </c>
      <c r="F214" s="42">
        <f>$L$7-E214</f>
        <v>400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30"/>
      <c r="B215" s="2115"/>
      <c r="C215" s="132"/>
      <c r="D215" s="850" t="s">
        <v>10</v>
      </c>
      <c r="E215" s="853">
        <v>46104</v>
      </c>
      <c r="F215" s="42">
        <f>$L$7-E215</f>
        <v>172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30"/>
      <c r="B216" s="2116"/>
      <c r="C216" s="132" t="s">
        <v>1510</v>
      </c>
      <c r="D216" s="850" t="s">
        <v>10</v>
      </c>
      <c r="E216" s="853">
        <v>46260</v>
      </c>
      <c r="F216" s="42">
        <f>$L$7-E216</f>
        <v>16</v>
      </c>
      <c r="G216" s="36">
        <v>5000</v>
      </c>
      <c r="H216" s="36"/>
      <c r="I216" s="36">
        <v>350000</v>
      </c>
      <c r="J216" s="1294"/>
      <c r="K216" s="36">
        <v>350000</v>
      </c>
      <c r="L216" s="531">
        <f t="shared" ref="L216" si="86">+G216+H216+I216-J216-K216</f>
        <v>5000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5000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30"/>
      <c r="B217" s="2033"/>
      <c r="C217" s="148" t="s">
        <v>2252</v>
      </c>
      <c r="D217" s="850" t="s">
        <v>10</v>
      </c>
      <c r="E217" s="853">
        <v>46258</v>
      </c>
      <c r="F217" s="42">
        <f t="shared" ref="F217" si="88">$L$7-E217</f>
        <v>18</v>
      </c>
      <c r="G217" s="36">
        <v>10435</v>
      </c>
      <c r="H217" s="36"/>
      <c r="I217" s="36">
        <f>+K216</f>
        <v>350000</v>
      </c>
      <c r="J217" s="1294">
        <f>usage!I24</f>
        <v>346903</v>
      </c>
      <c r="K217" s="36"/>
      <c r="L217" s="531">
        <f t="shared" si="79"/>
        <v>13532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10435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30"/>
      <c r="B218" s="2117"/>
      <c r="C218" s="2118" t="s">
        <v>1423</v>
      </c>
      <c r="D218" s="2119"/>
      <c r="E218" s="2119"/>
      <c r="F218" s="2119"/>
      <c r="G218" s="1301">
        <v>6001095</v>
      </c>
      <c r="H218" s="1301">
        <f t="shared" ref="H218:L218" si="89">+SUM(H210:H217)</f>
        <v>0</v>
      </c>
      <c r="I218" s="1301">
        <f t="shared" si="89"/>
        <v>700000</v>
      </c>
      <c r="J218" s="1301">
        <f t="shared" si="89"/>
        <v>346903</v>
      </c>
      <c r="K218" s="1301">
        <f t="shared" si="89"/>
        <v>700000</v>
      </c>
      <c r="L218" s="1301">
        <f t="shared" si="89"/>
        <v>5654192</v>
      </c>
      <c r="M218" s="285">
        <f>R218/$S$2</f>
        <v>0</v>
      </c>
      <c r="N218" s="387">
        <f>IFERROR(L218/M218,0)</f>
        <v>0</v>
      </c>
      <c r="O218" s="285">
        <f>IFERROR(SUMIF(ETM!$A:$A,$Q218,ETM!$E:$E),"")-298628</f>
        <v>0.33333333331393078</v>
      </c>
      <c r="P218" s="387"/>
      <c r="Q218" s="795" t="s">
        <v>841</v>
      </c>
      <c r="R218" s="785">
        <f>IFERROR(VLOOKUP($Q218,'391'!$S:$Z,8,0),0)</f>
        <v>0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6001095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30"/>
      <c r="B219" s="2033" t="s">
        <v>1421</v>
      </c>
      <c r="C219" s="132"/>
      <c r="D219" s="850" t="s">
        <v>10</v>
      </c>
      <c r="E219" s="853">
        <v>46237</v>
      </c>
      <c r="F219" s="42">
        <f t="shared" ref="F219" si="90">$L$7-E219</f>
        <v>39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30"/>
      <c r="B220" s="2115"/>
      <c r="C220" s="132"/>
      <c r="D220" s="850" t="s">
        <v>10</v>
      </c>
      <c r="E220" s="853">
        <v>46167</v>
      </c>
      <c r="F220" s="1216">
        <f>$L$7-E220</f>
        <v>109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30"/>
      <c r="B221" s="2033"/>
      <c r="C221" s="132"/>
      <c r="D221" s="850" t="s">
        <v>10</v>
      </c>
      <c r="E221" s="853">
        <v>46182</v>
      </c>
      <c r="F221" s="1216">
        <f>$L$7-E221</f>
        <v>94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30"/>
      <c r="B222" s="2033"/>
      <c r="C222" s="132" t="s">
        <v>1426</v>
      </c>
      <c r="D222" s="850" t="s">
        <v>10</v>
      </c>
      <c r="E222" s="853">
        <v>46240</v>
      </c>
      <c r="F222" s="1962">
        <f>$L$7-E222</f>
        <v>36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30"/>
      <c r="B223" s="2033"/>
      <c r="C223" s="148" t="s">
        <v>1293</v>
      </c>
      <c r="D223" s="852" t="s">
        <v>10</v>
      </c>
      <c r="E223" s="890">
        <v>46237</v>
      </c>
      <c r="F223" s="39">
        <f>$L$7-E223</f>
        <v>39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30"/>
      <c r="B224" s="2033"/>
      <c r="C224" s="2118" t="s">
        <v>1422</v>
      </c>
      <c r="D224" s="2119"/>
      <c r="E224" s="2119"/>
      <c r="F224" s="2119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27" t="s">
        <v>177</v>
      </c>
      <c r="B225" s="2028"/>
      <c r="C225" s="88"/>
      <c r="D225" s="864"/>
      <c r="E225" s="864"/>
      <c r="F225" s="865"/>
      <c r="G225" s="1296">
        <v>6001095</v>
      </c>
      <c r="H225" s="1296">
        <f>H209+H224+H202+H218</f>
        <v>0</v>
      </c>
      <c r="I225" s="1296">
        <f t="shared" ref="I225:M225" si="92">I209+I224+I202+I218</f>
        <v>700000</v>
      </c>
      <c r="J225" s="1296">
        <f t="shared" si="92"/>
        <v>346903</v>
      </c>
      <c r="K225" s="1296">
        <f t="shared" si="92"/>
        <v>700000</v>
      </c>
      <c r="L225" s="1296">
        <f t="shared" si="92"/>
        <v>5654192</v>
      </c>
      <c r="M225" s="1296">
        <f t="shared" si="92"/>
        <v>337004.22222222225</v>
      </c>
      <c r="N225" s="854">
        <f>+(L225/M225)</f>
        <v>16.777807597530924</v>
      </c>
      <c r="O225" s="59">
        <f>+O224+O209+O202+O218</f>
        <v>298628.33333333331</v>
      </c>
      <c r="P225" s="855">
        <f>+(L225/O225)</f>
        <v>18.933876557817133</v>
      </c>
      <c r="Q225" s="795" t="s">
        <v>842</v>
      </c>
      <c r="R225" s="785">
        <f>IFERROR(VLOOKUP($Q225,'391'!$P:$W,8,0),"")</f>
        <v>1516519</v>
      </c>
      <c r="S225" s="796"/>
      <c r="T225" s="797"/>
      <c r="U225" s="797"/>
      <c r="V225" s="797"/>
      <c r="W225" s="802">
        <f>IFERROR(VLOOKUP($Q225,'391'!$P:$AG,15,0),0)</f>
        <v>4323333</v>
      </c>
      <c r="X225" s="799">
        <f t="shared" si="77"/>
        <v>1677762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9">
        <f>IF(L229=0,"",COUNT($A$16:A225)+1)</f>
        <v>10</v>
      </c>
      <c r="B226" s="2051" t="s">
        <v>130</v>
      </c>
      <c r="C226" s="109"/>
      <c r="D226" s="850" t="s">
        <v>10</v>
      </c>
      <c r="E226" s="853">
        <v>46260</v>
      </c>
      <c r="F226" s="42">
        <f>$L$7-E226</f>
        <v>16</v>
      </c>
      <c r="G226" s="36">
        <v>0</v>
      </c>
      <c r="H226" s="36"/>
      <c r="I226" s="36"/>
      <c r="J226" s="1294"/>
      <c r="K226" s="36"/>
      <c r="L226" s="531">
        <f t="shared" ref="L226:L232" si="93">+G226+H226+I226-J226-K226</f>
        <v>0</v>
      </c>
      <c r="M226" s="1449"/>
      <c r="N226" s="920"/>
      <c r="O226" s="1771"/>
      <c r="P226" s="1866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30"/>
      <c r="B227" s="2073"/>
      <c r="C227" s="109"/>
      <c r="D227" s="850" t="s">
        <v>10</v>
      </c>
      <c r="E227" s="853">
        <v>43483</v>
      </c>
      <c r="F227" s="42">
        <f>$L$7-E227</f>
        <v>2793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7"/>
      <c r="P227" s="1868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30"/>
      <c r="B228" s="2073"/>
      <c r="C228" s="109" t="s">
        <v>924</v>
      </c>
      <c r="D228" s="850" t="s">
        <v>10</v>
      </c>
      <c r="E228" s="853">
        <v>46260</v>
      </c>
      <c r="F228" s="42">
        <f>$L$7-E228</f>
        <v>16</v>
      </c>
      <c r="G228" s="36">
        <v>11143</v>
      </c>
      <c r="H228" s="36"/>
      <c r="I228" s="36">
        <f>+K226</f>
        <v>0</v>
      </c>
      <c r="J228" s="1294">
        <f>usage!I27</f>
        <v>1465</v>
      </c>
      <c r="K228" s="36"/>
      <c r="L228" s="531">
        <f t="shared" si="93"/>
        <v>9678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11143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27" t="s">
        <v>352</v>
      </c>
      <c r="B229" s="2028"/>
      <c r="C229" s="893"/>
      <c r="D229" s="894"/>
      <c r="E229" s="895"/>
      <c r="F229" s="896"/>
      <c r="G229" s="1327">
        <v>11143</v>
      </c>
      <c r="H229" s="1327">
        <f t="shared" ref="H229:L229" si="94">+SUM(H226:H228)</f>
        <v>0</v>
      </c>
      <c r="I229" s="1327">
        <f t="shared" si="94"/>
        <v>0</v>
      </c>
      <c r="J229" s="1327">
        <f t="shared" si="94"/>
        <v>1465</v>
      </c>
      <c r="K229" s="1327">
        <f t="shared" si="94"/>
        <v>0</v>
      </c>
      <c r="L229" s="1327">
        <f t="shared" si="94"/>
        <v>9678</v>
      </c>
      <c r="M229" s="59">
        <f>IFERROR((R229/$S$2),"")</f>
        <v>3073.5555555555557</v>
      </c>
      <c r="N229" s="854">
        <f>IFERROR(L229/M229,0)</f>
        <v>3.1487961824886126</v>
      </c>
      <c r="O229" s="59">
        <f>IFERROR(SUMIF(ETM!$A:$A,$Q229,ETM!$E:$E),"")</f>
        <v>1993.5</v>
      </c>
      <c r="P229" s="880">
        <f>IFERROR(L229/O229,0)</f>
        <v>4.8547780285929267</v>
      </c>
      <c r="Q229" s="666" t="s">
        <v>1681</v>
      </c>
      <c r="R229" s="785">
        <f>IFERROR(VLOOKUP($Q229,'391'!$P:$W,8,0),"")</f>
        <v>13831</v>
      </c>
      <c r="S229" s="796"/>
      <c r="T229" s="797"/>
      <c r="U229" s="797"/>
      <c r="V229" s="797"/>
      <c r="W229" s="802">
        <f>IFERROR(VLOOKUP($Q229,'391'!$P:$AG,15,0),0)</f>
        <v>21286</v>
      </c>
      <c r="X229" s="799">
        <f t="shared" si="77"/>
        <v>-10143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71">
        <f>IF(L233=0,"", MAX($A$16:A229)+1)</f>
        <v>11</v>
      </c>
      <c r="B230" s="2051" t="s">
        <v>170</v>
      </c>
      <c r="C230" s="109" t="s">
        <v>82</v>
      </c>
      <c r="D230" s="850" t="s">
        <v>10</v>
      </c>
      <c r="E230" s="851">
        <v>46263</v>
      </c>
      <c r="F230" s="42">
        <f>$L$7-E230</f>
        <v>13</v>
      </c>
      <c r="G230" s="308">
        <v>0</v>
      </c>
      <c r="H230" s="1329"/>
      <c r="I230" s="308">
        <v>38000</v>
      </c>
      <c r="J230" s="1330"/>
      <c r="K230" s="308">
        <v>35000</v>
      </c>
      <c r="L230" s="531">
        <f t="shared" si="93"/>
        <v>3000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86"/>
      <c r="B231" s="2073"/>
      <c r="C231" s="109"/>
      <c r="D231" s="852" t="s">
        <v>10</v>
      </c>
      <c r="E231" s="851">
        <v>46017</v>
      </c>
      <c r="F231" s="73">
        <f>$L$7-E231</f>
        <v>259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072"/>
      <c r="B232" s="2052"/>
      <c r="C232" s="132" t="s">
        <v>1257</v>
      </c>
      <c r="D232" s="852" t="s">
        <v>10</v>
      </c>
      <c r="E232" s="851">
        <v>46263</v>
      </c>
      <c r="F232" s="73">
        <f>$L$7-E232</f>
        <v>13</v>
      </c>
      <c r="G232" s="296">
        <v>20164</v>
      </c>
      <c r="H232" s="300"/>
      <c r="I232" s="296">
        <f>K230</f>
        <v>35000</v>
      </c>
      <c r="J232" s="1294">
        <f>usage!I25</f>
        <v>53908</v>
      </c>
      <c r="K232" s="300"/>
      <c r="L232" s="531">
        <f t="shared" si="93"/>
        <v>1256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20164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27" t="s">
        <v>106</v>
      </c>
      <c r="B233" s="2028"/>
      <c r="C233" s="575"/>
      <c r="D233" s="900"/>
      <c r="E233" s="901"/>
      <c r="F233" s="902"/>
      <c r="G233" s="1296">
        <v>20164</v>
      </c>
      <c r="H233" s="1296">
        <f t="shared" ref="H233:L233" si="96">+SUM(H230:H232)</f>
        <v>0</v>
      </c>
      <c r="I233" s="1296">
        <f t="shared" si="96"/>
        <v>73000</v>
      </c>
      <c r="J233" s="1296">
        <f t="shared" si="96"/>
        <v>53908</v>
      </c>
      <c r="K233" s="1296">
        <f t="shared" si="96"/>
        <v>35000</v>
      </c>
      <c r="L233" s="1296">
        <f t="shared" si="96"/>
        <v>4256</v>
      </c>
      <c r="M233" s="59">
        <f>IFERROR((R233/$S$2),"")</f>
        <v>23002.444444444445</v>
      </c>
      <c r="N233" s="1185">
        <f>IFERROR(L233/M233,0)</f>
        <v>0.18502381389417549</v>
      </c>
      <c r="O233" s="59">
        <f>IFERROR(SUMIF(ETM!$A:$A,$Q233,ETM!$E:$E),"")</f>
        <v>21315</v>
      </c>
      <c r="P233" s="1189">
        <f>(L233/O233)</f>
        <v>0.19967159277504104</v>
      </c>
      <c r="Q233" s="795" t="s">
        <v>812</v>
      </c>
      <c r="R233" s="785">
        <f>IFERROR(VLOOKUP($Q233,'391'!$P:$W,8,0),"")</f>
        <v>103511</v>
      </c>
      <c r="S233" s="796"/>
      <c r="T233" s="797"/>
      <c r="U233" s="797"/>
      <c r="V233" s="797"/>
      <c r="W233" s="802">
        <f>IFERROR(VLOOKUP($Q233,'391'!$P:$AG,15,0),0)</f>
        <v>254632</v>
      </c>
      <c r="X233" s="799">
        <f t="shared" si="95"/>
        <v>-234468</v>
      </c>
      <c r="Y233" s="1087">
        <f>G233+G239</f>
        <v>111764</v>
      </c>
      <c r="Z233" s="1088">
        <f>+W233-Y233</f>
        <v>142868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71">
        <f>IF(L239=0,"",MAX($A$16:A233)+1)</f>
        <v>12</v>
      </c>
      <c r="B234" s="2051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6</v>
      </c>
      <c r="G234" s="308">
        <v>41000</v>
      </c>
      <c r="H234" s="308"/>
      <c r="I234" s="308"/>
      <c r="J234" s="1330"/>
      <c r="K234" s="296">
        <v>38000</v>
      </c>
      <c r="L234" s="531">
        <f>+G234+H234+I234-J234-K234</f>
        <v>3000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41000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86"/>
      <c r="B235" s="2077"/>
      <c r="C235" s="1484" t="s">
        <v>467</v>
      </c>
      <c r="D235" s="850" t="s">
        <v>10</v>
      </c>
      <c r="E235" s="1210">
        <v>46213</v>
      </c>
      <c r="F235" s="1485">
        <f>$L$7-E235</f>
        <v>63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86"/>
      <c r="B236" s="2077"/>
      <c r="C236" s="1484" t="s">
        <v>470</v>
      </c>
      <c r="D236" s="850" t="s">
        <v>10</v>
      </c>
      <c r="E236" s="1210">
        <v>46177</v>
      </c>
      <c r="F236" s="1485">
        <f>$L$7-E236</f>
        <v>99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86"/>
      <c r="B237" s="2077"/>
      <c r="C237" s="1484" t="s">
        <v>469</v>
      </c>
      <c r="D237" s="850" t="s">
        <v>10</v>
      </c>
      <c r="E237" s="1210">
        <v>46258</v>
      </c>
      <c r="F237" s="1485">
        <f>$L$7-E237</f>
        <v>18</v>
      </c>
      <c r="G237" s="1282">
        <v>50600</v>
      </c>
      <c r="H237" s="1282"/>
      <c r="I237" s="1282"/>
      <c r="J237" s="1486"/>
      <c r="K237" s="1282"/>
      <c r="L237" s="531">
        <f>+G237+H237+I237-J237-K237</f>
        <v>50600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50600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072"/>
      <c r="B238" s="2052"/>
      <c r="C238" s="1484" t="s">
        <v>466</v>
      </c>
      <c r="D238" s="850" t="s">
        <v>10</v>
      </c>
      <c r="E238" s="1210">
        <v>45957</v>
      </c>
      <c r="F238" s="1485">
        <f>$L$7-E238</f>
        <v>319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27" t="s">
        <v>1129</v>
      </c>
      <c r="B239" s="2028"/>
      <c r="C239" s="906"/>
      <c r="D239" s="907"/>
      <c r="E239" s="908"/>
      <c r="F239" s="909"/>
      <c r="G239" s="1296">
        <v>91600</v>
      </c>
      <c r="H239" s="1296">
        <f>+SUM(H234:H238)</f>
        <v>0</v>
      </c>
      <c r="I239" s="1296">
        <f>+SUM(I234:I238)</f>
        <v>0</v>
      </c>
      <c r="J239" s="1296">
        <f t="shared" ref="J239:L239" si="98">+SUM(J234:J238)</f>
        <v>0</v>
      </c>
      <c r="K239" s="1296">
        <f>+SUM(K234:K238)</f>
        <v>38000</v>
      </c>
      <c r="L239" s="1296">
        <f t="shared" si="98"/>
        <v>53600</v>
      </c>
      <c r="M239" s="59">
        <f>+M233</f>
        <v>23002.444444444445</v>
      </c>
      <c r="N239" s="1185">
        <f>(L239/M239)</f>
        <v>2.3301871298702554</v>
      </c>
      <c r="O239" s="59">
        <f>O233</f>
        <v>21315</v>
      </c>
      <c r="P239" s="1189">
        <f>(L239/O239)</f>
        <v>2.5146610368285245</v>
      </c>
      <c r="Q239" s="795" t="s">
        <v>812</v>
      </c>
      <c r="R239" s="785">
        <f>IFERROR(VLOOKUP($Q239,'391'!$P:$W,8,0),"")</f>
        <v>103511</v>
      </c>
      <c r="S239" s="796"/>
      <c r="T239" s="797"/>
      <c r="U239" s="797"/>
      <c r="V239" s="797"/>
      <c r="W239" s="802">
        <f>IFERROR(VLOOKUP($Q239,'391'!$P:$AG,15,0),0)</f>
        <v>254632</v>
      </c>
      <c r="X239" s="799">
        <f t="shared" si="95"/>
        <v>-163032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71">
        <f>IF(L246=0,"",MAX($A$16:A239)+1)</f>
        <v>13</v>
      </c>
      <c r="B240" s="2051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4837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86"/>
      <c r="B241" s="2073"/>
      <c r="C241" s="113"/>
      <c r="D241" s="910" t="s">
        <v>10</v>
      </c>
      <c r="E241" s="890">
        <v>43153</v>
      </c>
      <c r="F241" s="292">
        <f t="shared" si="99"/>
        <v>3123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86"/>
      <c r="B242" s="2073"/>
      <c r="C242" s="113"/>
      <c r="D242" s="910" t="s">
        <v>10</v>
      </c>
      <c r="E242" s="890">
        <v>43157</v>
      </c>
      <c r="F242" s="292">
        <f t="shared" si="99"/>
        <v>3119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86"/>
      <c r="B243" s="2073"/>
      <c r="C243" s="131" t="s">
        <v>199</v>
      </c>
      <c r="D243" s="852" t="s">
        <v>10</v>
      </c>
      <c r="E243" s="853">
        <v>46258</v>
      </c>
      <c r="F243" s="73">
        <f t="shared" si="99"/>
        <v>18</v>
      </c>
      <c r="G243" s="296">
        <v>483250</v>
      </c>
      <c r="H243" s="308">
        <v>137080</v>
      </c>
      <c r="I243" s="296"/>
      <c r="J243" s="1298"/>
      <c r="K243" s="296">
        <v>80000</v>
      </c>
      <c r="L243" s="531">
        <f t="shared" si="100"/>
        <v>540330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483250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86"/>
      <c r="B244" s="2073"/>
      <c r="C244" s="131"/>
      <c r="D244" s="910" t="s">
        <v>10</v>
      </c>
      <c r="E244" s="904">
        <v>45693</v>
      </c>
      <c r="F244" s="292">
        <f t="shared" si="99"/>
        <v>583</v>
      </c>
      <c r="G244" s="308">
        <v>0</v>
      </c>
      <c r="H244" s="36"/>
      <c r="I244" s="36"/>
      <c r="J244" s="1294"/>
      <c r="K244" s="36"/>
      <c r="L244" s="531">
        <f t="shared" si="100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86"/>
      <c r="B245" s="2073"/>
      <c r="C245" s="61" t="s">
        <v>1320</v>
      </c>
      <c r="D245" s="863" t="s">
        <v>10</v>
      </c>
      <c r="E245" s="851">
        <v>46258</v>
      </c>
      <c r="F245" s="42">
        <f t="shared" si="99"/>
        <v>18</v>
      </c>
      <c r="G245" s="36">
        <v>40185</v>
      </c>
      <c r="H245" s="36"/>
      <c r="I245" s="36">
        <f>K243+K244</f>
        <v>80000</v>
      </c>
      <c r="J245" s="1294">
        <f>usage!I26</f>
        <v>73327</v>
      </c>
      <c r="K245" s="36"/>
      <c r="L245" s="531">
        <f t="shared" si="100"/>
        <v>46858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40185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27" t="s">
        <v>107</v>
      </c>
      <c r="B246" s="2028"/>
      <c r="C246" s="88"/>
      <c r="D246" s="864"/>
      <c r="E246" s="864"/>
      <c r="F246" s="865"/>
      <c r="G246" s="1296">
        <v>523435</v>
      </c>
      <c r="H246" s="1296">
        <f t="shared" ref="H246:L246" si="101">+SUM(H240:H245)</f>
        <v>137080</v>
      </c>
      <c r="I246" s="1296">
        <f t="shared" si="101"/>
        <v>80000</v>
      </c>
      <c r="J246" s="1296">
        <f t="shared" si="101"/>
        <v>73327</v>
      </c>
      <c r="K246" s="1296">
        <f t="shared" si="101"/>
        <v>80000</v>
      </c>
      <c r="L246" s="1296">
        <f t="shared" si="101"/>
        <v>587188</v>
      </c>
      <c r="M246" s="59">
        <f>IFERROR((R246/$S$2),"")</f>
        <v>67488.888888888891</v>
      </c>
      <c r="N246" s="854">
        <f>(L246/M246)</f>
        <v>8.7005136648007895</v>
      </c>
      <c r="O246" s="59">
        <f>IFERROR(SUMIF(ETM!$A:$A,$Q246,ETM!$E:$E),"")</f>
        <v>60651</v>
      </c>
      <c r="P246" s="880">
        <f>(L246/O246)</f>
        <v>9.6814232246789</v>
      </c>
      <c r="Q246" s="795" t="s">
        <v>809</v>
      </c>
      <c r="R246" s="785">
        <f>IFERROR(VLOOKUP($Q246,'391'!$P:$W,8,0),"")</f>
        <v>303700</v>
      </c>
      <c r="S246" s="796"/>
      <c r="T246" s="797"/>
      <c r="U246" s="797"/>
      <c r="V246" s="797"/>
      <c r="W246" s="802">
        <f>IFERROR(VLOOKUP($Q246,'391'!$P:$AG,15,0),0)</f>
        <v>428423</v>
      </c>
      <c r="X246" s="799">
        <f t="shared" si="95"/>
        <v>95012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71">
        <f>IF(L251=0,"",MAX($A$16:A246)+1)</f>
        <v>14</v>
      </c>
      <c r="B247" s="2051" t="s">
        <v>1651</v>
      </c>
      <c r="C247" s="1873" t="s">
        <v>123</v>
      </c>
      <c r="D247" s="1874" t="s">
        <v>10</v>
      </c>
      <c r="E247" s="1875">
        <v>45933</v>
      </c>
      <c r="F247" s="1876">
        <f t="shared" ref="F247:F248" si="102">$L$7-E247</f>
        <v>343</v>
      </c>
      <c r="G247" s="1877">
        <v>0</v>
      </c>
      <c r="H247" s="1862"/>
      <c r="I247" s="1333"/>
      <c r="J247" s="1334"/>
      <c r="K247" s="36"/>
      <c r="L247" s="1670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86"/>
      <c r="B248" s="2073"/>
      <c r="C248" s="131" t="s">
        <v>1420</v>
      </c>
      <c r="D248" s="910" t="s">
        <v>10</v>
      </c>
      <c r="E248" s="853">
        <v>46042</v>
      </c>
      <c r="F248" s="42">
        <f t="shared" si="102"/>
        <v>234</v>
      </c>
      <c r="G248" s="36">
        <v>0</v>
      </c>
      <c r="H248" s="305"/>
      <c r="I248" s="312"/>
      <c r="J248" s="1334"/>
      <c r="K248" s="36"/>
      <c r="L248" s="1713">
        <f t="shared" si="103"/>
        <v>0</v>
      </c>
      <c r="M248" s="48"/>
      <c r="N248" s="163"/>
      <c r="O248" s="48"/>
      <c r="P248" s="1879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86"/>
      <c r="B249" s="2073"/>
      <c r="C249" s="106" t="s">
        <v>1599</v>
      </c>
      <c r="D249" s="910" t="s">
        <v>10</v>
      </c>
      <c r="E249" s="853">
        <v>46261</v>
      </c>
      <c r="F249" s="42">
        <f t="shared" ref="F249:F250" si="105">$L$7-E249</f>
        <v>15</v>
      </c>
      <c r="G249" s="36">
        <v>114780</v>
      </c>
      <c r="H249" s="36"/>
      <c r="I249" s="36"/>
      <c r="J249" s="36"/>
      <c r="K249" s="36"/>
      <c r="L249" s="36">
        <f t="shared" si="103"/>
        <v>114780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114780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86"/>
      <c r="B250" s="2073"/>
      <c r="C250" s="61" t="s">
        <v>1754</v>
      </c>
      <c r="D250" s="863" t="s">
        <v>10</v>
      </c>
      <c r="E250" s="851">
        <v>46261</v>
      </c>
      <c r="F250" s="42">
        <f t="shared" si="105"/>
        <v>15</v>
      </c>
      <c r="G250" s="36">
        <v>16228</v>
      </c>
      <c r="H250" s="36"/>
      <c r="I250" s="36">
        <f>K249</f>
        <v>0</v>
      </c>
      <c r="J250" s="1294">
        <f>usage!I33</f>
        <v>5912</v>
      </c>
      <c r="K250" s="36"/>
      <c r="L250" s="1331">
        <f t="shared" si="103"/>
        <v>10316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16228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27" t="s">
        <v>1631</v>
      </c>
      <c r="B251" s="2028"/>
      <c r="C251" s="88"/>
      <c r="D251" s="864"/>
      <c r="E251" s="864"/>
      <c r="F251" s="865"/>
      <c r="G251" s="1296">
        <v>131008</v>
      </c>
      <c r="H251" s="1296">
        <f>+SUM(H247:H250)</f>
        <v>0</v>
      </c>
      <c r="I251" s="1296">
        <f>+SUM(I247:I250)</f>
        <v>0</v>
      </c>
      <c r="J251" s="1296">
        <f>+SUM(J247:J250)</f>
        <v>5912</v>
      </c>
      <c r="K251" s="1296">
        <f>+SUM(K247:K250)</f>
        <v>0</v>
      </c>
      <c r="L251" s="1296">
        <f>+SUM(L247:L250)</f>
        <v>125096</v>
      </c>
      <c r="M251" s="59">
        <f>IFERROR((R251/$S$2),"")</f>
        <v>5594.4444444444443</v>
      </c>
      <c r="N251" s="854">
        <f>IFERROR(L251/M251,0)</f>
        <v>22.360754716981134</v>
      </c>
      <c r="O251" s="59">
        <f>IFERROR(SUMIF(ETM!$A:$A,$Q251,ETM!$E:$E),"")</f>
        <v>4537.5000000000009</v>
      </c>
      <c r="P251" s="880">
        <f>IFERROR(L251/O251,0)</f>
        <v>27.569366391184566</v>
      </c>
      <c r="Q251" s="666" t="s">
        <v>1652</v>
      </c>
      <c r="R251" s="785">
        <f>IFERROR(VLOOKUP($Q251,'391'!$P:$W,8,0),"")</f>
        <v>25175</v>
      </c>
      <c r="S251" s="796"/>
      <c r="T251" s="797"/>
      <c r="U251" s="797"/>
      <c r="V251" s="797"/>
      <c r="W251" s="802">
        <f>IFERROR(VLOOKUP($Q251,'391'!$P:$AG,15,0),0)</f>
        <v>81224</v>
      </c>
      <c r="X251" s="799">
        <f>G251-W251</f>
        <v>49784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9">
        <f>IF(L263=0,"",MAX($A$16:A251)+1)</f>
        <v>15</v>
      </c>
      <c r="B252" s="2098" t="s">
        <v>1419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2789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30"/>
      <c r="B253" s="2099"/>
      <c r="C253" s="120" t="s">
        <v>257</v>
      </c>
      <c r="D253" s="881" t="s">
        <v>10</v>
      </c>
      <c r="E253" s="888">
        <v>42538</v>
      </c>
      <c r="F253" s="71">
        <f t="shared" si="106"/>
        <v>3738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30"/>
      <c r="B254" s="2099"/>
      <c r="C254" s="106"/>
      <c r="D254" s="852" t="s">
        <v>10</v>
      </c>
      <c r="E254" s="851">
        <v>43406</v>
      </c>
      <c r="F254" s="73">
        <f t="shared" si="106"/>
        <v>2870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30"/>
      <c r="B255" s="2099"/>
      <c r="C255" s="106"/>
      <c r="D255" s="852" t="s">
        <v>10</v>
      </c>
      <c r="E255" s="851">
        <v>46157</v>
      </c>
      <c r="F255" s="73">
        <f t="shared" si="106"/>
        <v>119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30"/>
      <c r="B256" s="2099"/>
      <c r="C256" s="106" t="s">
        <v>505</v>
      </c>
      <c r="D256" s="852" t="s">
        <v>10</v>
      </c>
      <c r="E256" s="851">
        <v>46259</v>
      </c>
      <c r="F256" s="73">
        <f t="shared" ref="F256:F257" si="108">$L$7-E256</f>
        <v>17</v>
      </c>
      <c r="G256" s="36">
        <v>74220</v>
      </c>
      <c r="H256" s="296"/>
      <c r="I256" s="36"/>
      <c r="J256" s="1294"/>
      <c r="K256" s="36">
        <v>14000</v>
      </c>
      <c r="L256" s="531">
        <f t="shared" si="107"/>
        <v>60220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74220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30"/>
      <c r="B257" s="2100"/>
      <c r="C257" s="106"/>
      <c r="D257" s="852" t="s">
        <v>10</v>
      </c>
      <c r="E257" s="851">
        <v>46234</v>
      </c>
      <c r="F257" s="73">
        <f t="shared" si="108"/>
        <v>42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30"/>
      <c r="B258" s="2099"/>
      <c r="C258" s="106" t="s">
        <v>492</v>
      </c>
      <c r="D258" s="852" t="s">
        <v>10</v>
      </c>
      <c r="E258" s="851">
        <v>45694</v>
      </c>
      <c r="F258" s="73">
        <f t="shared" si="106"/>
        <v>582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30"/>
      <c r="B259" s="2099"/>
      <c r="C259" s="65" t="s">
        <v>2249</v>
      </c>
      <c r="D259" s="852" t="s">
        <v>10</v>
      </c>
      <c r="E259" s="851">
        <v>46259</v>
      </c>
      <c r="F259" s="73">
        <f t="shared" si="106"/>
        <v>17</v>
      </c>
      <c r="G259" s="296">
        <v>28536</v>
      </c>
      <c r="H259" s="296"/>
      <c r="I259" s="296">
        <f>K258+K256+K257+K255-I255</f>
        <v>14000</v>
      </c>
      <c r="J259" s="1298">
        <f>usage!I29</f>
        <v>12983</v>
      </c>
      <c r="K259" s="296"/>
      <c r="L259" s="531">
        <f t="shared" si="107"/>
        <v>29553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28536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30"/>
      <c r="B260" s="2099"/>
      <c r="C260" s="108" t="s">
        <v>221</v>
      </c>
      <c r="D260" s="863" t="s">
        <v>10</v>
      </c>
      <c r="E260" s="851">
        <v>42247</v>
      </c>
      <c r="F260" s="42">
        <f t="shared" si="106"/>
        <v>4029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30"/>
      <c r="B261" s="2099"/>
      <c r="C261" s="2118" t="s">
        <v>225</v>
      </c>
      <c r="D261" s="2119"/>
      <c r="E261" s="2119"/>
      <c r="F261" s="2119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1"/>
      <c r="B262" s="2101"/>
      <c r="C262" s="2124"/>
      <c r="D262" s="2125"/>
      <c r="E262" s="2125"/>
      <c r="F262" s="2125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27" t="s">
        <v>217</v>
      </c>
      <c r="B263" s="2028"/>
      <c r="C263" s="88"/>
      <c r="D263" s="864"/>
      <c r="E263" s="864"/>
      <c r="F263" s="865"/>
      <c r="G263" s="1296">
        <v>102756</v>
      </c>
      <c r="H263" s="1296">
        <f t="shared" ref="H263:L263" si="109">+SUM(H252:H259)</f>
        <v>0</v>
      </c>
      <c r="I263" s="1296">
        <f t="shared" si="109"/>
        <v>14000</v>
      </c>
      <c r="J263" s="1296">
        <f t="shared" si="109"/>
        <v>12983</v>
      </c>
      <c r="K263" s="1296">
        <f t="shared" si="109"/>
        <v>14000</v>
      </c>
      <c r="L263" s="1296">
        <f t="shared" si="109"/>
        <v>89773</v>
      </c>
      <c r="M263" s="59">
        <f>IFERROR((R263/$S$2),"")</f>
        <v>10385.111111111111</v>
      </c>
      <c r="N263" s="1185">
        <f>(L263/M263)</f>
        <v>8.6443947531722767</v>
      </c>
      <c r="O263" s="59">
        <f>IFERROR(SUMIF(ETM!$A:$A,$Q263,ETM!$E:$E),"")</f>
        <v>8366.8333333333339</v>
      </c>
      <c r="P263" s="1186">
        <f>(L263/O263)</f>
        <v>10.729626899862552</v>
      </c>
      <c r="Q263" s="795" t="s">
        <v>814</v>
      </c>
      <c r="R263" s="785">
        <f>IFERROR(VLOOKUP($Q263,'391'!$P:$W,8,0),"")</f>
        <v>46733</v>
      </c>
      <c r="S263" s="796"/>
      <c r="T263" s="797"/>
      <c r="U263" s="797"/>
      <c r="V263" s="797"/>
      <c r="W263" s="802">
        <f>IFERROR(VLOOKUP($Q263,'391'!$P:$AG,15,0),0)</f>
        <v>101990</v>
      </c>
      <c r="X263" s="799">
        <f t="shared" si="95"/>
        <v>766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71" t="str">
        <f>IF(L268=0,"",MAX($A$16:A263)+1)</f>
        <v/>
      </c>
      <c r="B264" s="2032" t="s">
        <v>42</v>
      </c>
      <c r="C264" s="112"/>
      <c r="D264" s="850" t="s">
        <v>10</v>
      </c>
      <c r="E264" s="851">
        <v>44771</v>
      </c>
      <c r="F264" s="42">
        <f>$L$7-E264</f>
        <v>1505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86"/>
      <c r="B265" s="2115"/>
      <c r="C265" s="106"/>
      <c r="D265" s="850" t="s">
        <v>10</v>
      </c>
      <c r="E265" s="851">
        <v>45737</v>
      </c>
      <c r="F265" s="42">
        <f>$L$7-E265</f>
        <v>539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86"/>
      <c r="B266" s="2115"/>
      <c r="C266" s="109"/>
      <c r="D266" s="850" t="s">
        <v>10</v>
      </c>
      <c r="E266" s="851">
        <v>46062</v>
      </c>
      <c r="F266" s="42">
        <f>$L$7-E266</f>
        <v>214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072"/>
      <c r="B267" s="2034"/>
      <c r="C267" s="138" t="s">
        <v>1302</v>
      </c>
      <c r="D267" s="863" t="s">
        <v>10</v>
      </c>
      <c r="E267" s="851">
        <v>46062</v>
      </c>
      <c r="F267" s="42">
        <f>$L$7-E267</f>
        <v>214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27" t="s">
        <v>108</v>
      </c>
      <c r="B268" s="2028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81">
        <f>IF(L278=0,"",MAX($A$16:A268)+1)</f>
        <v>16</v>
      </c>
      <c r="B269" s="2032" t="s">
        <v>1378</v>
      </c>
      <c r="C269" s="109"/>
      <c r="D269" s="852" t="s">
        <v>10</v>
      </c>
      <c r="E269" s="853">
        <v>42955</v>
      </c>
      <c r="F269" s="856">
        <f t="shared" ref="F269:F277" si="111">$L$7-E269</f>
        <v>3321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8"/>
      <c r="B270" s="2033"/>
      <c r="C270" s="109"/>
      <c r="D270" s="852" t="s">
        <v>10</v>
      </c>
      <c r="E270" s="853">
        <v>42791</v>
      </c>
      <c r="F270" s="856">
        <f t="shared" si="111"/>
        <v>3485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8"/>
      <c r="B271" s="2033"/>
      <c r="C271" s="109" t="s">
        <v>1386</v>
      </c>
      <c r="D271" s="852" t="s">
        <v>10</v>
      </c>
      <c r="E271" s="853">
        <v>46155</v>
      </c>
      <c r="F271" s="856">
        <f t="shared" si="111"/>
        <v>121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78"/>
      <c r="B272" s="2033"/>
      <c r="C272" s="109" t="s">
        <v>949</v>
      </c>
      <c r="D272" s="852" t="s">
        <v>10</v>
      </c>
      <c r="E272" s="853">
        <v>46270</v>
      </c>
      <c r="F272" s="856">
        <f t="shared" si="111"/>
        <v>6</v>
      </c>
      <c r="G272" s="351">
        <v>181350</v>
      </c>
      <c r="H272" s="1258"/>
      <c r="I272" s="1258"/>
      <c r="J272" s="1294"/>
      <c r="K272" s="36"/>
      <c r="L272" s="531">
        <f>+G272+H272+I272-J272-K272</f>
        <v>181350</v>
      </c>
      <c r="M272" s="46"/>
      <c r="N272" s="176"/>
      <c r="O272" s="46"/>
      <c r="P272" s="1861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181350</v>
      </c>
      <c r="Y272" s="787"/>
      <c r="Z272" s="791"/>
      <c r="AA272" s="787"/>
      <c r="AB272" s="787"/>
      <c r="AC272" s="679"/>
    </row>
    <row r="273" spans="1:45" ht="30" customHeight="1" x14ac:dyDescent="0.25">
      <c r="A273" s="2078"/>
      <c r="B273" s="2033"/>
      <c r="C273" s="109" t="s">
        <v>1424</v>
      </c>
      <c r="D273" s="852" t="s">
        <v>10</v>
      </c>
      <c r="E273" s="853">
        <v>46275</v>
      </c>
      <c r="F273" s="856">
        <f t="shared" ref="F273:F274" si="114">$L$7-E273</f>
        <v>1</v>
      </c>
      <c r="G273" s="351">
        <v>10000</v>
      </c>
      <c r="H273" s="36">
        <v>20000</v>
      </c>
      <c r="I273" s="36"/>
      <c r="J273" s="1294"/>
      <c r="K273" s="36"/>
      <c r="L273" s="531">
        <f>+G273+H273+I273-J273-K273</f>
        <v>30000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10000</v>
      </c>
      <c r="Y273" s="787"/>
      <c r="Z273" s="791"/>
      <c r="AA273" s="787"/>
      <c r="AB273" s="787"/>
      <c r="AC273" s="679"/>
    </row>
    <row r="274" spans="1:45" ht="30" customHeight="1" x14ac:dyDescent="0.25">
      <c r="A274" s="2078"/>
      <c r="B274" s="2033"/>
      <c r="C274" s="109" t="s">
        <v>850</v>
      </c>
      <c r="D274" s="852" t="s">
        <v>10</v>
      </c>
      <c r="E274" s="853">
        <v>46268</v>
      </c>
      <c r="F274" s="856">
        <f t="shared" si="114"/>
        <v>8</v>
      </c>
      <c r="G274" s="351">
        <v>139350</v>
      </c>
      <c r="H274" s="36"/>
      <c r="I274" s="36"/>
      <c r="J274" s="1294"/>
      <c r="K274" s="36"/>
      <c r="L274" s="531">
        <f t="shared" si="112"/>
        <v>139350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139350</v>
      </c>
      <c r="Y274" s="787"/>
      <c r="Z274" s="791"/>
      <c r="AA274" s="787"/>
      <c r="AB274" s="787"/>
      <c r="AC274" s="679"/>
    </row>
    <row r="275" spans="1:45" ht="30" customHeight="1" x14ac:dyDescent="0.25">
      <c r="A275" s="2078"/>
      <c r="B275" s="2033"/>
      <c r="C275" s="109" t="s">
        <v>1549</v>
      </c>
      <c r="D275" s="852" t="s">
        <v>10</v>
      </c>
      <c r="E275" s="853">
        <v>46255</v>
      </c>
      <c r="F275" s="856">
        <f t="shared" si="111"/>
        <v>21</v>
      </c>
      <c r="G275" s="351">
        <v>91340</v>
      </c>
      <c r="H275" s="36">
        <f>79580-20000</f>
        <v>59580</v>
      </c>
      <c r="I275" s="36">
        <v>27890</v>
      </c>
      <c r="J275" s="1294"/>
      <c r="K275" s="36">
        <v>110000</v>
      </c>
      <c r="L275" s="531">
        <f t="shared" si="112"/>
        <v>68810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91340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8"/>
      <c r="B276" s="2033"/>
      <c r="C276" s="109" t="s">
        <v>1420</v>
      </c>
      <c r="D276" s="852" t="s">
        <v>10</v>
      </c>
      <c r="E276" s="853">
        <v>45913</v>
      </c>
      <c r="F276" s="856">
        <f t="shared" si="111"/>
        <v>363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8"/>
      <c r="B277" s="2033"/>
      <c r="C277" s="109" t="s">
        <v>1623</v>
      </c>
      <c r="D277" s="852" t="s">
        <v>10</v>
      </c>
      <c r="E277" s="853">
        <v>46255</v>
      </c>
      <c r="F277" s="856">
        <f t="shared" si="111"/>
        <v>21</v>
      </c>
      <c r="G277" s="549">
        <v>3052</v>
      </c>
      <c r="H277" s="36"/>
      <c r="I277" s="36">
        <f>+SUM(K271:K276)</f>
        <v>110000</v>
      </c>
      <c r="J277" s="1294">
        <f>usage!I31</f>
        <v>105305</v>
      </c>
      <c r="K277" s="36"/>
      <c r="L277" s="531">
        <f t="shared" si="112"/>
        <v>7747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3052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27" t="s">
        <v>109</v>
      </c>
      <c r="B278" s="2028"/>
      <c r="C278" s="88"/>
      <c r="D278" s="864"/>
      <c r="E278" s="939"/>
      <c r="F278" s="865"/>
      <c r="G278" s="1336">
        <v>425092</v>
      </c>
      <c r="H278" s="1336">
        <f t="shared" ref="H278:J278" si="115">+SUM(H271:H277)</f>
        <v>79580</v>
      </c>
      <c r="I278" s="1336">
        <f t="shared" si="115"/>
        <v>137890</v>
      </c>
      <c r="J278" s="1336">
        <f t="shared" si="115"/>
        <v>105305</v>
      </c>
      <c r="K278" s="1336">
        <f>+SUM(K271:K277)</f>
        <v>110000</v>
      </c>
      <c r="L278" s="1336">
        <f>+SUM(L271:L277)</f>
        <v>427257</v>
      </c>
      <c r="M278" s="59">
        <f>IFERROR((R278/$S$2),"")</f>
        <v>104463.55555555556</v>
      </c>
      <c r="N278" s="1185">
        <f>(L278/M278)</f>
        <v>4.0900101258067671</v>
      </c>
      <c r="O278" s="59">
        <f>IFERROR(SUMIF(ETM!$A:$A,$Q278,ETM!$E:$E),"")</f>
        <v>95484.833333333328</v>
      </c>
      <c r="P278" s="1186">
        <f>(L278/O278)</f>
        <v>4.474605914726423</v>
      </c>
      <c r="Q278" s="795" t="s">
        <v>807</v>
      </c>
      <c r="R278" s="785">
        <f>IFERROR(VLOOKUP($Q278,'391'!$P:$W,8,0),"")</f>
        <v>470086</v>
      </c>
      <c r="S278" s="796"/>
      <c r="T278" s="787"/>
      <c r="U278" s="797"/>
      <c r="V278" s="797"/>
      <c r="W278" s="802">
        <f>IFERROR(VLOOKUP($Q278,'391'!$P:$AG,15,0),0)</f>
        <v>406261</v>
      </c>
      <c r="X278" s="799">
        <f t="shared" si="113"/>
        <v>18831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81" t="str">
        <f>IF(L286=0,"",MAX($A$16:A278)+1)</f>
        <v/>
      </c>
      <c r="B279" s="2051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631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20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8"/>
      <c r="B280" s="2077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659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8"/>
      <c r="B281" s="2077"/>
      <c r="C281" s="109" t="s">
        <v>476</v>
      </c>
      <c r="D281" s="852" t="s">
        <v>10</v>
      </c>
      <c r="E281" s="853">
        <v>45609</v>
      </c>
      <c r="F281" s="856">
        <f t="shared" si="116"/>
        <v>667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1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8"/>
      <c r="B282" s="2077"/>
      <c r="C282" s="109"/>
      <c r="D282" s="852" t="s">
        <v>10</v>
      </c>
      <c r="E282" s="853">
        <v>45618</v>
      </c>
      <c r="F282" s="856">
        <f t="shared" ref="F282" si="121">$L$7-E282</f>
        <v>658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1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8"/>
      <c r="B283" s="2077"/>
      <c r="C283" s="109" t="s">
        <v>1510</v>
      </c>
      <c r="D283" s="852" t="s">
        <v>10</v>
      </c>
      <c r="E283" s="853">
        <v>45605</v>
      </c>
      <c r="F283" s="856">
        <f t="shared" si="116"/>
        <v>671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1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8"/>
      <c r="B284" s="2077"/>
      <c r="C284" s="109"/>
      <c r="D284" s="852" t="s">
        <v>10</v>
      </c>
      <c r="E284" s="853">
        <v>45625</v>
      </c>
      <c r="F284" s="856">
        <f t="shared" si="116"/>
        <v>651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7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082"/>
      <c r="B285" s="2052"/>
      <c r="C285" s="109" t="s">
        <v>1163</v>
      </c>
      <c r="D285" s="852" t="s">
        <v>10</v>
      </c>
      <c r="E285" s="853">
        <v>45625</v>
      </c>
      <c r="F285" s="856">
        <f t="shared" si="116"/>
        <v>651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1412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27" t="s">
        <v>269</v>
      </c>
      <c r="B286" s="2028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1402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81">
        <f>IF(L293=0,"",MAX($A$16:A279)+1)</f>
        <v>17</v>
      </c>
      <c r="B287" s="2051" t="s">
        <v>1782</v>
      </c>
      <c r="C287" s="1952"/>
      <c r="D287" s="887" t="s">
        <v>10</v>
      </c>
      <c r="E287" s="888">
        <v>46128</v>
      </c>
      <c r="F287" s="70">
        <f t="shared" ref="F287:F292" si="123">$L$7-E287</f>
        <v>148</v>
      </c>
      <c r="G287" s="1942">
        <v>0</v>
      </c>
      <c r="H287" s="247"/>
      <c r="I287" s="247"/>
      <c r="J287" s="1943"/>
      <c r="K287" s="12">
        <f>IFERROR(SUMIF(INTAKE!$A:$A,$T287,INTAKE!$P:$P),0)</f>
        <v>0</v>
      </c>
      <c r="L287" s="1670">
        <f t="shared" ref="L287:L292" si="124">+G287+H287+I287-J287-K287</f>
        <v>0</v>
      </c>
      <c r="M287" s="1716"/>
      <c r="N287" s="1717"/>
      <c r="O287" s="1718"/>
      <c r="P287" s="1719"/>
      <c r="Q287" s="666" t="s">
        <v>1782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78"/>
      <c r="B288" s="2077"/>
      <c r="C288" s="1953"/>
      <c r="D288" s="887" t="s">
        <v>10</v>
      </c>
      <c r="E288" s="888">
        <v>46206</v>
      </c>
      <c r="F288" s="70">
        <f t="shared" si="123"/>
        <v>70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70">
        <f t="shared" si="124"/>
        <v>0</v>
      </c>
      <c r="M288" s="46"/>
      <c r="N288" s="176"/>
      <c r="O288" s="46"/>
      <c r="P288" s="857"/>
      <c r="Q288" s="666" t="s">
        <v>1782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8"/>
      <c r="B289" s="2077"/>
      <c r="C289" s="1009"/>
      <c r="D289" s="887" t="s">
        <v>10</v>
      </c>
      <c r="E289" s="888">
        <v>42305</v>
      </c>
      <c r="F289" s="70">
        <f t="shared" si="123"/>
        <v>3971</v>
      </c>
      <c r="G289" s="312">
        <v>0</v>
      </c>
      <c r="H289" s="312"/>
      <c r="I289" s="312"/>
      <c r="J289" s="1322"/>
      <c r="K289" s="312"/>
      <c r="L289" s="1670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8"/>
      <c r="B290" s="2077"/>
      <c r="C290" s="135"/>
      <c r="D290" s="850" t="s">
        <v>10</v>
      </c>
      <c r="E290" s="851">
        <v>43689</v>
      </c>
      <c r="F290" s="42">
        <f t="shared" si="123"/>
        <v>2587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8"/>
      <c r="B291" s="2077"/>
      <c r="C291" s="135"/>
      <c r="D291" s="850" t="s">
        <v>10</v>
      </c>
      <c r="E291" s="851">
        <v>43194</v>
      </c>
      <c r="F291" s="42">
        <f t="shared" si="123"/>
        <v>3082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8"/>
      <c r="B292" s="2077"/>
      <c r="C292" s="138" t="s">
        <v>1813</v>
      </c>
      <c r="D292" s="850" t="s">
        <v>10</v>
      </c>
      <c r="E292" s="851">
        <v>46206</v>
      </c>
      <c r="F292" s="42">
        <f t="shared" si="123"/>
        <v>70</v>
      </c>
      <c r="G292" s="28">
        <v>10287</v>
      </c>
      <c r="H292" s="36"/>
      <c r="I292" s="36">
        <f>+K288</f>
        <v>0</v>
      </c>
      <c r="J292" s="36">
        <f>usage!I66</f>
        <v>0</v>
      </c>
      <c r="K292" s="36"/>
      <c r="L292" s="531">
        <f t="shared" si="124"/>
        <v>10287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10287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27" t="s">
        <v>1783</v>
      </c>
      <c r="B293" s="2028"/>
      <c r="C293" s="88"/>
      <c r="D293" s="864"/>
      <c r="E293" s="864"/>
      <c r="F293" s="865"/>
      <c r="G293" s="1296">
        <v>10287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0</v>
      </c>
      <c r="K293" s="1296">
        <f t="shared" si="126"/>
        <v>0</v>
      </c>
      <c r="L293" s="1296">
        <f t="shared" si="126"/>
        <v>10287</v>
      </c>
      <c r="M293" s="59">
        <f>IFERROR((R293/$S$2),"")</f>
        <v>1872.8888888888889</v>
      </c>
      <c r="N293" s="854">
        <f>IFERROR(L293/M293,0)</f>
        <v>5.4925842429995253</v>
      </c>
      <c r="O293" s="59">
        <f>IFERROR(SUMIF(ETM!$A:$A,$Q293,ETM!$E:$E),"")</f>
        <v>1767.1666666666665</v>
      </c>
      <c r="P293" s="855">
        <f>IFERROR(L293/O293,0)</f>
        <v>5.821182684145997</v>
      </c>
      <c r="Q293" s="666" t="s">
        <v>1788</v>
      </c>
      <c r="R293" s="785">
        <f>IFERROR(VLOOKUP($Q293,'391'!$P:$W,8,0),"")</f>
        <v>8428</v>
      </c>
      <c r="S293" s="796"/>
      <c r="T293" s="797"/>
      <c r="U293" s="797"/>
      <c r="V293" s="797"/>
      <c r="W293" s="802">
        <f>IFERROR(VLOOKUP($Q293,'391'!$P:$AG,15,0),0)</f>
        <v>15004</v>
      </c>
      <c r="X293" s="799">
        <f>G293-W293</f>
        <v>-4717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81" t="str">
        <f>IF(L300=0,"",MAX($A$16:A286)+1)</f>
        <v/>
      </c>
      <c r="B294" s="2051" t="s">
        <v>1493</v>
      </c>
      <c r="C294" s="1959"/>
      <c r="D294" s="850" t="s">
        <v>10</v>
      </c>
      <c r="E294" s="1210">
        <v>46178</v>
      </c>
      <c r="F294" s="1675">
        <f t="shared" ref="F294:F299" si="127">$L$7-E294</f>
        <v>98</v>
      </c>
      <c r="G294" s="1902">
        <v>0</v>
      </c>
      <c r="H294" s="1960"/>
      <c r="I294" s="1960"/>
      <c r="J294" s="1330"/>
      <c r="K294" s="1721"/>
      <c r="L294" s="531">
        <f t="shared" ref="L294:L313" si="128">+G294+H294+I294-J294-K294</f>
        <v>0</v>
      </c>
      <c r="M294" s="1716"/>
      <c r="N294" s="1717"/>
      <c r="O294" s="1718"/>
      <c r="P294" s="1719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8"/>
      <c r="B295" s="2077"/>
      <c r="C295" s="1961" t="s">
        <v>347</v>
      </c>
      <c r="D295" s="852" t="s">
        <v>10</v>
      </c>
      <c r="E295" s="853">
        <v>46147</v>
      </c>
      <c r="F295" s="1962">
        <f t="shared" ref="F295" si="130">$L$7-E295</f>
        <v>129</v>
      </c>
      <c r="G295" s="1862">
        <v>0</v>
      </c>
      <c r="H295" s="1862"/>
      <c r="I295" s="1862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8"/>
      <c r="B296" s="2077"/>
      <c r="C296" s="135"/>
      <c r="D296" s="850" t="s">
        <v>10</v>
      </c>
      <c r="E296" s="851">
        <v>42305</v>
      </c>
      <c r="F296" s="42">
        <f t="shared" si="127"/>
        <v>3971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8"/>
      <c r="B297" s="2077"/>
      <c r="C297" s="135"/>
      <c r="D297" s="850" t="s">
        <v>10</v>
      </c>
      <c r="E297" s="851">
        <v>43689</v>
      </c>
      <c r="F297" s="42">
        <f t="shared" si="127"/>
        <v>2587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8"/>
      <c r="B298" s="2077"/>
      <c r="C298" s="135"/>
      <c r="D298" s="850" t="s">
        <v>10</v>
      </c>
      <c r="E298" s="851">
        <v>43194</v>
      </c>
      <c r="F298" s="42">
        <f t="shared" si="127"/>
        <v>3082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8"/>
      <c r="B299" s="2077"/>
      <c r="C299" s="138" t="s">
        <v>1850</v>
      </c>
      <c r="D299" s="850" t="s">
        <v>10</v>
      </c>
      <c r="E299" s="851">
        <v>46178</v>
      </c>
      <c r="F299" s="42">
        <f t="shared" si="127"/>
        <v>98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27" t="s">
        <v>1494</v>
      </c>
      <c r="B300" s="2028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1499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29">
        <f>IF(L314=0,"",MAX($A$16:A300)+1)</f>
        <v>18</v>
      </c>
      <c r="B301" s="393" t="s">
        <v>88</v>
      </c>
      <c r="C301" s="1199" t="s">
        <v>1972</v>
      </c>
      <c r="D301" s="887" t="s">
        <v>10</v>
      </c>
      <c r="E301" s="1777">
        <v>46268</v>
      </c>
      <c r="F301" s="1674">
        <f t="shared" ref="F301:F304" si="132">$L$7-E301</f>
        <v>8</v>
      </c>
      <c r="G301" s="1778">
        <v>25333</v>
      </c>
      <c r="H301" s="1778"/>
      <c r="I301" s="1778"/>
      <c r="J301" s="1486"/>
      <c r="K301" s="12">
        <f>IFERROR(SUMIF(INTAKE!$A:$A,$T301,INTAKE!$P:$P),0)</f>
        <v>0</v>
      </c>
      <c r="L301" s="1670">
        <f t="shared" si="128"/>
        <v>25333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(USA)B25.146268</v>
      </c>
      <c r="U301" s="797"/>
      <c r="V301" s="797"/>
      <c r="W301" s="802">
        <f>IFERROR(VLOOKUP($Q301,'391'!$P:$AG,15,0),0)</f>
        <v>0</v>
      </c>
      <c r="X301" s="799">
        <f t="shared" si="129"/>
        <v>25333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30"/>
      <c r="B302" s="393" t="s">
        <v>88</v>
      </c>
      <c r="C302" s="1199" t="s">
        <v>325</v>
      </c>
      <c r="D302" s="887" t="s">
        <v>10</v>
      </c>
      <c r="E302" s="1777">
        <v>46269</v>
      </c>
      <c r="F302" s="1674">
        <f t="shared" si="132"/>
        <v>7</v>
      </c>
      <c r="G302" s="1778">
        <v>23820</v>
      </c>
      <c r="H302" s="1778"/>
      <c r="I302" s="1778"/>
      <c r="J302" s="1486"/>
      <c r="K302" s="12">
        <f>IFERROR(SUMIF(INTAKE!$A:$A,$T302,INTAKE!$P:$P),0)</f>
        <v>0</v>
      </c>
      <c r="L302" s="1670">
        <f t="shared" si="128"/>
        <v>23820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(USA)B24.146269</v>
      </c>
      <c r="U302" s="797"/>
      <c r="V302" s="797"/>
      <c r="W302" s="802">
        <f>IFERROR(VLOOKUP($Q302,'391'!$P:$AG,15,0),0)</f>
        <v>0</v>
      </c>
      <c r="X302" s="799">
        <f t="shared" si="129"/>
        <v>23820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30"/>
      <c r="B303" s="393" t="s">
        <v>2222</v>
      </c>
      <c r="C303" s="1199" t="s">
        <v>1613</v>
      </c>
      <c r="D303" s="887" t="s">
        <v>10</v>
      </c>
      <c r="E303" s="1777">
        <v>46274</v>
      </c>
      <c r="F303" s="1674">
        <f t="shared" si="132"/>
        <v>2</v>
      </c>
      <c r="G303" s="1778">
        <v>25740</v>
      </c>
      <c r="H303" s="1778"/>
      <c r="I303" s="1778"/>
      <c r="J303" s="1486"/>
      <c r="K303" s="12">
        <f>IFERROR(SUMIF(INTAKE!$A:$A,$T303,INTAKE!$P:$P),0)</f>
        <v>0</v>
      </c>
      <c r="L303" s="1670">
        <f t="shared" si="128"/>
        <v>25740</v>
      </c>
      <c r="M303" s="46"/>
      <c r="N303" s="176"/>
      <c r="O303" s="46"/>
      <c r="P303" s="748"/>
      <c r="Q303" s="795" t="s">
        <v>1911</v>
      </c>
      <c r="R303" s="785" t="str">
        <f>IFERROR(VLOOKUP($Q303,'391'!$P:$W,8,0),"")</f>
        <v/>
      </c>
      <c r="S303" s="796"/>
      <c r="T303" s="787" t="str">
        <f>$Q$306&amp;C303&amp;E303</f>
        <v>Feather Meal (USA)B24.246274</v>
      </c>
      <c r="U303" s="797"/>
      <c r="V303" s="797"/>
      <c r="W303" s="802">
        <f>IFERROR(VLOOKUP($Q303,'391'!$P:$AG,15,0),0)</f>
        <v>0</v>
      </c>
      <c r="X303" s="799">
        <f t="shared" si="129"/>
        <v>25740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customHeight="1" x14ac:dyDescent="0.25">
      <c r="A304" s="2030"/>
      <c r="B304" s="393" t="s">
        <v>88</v>
      </c>
      <c r="C304" s="1199" t="s">
        <v>1746</v>
      </c>
      <c r="D304" s="887" t="s">
        <v>10</v>
      </c>
      <c r="E304" s="1777">
        <v>46275</v>
      </c>
      <c r="F304" s="1674">
        <f t="shared" si="132"/>
        <v>1</v>
      </c>
      <c r="G304" s="1778">
        <v>25580</v>
      </c>
      <c r="H304" s="1778"/>
      <c r="I304" s="1778"/>
      <c r="J304" s="1486"/>
      <c r="K304" s="12">
        <f>IFERROR(SUMIF(INTAKE!$A:$A,$T304,INTAKE!$P:$P),0)</f>
        <v>0</v>
      </c>
      <c r="L304" s="1780">
        <f t="shared" ref="L304" si="133">+G304+H304+I304-J304-K304</f>
        <v>25580</v>
      </c>
      <c r="M304" s="1771"/>
      <c r="N304" s="1781"/>
      <c r="O304" s="1771"/>
      <c r="P304" s="1782"/>
      <c r="Q304" s="795"/>
      <c r="R304" s="785">
        <f>IFERROR(VLOOKUP($Q304,'391'!$P:$W,8,0),"")</f>
        <v>0</v>
      </c>
      <c r="S304" s="796"/>
      <c r="T304" s="787" t="str">
        <f>$Q$306&amp;C304&amp;E304</f>
        <v>Feather Meal (USA)B21.146275</v>
      </c>
      <c r="U304" s="797"/>
      <c r="V304" s="797"/>
      <c r="W304" s="802">
        <f>IFERROR(VLOOKUP($Q304,'391'!$P:$AG,15,0),0)</f>
        <v>0</v>
      </c>
      <c r="X304" s="799">
        <f t="shared" ref="X304" si="134">G304-W304</f>
        <v>25580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30"/>
      <c r="B305" s="393" t="s">
        <v>88</v>
      </c>
      <c r="C305" s="1199"/>
      <c r="D305" s="887" t="s">
        <v>10</v>
      </c>
      <c r="E305" s="1777">
        <v>46275</v>
      </c>
      <c r="F305" s="1674">
        <f t="shared" ref="F305:F313" si="135">$L$7-E305</f>
        <v>1</v>
      </c>
      <c r="G305" s="1778"/>
      <c r="H305" s="1778"/>
      <c r="I305" s="1778"/>
      <c r="J305" s="1486"/>
      <c r="K305" s="12">
        <f>IFERROR(SUMIF(INTAKE!$A:$A,$T305,INTAKE!$P:$P),0)</f>
        <v>0</v>
      </c>
      <c r="L305" s="1944">
        <f t="shared" si="128"/>
        <v>0</v>
      </c>
      <c r="M305" s="47"/>
      <c r="N305" s="1945"/>
      <c r="O305" s="47"/>
      <c r="P305" s="1946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30"/>
      <c r="B306" s="2041" t="s">
        <v>1554</v>
      </c>
      <c r="C306" s="2042"/>
      <c r="D306" s="1783"/>
      <c r="E306" s="1784"/>
      <c r="F306" s="1785"/>
      <c r="G306" s="1786">
        <v>100473</v>
      </c>
      <c r="H306" s="1786">
        <f t="shared" ref="H306:K306" si="136">+SUM(H301:H305)</f>
        <v>0</v>
      </c>
      <c r="I306" s="1786">
        <f t="shared" si="136"/>
        <v>0</v>
      </c>
      <c r="J306" s="1786">
        <f t="shared" si="136"/>
        <v>0</v>
      </c>
      <c r="K306" s="1786">
        <f t="shared" si="136"/>
        <v>0</v>
      </c>
      <c r="L306" s="1786">
        <f t="shared" ref="L306" si="137">+SUM(L301:L305)</f>
        <v>100473</v>
      </c>
      <c r="M306" s="2038"/>
      <c r="N306" s="2039"/>
      <c r="O306" s="2039"/>
      <c r="P306" s="2040"/>
      <c r="Q306" s="666" t="s">
        <v>1653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100473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30"/>
      <c r="B307" s="393" t="s">
        <v>1749</v>
      </c>
      <c r="C307" s="1199" t="s">
        <v>1746</v>
      </c>
      <c r="D307" s="887" t="s">
        <v>10</v>
      </c>
      <c r="E307" s="888">
        <v>46059</v>
      </c>
      <c r="F307" s="70">
        <f t="shared" ref="F307" si="138">$L$7-E307</f>
        <v>217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70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30"/>
      <c r="B308" s="393" t="s">
        <v>1579</v>
      </c>
      <c r="C308" s="114"/>
      <c r="D308" s="887" t="s">
        <v>10</v>
      </c>
      <c r="E308" s="888">
        <v>45780</v>
      </c>
      <c r="F308" s="70">
        <f t="shared" ref="F308" si="139">$L$7-E308</f>
        <v>496</v>
      </c>
      <c r="G308" s="300">
        <v>0</v>
      </c>
      <c r="H308" s="300"/>
      <c r="I308" s="18"/>
      <c r="J308" s="1338"/>
      <c r="K308" s="18"/>
      <c r="L308" s="1670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30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0">$L$7-E309</f>
        <v>486</v>
      </c>
      <c r="G309" s="300">
        <v>0</v>
      </c>
      <c r="H309" s="300"/>
      <c r="I309" s="18"/>
      <c r="J309" s="1338"/>
      <c r="K309" s="18"/>
      <c r="L309" s="1670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30"/>
      <c r="B310" s="393" t="s">
        <v>88</v>
      </c>
      <c r="C310" s="127"/>
      <c r="D310" s="887" t="s">
        <v>10</v>
      </c>
      <c r="E310" s="888">
        <v>45217</v>
      </c>
      <c r="F310" s="70">
        <f t="shared" si="135"/>
        <v>1059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30"/>
      <c r="B311" s="393" t="s">
        <v>88</v>
      </c>
      <c r="C311" s="127"/>
      <c r="D311" s="887" t="s">
        <v>10</v>
      </c>
      <c r="E311" s="888">
        <v>44890</v>
      </c>
      <c r="F311" s="70">
        <f t="shared" si="135"/>
        <v>1386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30"/>
      <c r="B312" s="2041" t="s">
        <v>1555</v>
      </c>
      <c r="C312" s="2042"/>
      <c r="D312" s="1783"/>
      <c r="E312" s="1784"/>
      <c r="F312" s="1785"/>
      <c r="G312" s="1786">
        <v>0</v>
      </c>
      <c r="H312" s="1786">
        <f t="shared" ref="H312:K312" si="141">+SUM(H307:H311)</f>
        <v>0</v>
      </c>
      <c r="I312" s="1786">
        <f t="shared" si="141"/>
        <v>0</v>
      </c>
      <c r="J312" s="1786">
        <f t="shared" si="141"/>
        <v>0</v>
      </c>
      <c r="K312" s="1786">
        <f t="shared" si="141"/>
        <v>0</v>
      </c>
      <c r="L312" s="1786">
        <f>+SUM(L307:L311)</f>
        <v>0</v>
      </c>
      <c r="M312" s="2038"/>
      <c r="N312" s="2039"/>
      <c r="O312" s="2039"/>
      <c r="P312" s="2040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30"/>
      <c r="B313" s="923" t="s">
        <v>1974</v>
      </c>
      <c r="C313" s="138" t="s">
        <v>1341</v>
      </c>
      <c r="D313" s="863" t="s">
        <v>10</v>
      </c>
      <c r="E313" s="886">
        <v>46253</v>
      </c>
      <c r="F313" s="39">
        <f t="shared" si="135"/>
        <v>23</v>
      </c>
      <c r="G313" s="28">
        <v>25207</v>
      </c>
      <c r="H313" s="28"/>
      <c r="I313" s="37">
        <f>SUM(K301:K305)+K307</f>
        <v>0</v>
      </c>
      <c r="J313" s="1295">
        <f>usage!I34</f>
        <v>3985</v>
      </c>
      <c r="K313" s="1846"/>
      <c r="L313" s="531">
        <f t="shared" si="128"/>
        <v>21222</v>
      </c>
      <c r="M313" s="40"/>
      <c r="N313" s="84"/>
      <c r="O313" s="40"/>
      <c r="P313" s="736"/>
      <c r="Q313" s="666" t="s">
        <v>1666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25207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27" t="s">
        <v>110</v>
      </c>
      <c r="B314" s="2028"/>
      <c r="C314" s="2043"/>
      <c r="D314" s="2044"/>
      <c r="E314" s="2044"/>
      <c r="F314" s="2044"/>
      <c r="G314" s="1296">
        <v>125680</v>
      </c>
      <c r="H314" s="1296">
        <f t="shared" ref="H314:L314" si="142">+H306+H312+H313</f>
        <v>0</v>
      </c>
      <c r="I314" s="1296">
        <f t="shared" si="142"/>
        <v>0</v>
      </c>
      <c r="J314" s="1296">
        <f>SUM(J301:J313)</f>
        <v>3985</v>
      </c>
      <c r="K314" s="1296">
        <f t="shared" si="142"/>
        <v>0</v>
      </c>
      <c r="L314" s="1296">
        <f t="shared" si="142"/>
        <v>121695</v>
      </c>
      <c r="M314" s="59">
        <f>IFERROR((R314/$S$2),"")</f>
        <v>3358</v>
      </c>
      <c r="N314" s="854">
        <f>IFERROR(L314/M314,0)</f>
        <v>36.240321620011912</v>
      </c>
      <c r="O314" s="59">
        <f>IFERROR(SUMIF(ETM!$A:$A,$Q314,ETM!$E:$E),"")</f>
        <v>2544</v>
      </c>
      <c r="P314" s="880">
        <f>IFERROR(L314/O314,0)</f>
        <v>47.836084905660378</v>
      </c>
      <c r="Q314" s="795" t="s">
        <v>820</v>
      </c>
      <c r="R314" s="785">
        <f>IFERROR(VLOOKUP($Q314,'391'!$P:$W,8,0),"")</f>
        <v>15111</v>
      </c>
      <c r="S314" s="796"/>
      <c r="T314" s="797"/>
      <c r="U314" s="797"/>
      <c r="V314" s="797"/>
      <c r="W314" s="802">
        <f>IFERROR(VLOOKUP($Q314,'391'!$P:$AG,15,0),0)</f>
        <v>83935</v>
      </c>
      <c r="X314" s="799">
        <f t="shared" si="129"/>
        <v>41745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71" t="str">
        <f>IF(L318=0,"",MAX($A$16:$A$313)+1)</f>
        <v/>
      </c>
      <c r="B315" s="2051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1434</v>
      </c>
      <c r="G315" s="300">
        <v>0</v>
      </c>
      <c r="H315" s="18"/>
      <c r="I315" s="18"/>
      <c r="J315" s="1338"/>
      <c r="K315" s="18"/>
      <c r="L315" s="531">
        <f t="shared" ref="L315:L340" si="143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86"/>
      <c r="B316" s="2120"/>
      <c r="C316" s="127" t="s">
        <v>324</v>
      </c>
      <c r="D316" s="887" t="s">
        <v>10</v>
      </c>
      <c r="E316" s="888">
        <v>45001</v>
      </c>
      <c r="F316" s="70">
        <f>$L$7-E316</f>
        <v>1275</v>
      </c>
      <c r="G316" s="300">
        <v>0</v>
      </c>
      <c r="H316" s="18"/>
      <c r="I316" s="18"/>
      <c r="J316" s="1338"/>
      <c r="K316" s="18"/>
      <c r="L316" s="531">
        <f t="shared" si="143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072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1275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3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27" t="s">
        <v>1357</v>
      </c>
      <c r="B318" s="2028"/>
      <c r="C318" s="2043"/>
      <c r="D318" s="2044"/>
      <c r="E318" s="2044"/>
      <c r="F318" s="2044"/>
      <c r="G318" s="1296">
        <v>0</v>
      </c>
      <c r="H318" s="1296">
        <f t="shared" ref="H318:K318" si="144">+SUM(H315:H317)</f>
        <v>0</v>
      </c>
      <c r="I318" s="1296">
        <f t="shared" si="144"/>
        <v>0</v>
      </c>
      <c r="J318" s="1296">
        <f t="shared" si="144"/>
        <v>0</v>
      </c>
      <c r="K318" s="1296">
        <f t="shared" si="144"/>
        <v>0</v>
      </c>
      <c r="L318" s="531">
        <f t="shared" si="143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8" t="str">
        <f>IF(L322=0,"",MAX($A$16:A314)+1)</f>
        <v/>
      </c>
      <c r="B319" s="2066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4948</v>
      </c>
      <c r="G319" s="18">
        <v>0</v>
      </c>
      <c r="H319" s="1339"/>
      <c r="I319" s="36"/>
      <c r="J319" s="1294"/>
      <c r="K319" s="36"/>
      <c r="L319" s="531">
        <f t="shared" si="143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10"/>
      <c r="B320" s="2067"/>
      <c r="C320" s="115" t="s">
        <v>83</v>
      </c>
      <c r="D320" s="887" t="s">
        <v>10</v>
      </c>
      <c r="E320" s="888">
        <v>41418</v>
      </c>
      <c r="F320" s="70">
        <f>$L$7-E320</f>
        <v>4858</v>
      </c>
      <c r="G320" s="18">
        <v>0</v>
      </c>
      <c r="H320" s="1339"/>
      <c r="I320" s="36"/>
      <c r="J320" s="1294"/>
      <c r="K320" s="36"/>
      <c r="L320" s="531">
        <f t="shared" si="143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9"/>
      <c r="B321" s="2069"/>
      <c r="C321" s="171" t="s">
        <v>126</v>
      </c>
      <c r="D321" s="912" t="s">
        <v>10</v>
      </c>
      <c r="E321" s="913">
        <v>41328</v>
      </c>
      <c r="F321" s="911">
        <f>$L$7-E321</f>
        <v>4948</v>
      </c>
      <c r="G321" s="914">
        <v>0</v>
      </c>
      <c r="H321" s="1340"/>
      <c r="I321" s="914"/>
      <c r="J321" s="1341"/>
      <c r="K321" s="914"/>
      <c r="L321" s="531">
        <f t="shared" si="143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27" t="s">
        <v>951</v>
      </c>
      <c r="B322" s="2028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3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5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71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1915</v>
      </c>
      <c r="G323" s="300">
        <v>0</v>
      </c>
      <c r="H323" s="300"/>
      <c r="I323" s="300"/>
      <c r="J323" s="1300"/>
      <c r="K323" s="300"/>
      <c r="L323" s="531">
        <f t="shared" si="143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5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86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1924</v>
      </c>
      <c r="G324" s="300">
        <v>0</v>
      </c>
      <c r="H324" s="300"/>
      <c r="I324" s="300"/>
      <c r="J324" s="1300"/>
      <c r="K324" s="300"/>
      <c r="L324" s="531">
        <f t="shared" si="143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5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86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1915</v>
      </c>
      <c r="G325" s="300">
        <v>0</v>
      </c>
      <c r="H325" s="300"/>
      <c r="I325" s="300"/>
      <c r="J325" s="1300"/>
      <c r="K325" s="300"/>
      <c r="L325" s="531">
        <f t="shared" si="143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5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86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1915</v>
      </c>
      <c r="G326" s="300">
        <v>0</v>
      </c>
      <c r="H326" s="300"/>
      <c r="I326" s="300"/>
      <c r="J326" s="1300"/>
      <c r="K326" s="300"/>
      <c r="L326" s="531">
        <f t="shared" si="143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5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072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1915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3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5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27" t="s">
        <v>519</v>
      </c>
      <c r="B328" s="2028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3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5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30" t="str">
        <f>IF(L341=0,"",MAX($A$16:A328)+1)</f>
        <v/>
      </c>
      <c r="B329" s="393" t="s">
        <v>1542</v>
      </c>
      <c r="C329" s="114" t="s">
        <v>325</v>
      </c>
      <c r="D329" s="887" t="s">
        <v>10</v>
      </c>
      <c r="E329" s="888">
        <v>45681</v>
      </c>
      <c r="F329" s="70">
        <f t="shared" ref="F329" si="146">$L$7-E329</f>
        <v>595</v>
      </c>
      <c r="G329" s="300">
        <v>0</v>
      </c>
      <c r="H329" s="1345"/>
      <c r="I329" s="1345"/>
      <c r="J329" s="1346"/>
      <c r="K329" s="1347"/>
      <c r="L329" s="1670">
        <f t="shared" si="143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5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30"/>
      <c r="B330" s="2041" t="s">
        <v>1558</v>
      </c>
      <c r="C330" s="2042"/>
      <c r="D330" s="1783"/>
      <c r="E330" s="1784"/>
      <c r="F330" s="1785"/>
      <c r="G330" s="1786">
        <v>0</v>
      </c>
      <c r="H330" s="1786">
        <f t="shared" ref="H330:L330" si="147">+H329</f>
        <v>0</v>
      </c>
      <c r="I330" s="1786">
        <f t="shared" si="147"/>
        <v>0</v>
      </c>
      <c r="J330" s="1786">
        <f t="shared" si="147"/>
        <v>0</v>
      </c>
      <c r="K330" s="1786">
        <f t="shared" si="147"/>
        <v>0</v>
      </c>
      <c r="L330" s="1786">
        <f t="shared" si="147"/>
        <v>0</v>
      </c>
      <c r="M330" s="2038"/>
      <c r="N330" s="2039"/>
      <c r="O330" s="2039"/>
      <c r="P330" s="2040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5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30"/>
      <c r="B331" s="393" t="s">
        <v>1750</v>
      </c>
      <c r="C331" s="114"/>
      <c r="D331" s="887" t="s">
        <v>10</v>
      </c>
      <c r="E331" s="888">
        <v>46059</v>
      </c>
      <c r="F331" s="70">
        <f t="shared" ref="F331:F334" si="148">$L$7-E331</f>
        <v>217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3">
        <f t="shared" ref="L331:L336" si="149">+G331+H331+I331-J331-K331</f>
        <v>0</v>
      </c>
      <c r="M331" s="48"/>
      <c r="N331" s="163"/>
      <c r="O331" s="48"/>
      <c r="P331" s="738"/>
      <c r="Q331" s="666" t="s">
        <v>1704</v>
      </c>
      <c r="R331" s="785" t="str">
        <f>IFERROR(VLOOKUP($Q331,'391'!$P:$W,8,0),"")</f>
        <v/>
      </c>
      <c r="S331" s="796"/>
      <c r="T331" s="787" t="str">
        <f t="shared" ref="T331" si="150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5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30"/>
      <c r="B332" s="393" t="s">
        <v>1790</v>
      </c>
      <c r="C332" s="114"/>
      <c r="D332" s="887" t="s">
        <v>10</v>
      </c>
      <c r="E332" s="888">
        <v>46107</v>
      </c>
      <c r="F332" s="70">
        <f t="shared" si="148"/>
        <v>169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3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5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30"/>
      <c r="B333" s="393" t="s">
        <v>1791</v>
      </c>
      <c r="C333" s="114" t="s">
        <v>1613</v>
      </c>
      <c r="D333" s="887" t="s">
        <v>10</v>
      </c>
      <c r="E333" s="888">
        <v>46111</v>
      </c>
      <c r="F333" s="70">
        <f t="shared" si="148"/>
        <v>165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3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5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30"/>
      <c r="B334" s="393" t="s">
        <v>1797</v>
      </c>
      <c r="C334" s="114" t="s">
        <v>515</v>
      </c>
      <c r="D334" s="887" t="s">
        <v>10</v>
      </c>
      <c r="E334" s="888">
        <v>46114</v>
      </c>
      <c r="F334" s="70">
        <f t="shared" si="148"/>
        <v>162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3">
        <f t="shared" si="149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5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30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1">$L$7-E335</f>
        <v>162</v>
      </c>
      <c r="G335" s="64">
        <v>0</v>
      </c>
      <c r="H335" s="300"/>
      <c r="I335" s="300"/>
      <c r="J335" s="1300"/>
      <c r="K335" s="1347"/>
      <c r="L335" s="1670">
        <f t="shared" si="149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5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30"/>
      <c r="B336" s="393" t="s">
        <v>1717</v>
      </c>
      <c r="C336" s="114"/>
      <c r="D336" s="887" t="s">
        <v>10</v>
      </c>
      <c r="E336" s="888">
        <v>46017</v>
      </c>
      <c r="F336" s="70">
        <f t="shared" ref="F336:F340" si="152">$L$7-E336</f>
        <v>259</v>
      </c>
      <c r="G336" s="64">
        <v>0</v>
      </c>
      <c r="H336" s="300"/>
      <c r="I336" s="300"/>
      <c r="J336" s="1300"/>
      <c r="K336" s="1347"/>
      <c r="L336" s="1670">
        <f t="shared" si="149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5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30"/>
      <c r="B337" s="393" t="s">
        <v>1397</v>
      </c>
      <c r="C337" s="114"/>
      <c r="D337" s="887" t="s">
        <v>10</v>
      </c>
      <c r="E337" s="888">
        <v>45327</v>
      </c>
      <c r="F337" s="70">
        <f t="shared" si="152"/>
        <v>949</v>
      </c>
      <c r="G337" s="300">
        <v>0</v>
      </c>
      <c r="H337" s="300"/>
      <c r="I337" s="300"/>
      <c r="J337" s="1300"/>
      <c r="K337" s="306"/>
      <c r="L337" s="531">
        <f t="shared" si="143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5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30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2"/>
        <v>2029</v>
      </c>
      <c r="G338" s="300">
        <v>0</v>
      </c>
      <c r="H338" s="300"/>
      <c r="I338" s="300"/>
      <c r="J338" s="1300"/>
      <c r="K338" s="306"/>
      <c r="L338" s="531">
        <f t="shared" si="143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5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30"/>
      <c r="B339" s="2041" t="s">
        <v>1559</v>
      </c>
      <c r="C339" s="2042"/>
      <c r="D339" s="1783"/>
      <c r="E339" s="1784"/>
      <c r="F339" s="1785"/>
      <c r="G339" s="1786">
        <v>0</v>
      </c>
      <c r="H339" s="1786">
        <f t="shared" ref="H339:L339" si="153">+SUM(H331:H338)</f>
        <v>0</v>
      </c>
      <c r="I339" s="1786">
        <f t="shared" si="153"/>
        <v>0</v>
      </c>
      <c r="J339" s="1786">
        <f t="shared" si="153"/>
        <v>0</v>
      </c>
      <c r="K339" s="1786">
        <f t="shared" si="153"/>
        <v>0</v>
      </c>
      <c r="L339" s="1786">
        <f t="shared" si="153"/>
        <v>0</v>
      </c>
      <c r="M339" s="2038"/>
      <c r="N339" s="2039"/>
      <c r="O339" s="2039"/>
      <c r="P339" s="2040"/>
      <c r="Q339" s="795" t="s">
        <v>1692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5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30"/>
      <c r="B340" s="923" t="s">
        <v>1797</v>
      </c>
      <c r="C340" s="106" t="s">
        <v>1318</v>
      </c>
      <c r="D340" s="850" t="s">
        <v>10</v>
      </c>
      <c r="E340" s="851">
        <v>46114</v>
      </c>
      <c r="F340" s="39">
        <f t="shared" si="152"/>
        <v>162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3"/>
        <v>0</v>
      </c>
      <c r="M340" s="40"/>
      <c r="N340" s="84"/>
      <c r="O340" s="40"/>
      <c r="P340" s="736"/>
      <c r="Q340" s="666" t="s">
        <v>1619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5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27" t="s">
        <v>294</v>
      </c>
      <c r="B341" s="2028"/>
      <c r="C341" s="88"/>
      <c r="D341" s="864"/>
      <c r="E341" s="864"/>
      <c r="F341" s="865"/>
      <c r="G341" s="1296">
        <v>0</v>
      </c>
      <c r="H341" s="1296">
        <f t="shared" ref="H341:I341" si="154">+H340+H339+H330</f>
        <v>0</v>
      </c>
      <c r="I341" s="1296">
        <f t="shared" si="154"/>
        <v>0</v>
      </c>
      <c r="J341" s="1296">
        <f t="shared" ref="J341" si="155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1394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81">
        <f>IF(L377=0,"",MAX($A$16:A341)+1)</f>
        <v>19</v>
      </c>
      <c r="B342" s="394" t="s">
        <v>2216</v>
      </c>
      <c r="C342" s="139" t="s">
        <v>487</v>
      </c>
      <c r="D342" s="1949" t="s">
        <v>10</v>
      </c>
      <c r="E342" s="1950">
        <v>46272</v>
      </c>
      <c r="F342" s="1951">
        <f t="shared" ref="F342:F345" si="156">$L$7-E342</f>
        <v>4</v>
      </c>
      <c r="G342" s="311">
        <v>30980</v>
      </c>
      <c r="H342" s="1855"/>
      <c r="I342" s="1778"/>
      <c r="J342" s="1486"/>
      <c r="K342" s="12">
        <f>IFERROR(SUMIF(INTAKE!$A:$A,$T342,INTAKE!$P:$P),0)</f>
        <v>12392</v>
      </c>
      <c r="L342" s="1703">
        <f t="shared" ref="L342:L376" si="157">+G342+H342+I342-J342-K342</f>
        <v>18588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58">$Q$376&amp;C342&amp;E342</f>
        <v>Pork Meat Bone Meal (USA)B22.146272</v>
      </c>
      <c r="U342" s="787"/>
      <c r="V342" s="787"/>
      <c r="W342" s="802">
        <f>IFERROR(VLOOKUP($Q342,'391'!$P:$AG,15,0),0)</f>
        <v>0</v>
      </c>
      <c r="X342" s="799">
        <f t="shared" ref="X342:X390" si="159">G342-W342</f>
        <v>30980</v>
      </c>
      <c r="Y342" s="787"/>
      <c r="Z342" s="791"/>
      <c r="AA342" s="787"/>
      <c r="AB342" s="787"/>
      <c r="AC342" s="679"/>
    </row>
    <row r="343" spans="1:45" ht="30" customHeight="1" x14ac:dyDescent="0.25">
      <c r="A343" s="2078"/>
      <c r="B343" s="394" t="s">
        <v>2217</v>
      </c>
      <c r="C343" s="139" t="s">
        <v>330</v>
      </c>
      <c r="D343" s="1949" t="s">
        <v>10</v>
      </c>
      <c r="E343" s="1950">
        <v>46272</v>
      </c>
      <c r="F343" s="1951">
        <f t="shared" si="156"/>
        <v>4</v>
      </c>
      <c r="G343" s="311">
        <v>34880</v>
      </c>
      <c r="H343" s="1855"/>
      <c r="I343" s="1778"/>
      <c r="J343" s="1486"/>
      <c r="K343" s="12">
        <f>IFERROR(SUMIF(INTAKE!$A:$A,$T343,INTAKE!$P:$P),0)</f>
        <v>0</v>
      </c>
      <c r="L343" s="1703">
        <f t="shared" ref="L343:L345" si="160">+G343+H343+I343-J343-K343</f>
        <v>34880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58"/>
        <v>Pork Meat Bone Meal (USA)B22.246272</v>
      </c>
      <c r="U343" s="787"/>
      <c r="V343" s="787"/>
      <c r="W343" s="802">
        <f>IFERROR(VLOOKUP($Q343,'391'!$P:$AG,15,0),0)</f>
        <v>0</v>
      </c>
      <c r="X343" s="799">
        <f t="shared" ref="X343" si="161">G343-W343</f>
        <v>34880</v>
      </c>
      <c r="Y343" s="787"/>
      <c r="Z343" s="791"/>
      <c r="AA343" s="787"/>
      <c r="AB343" s="787"/>
      <c r="AC343" s="679"/>
    </row>
    <row r="344" spans="1:45" ht="30" customHeight="1" x14ac:dyDescent="0.25">
      <c r="A344" s="2078"/>
      <c r="B344" s="394" t="s">
        <v>2218</v>
      </c>
      <c r="C344" s="139" t="s">
        <v>2215</v>
      </c>
      <c r="D344" s="1949" t="s">
        <v>10</v>
      </c>
      <c r="E344" s="1950">
        <v>46272</v>
      </c>
      <c r="F344" s="1951">
        <f t="shared" si="156"/>
        <v>4</v>
      </c>
      <c r="G344" s="311">
        <v>30380</v>
      </c>
      <c r="H344" s="1855"/>
      <c r="I344" s="1778"/>
      <c r="J344" s="1486"/>
      <c r="K344" s="1779"/>
      <c r="L344" s="1703">
        <f t="shared" si="160"/>
        <v>30380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58"/>
        <v>Pork Meat Bone Meal (USA)B23.146272</v>
      </c>
      <c r="U344" s="787"/>
      <c r="V344" s="787"/>
      <c r="W344" s="802">
        <f>IFERROR(VLOOKUP($Q344,'391'!$P:$AG,15,0),0)</f>
        <v>0</v>
      </c>
      <c r="X344" s="799">
        <f t="shared" ref="X344" si="162">G344-W344</f>
        <v>30380</v>
      </c>
      <c r="Y344" s="787"/>
      <c r="Z344" s="791"/>
      <c r="AA344" s="787"/>
      <c r="AB344" s="787"/>
      <c r="AC344" s="679"/>
    </row>
    <row r="345" spans="1:45" ht="30" customHeight="1" x14ac:dyDescent="0.25">
      <c r="A345" s="2078"/>
      <c r="B345" s="394" t="s">
        <v>2223</v>
      </c>
      <c r="C345" s="139" t="s">
        <v>83</v>
      </c>
      <c r="D345" s="1949" t="s">
        <v>10</v>
      </c>
      <c r="E345" s="1950">
        <v>46273</v>
      </c>
      <c r="F345" s="1951">
        <f t="shared" si="156"/>
        <v>3</v>
      </c>
      <c r="G345" s="311">
        <v>28080</v>
      </c>
      <c r="H345" s="1855"/>
      <c r="I345" s="1778"/>
      <c r="J345" s="1486"/>
      <c r="K345" s="1779"/>
      <c r="L345" s="1703">
        <f t="shared" si="160"/>
        <v>28080</v>
      </c>
      <c r="M345" s="46"/>
      <c r="N345" s="1465"/>
      <c r="O345" s="147"/>
      <c r="P345" s="734"/>
      <c r="Q345" s="666" t="s">
        <v>1702</v>
      </c>
      <c r="R345" s="785" t="str">
        <f>IFERROR(VLOOKUP($Q345,'391'!$P:$W,8,0),"")</f>
        <v/>
      </c>
      <c r="T345" s="787" t="str">
        <f t="shared" si="158"/>
        <v>Pork Meat Bone Meal (USA)B23.246273</v>
      </c>
      <c r="U345" s="787"/>
      <c r="V345" s="787"/>
      <c r="W345" s="802">
        <f>IFERROR(VLOOKUP($Q345,'391'!$P:$AG,15,0),0)</f>
        <v>0</v>
      </c>
      <c r="X345" s="799">
        <f t="shared" si="159"/>
        <v>28080</v>
      </c>
      <c r="Y345" s="787"/>
      <c r="Z345" s="791"/>
      <c r="AA345" s="787"/>
      <c r="AB345" s="787"/>
      <c r="AC345" s="679"/>
    </row>
    <row r="346" spans="1:45" ht="30" customHeight="1" x14ac:dyDescent="0.25">
      <c r="A346" s="2078"/>
      <c r="B346" s="394" t="s">
        <v>1526</v>
      </c>
      <c r="C346" s="139" t="s">
        <v>515</v>
      </c>
      <c r="D346" s="1949" t="s">
        <v>10</v>
      </c>
      <c r="E346" s="1950">
        <v>46276</v>
      </c>
      <c r="F346" s="1951">
        <f t="shared" ref="F342:F346" si="163">$L$7-E346</f>
        <v>0</v>
      </c>
      <c r="G346" s="311"/>
      <c r="H346" s="1855">
        <v>29950</v>
      </c>
      <c r="I346" s="1778"/>
      <c r="J346" s="1486"/>
      <c r="K346" s="1779"/>
      <c r="L346" s="1703">
        <f>+G346+H346+I346-J346-K346</f>
        <v>29950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58"/>
        <v>Pork Meat Bone Meal (USA)B21.246276</v>
      </c>
      <c r="U346" s="787"/>
      <c r="V346" s="787"/>
      <c r="W346" s="802">
        <f>IFERROR(VLOOKUP($Q346,'391'!$P:$AG,15,0),0)</f>
        <v>0</v>
      </c>
      <c r="X346" s="799">
        <f t="shared" ref="X346:X349" si="164">G346-W346</f>
        <v>0</v>
      </c>
      <c r="Y346" s="787"/>
      <c r="Z346" s="791"/>
      <c r="AA346" s="787"/>
      <c r="AB346" s="787"/>
      <c r="AC346" s="679"/>
    </row>
    <row r="347" spans="1:45" ht="30" customHeight="1" x14ac:dyDescent="0.25">
      <c r="A347" s="2078"/>
      <c r="B347" s="394" t="s">
        <v>1526</v>
      </c>
      <c r="C347" s="139" t="s">
        <v>487</v>
      </c>
      <c r="D347" s="1949" t="s">
        <v>10</v>
      </c>
      <c r="E347" s="1950">
        <v>46276</v>
      </c>
      <c r="F347" s="1951">
        <f t="shared" ref="F347" si="165">$L$7-E347</f>
        <v>0</v>
      </c>
      <c r="G347" s="311">
        <v>0</v>
      </c>
      <c r="H347" s="1855">
        <v>28760</v>
      </c>
      <c r="I347" s="1778"/>
      <c r="J347" s="1486"/>
      <c r="K347" s="1779"/>
      <c r="L347" s="1703">
        <f>+G347+H347+I347-J347-K347</f>
        <v>28760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58"/>
        <v>Pork Meat Bone Meal (USA)B22.146276</v>
      </c>
      <c r="U347" s="787"/>
      <c r="V347" s="787"/>
      <c r="W347" s="802">
        <f>IFERROR(VLOOKUP($Q347,'391'!$P:$AG,15,0),0)</f>
        <v>0</v>
      </c>
      <c r="X347" s="799">
        <f t="shared" si="164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8"/>
      <c r="B348" s="394" t="s">
        <v>1526</v>
      </c>
      <c r="C348" s="139"/>
      <c r="D348" s="1949" t="s">
        <v>10</v>
      </c>
      <c r="E348" s="1950">
        <v>46231</v>
      </c>
      <c r="F348" s="1951">
        <f t="shared" ref="F348" si="166">$L$7-E348</f>
        <v>45</v>
      </c>
      <c r="G348" s="311">
        <v>0</v>
      </c>
      <c r="H348" s="1855"/>
      <c r="I348" s="1778"/>
      <c r="J348" s="1486"/>
      <c r="K348" s="1779"/>
      <c r="L348" s="1703">
        <f t="shared" ref="L348:L349" si="167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58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4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8"/>
      <c r="B349" s="394" t="s">
        <v>1526</v>
      </c>
      <c r="C349" s="139"/>
      <c r="D349" s="1949" t="s">
        <v>10</v>
      </c>
      <c r="E349" s="1950">
        <v>46211</v>
      </c>
      <c r="F349" s="1951">
        <f t="shared" ref="F349" si="168">$L$7-E349</f>
        <v>65</v>
      </c>
      <c r="G349" s="311">
        <v>0</v>
      </c>
      <c r="H349" s="1855"/>
      <c r="I349" s="1778"/>
      <c r="J349" s="1486"/>
      <c r="K349" s="1779"/>
      <c r="L349" s="1703">
        <f t="shared" si="167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58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4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8"/>
      <c r="B350" s="394" t="s">
        <v>1842</v>
      </c>
      <c r="C350" s="139"/>
      <c r="D350" s="1949" t="s">
        <v>10</v>
      </c>
      <c r="E350" s="1950">
        <v>46198</v>
      </c>
      <c r="F350" s="1951">
        <f t="shared" ref="F350" si="169">$L$7-E350</f>
        <v>78</v>
      </c>
      <c r="G350" s="311">
        <v>0</v>
      </c>
      <c r="H350" s="1855"/>
      <c r="I350" s="1778"/>
      <c r="J350" s="1486"/>
      <c r="K350" s="1779"/>
      <c r="L350" s="11">
        <f t="shared" si="157"/>
        <v>0</v>
      </c>
      <c r="M350" s="48"/>
      <c r="N350" s="249"/>
      <c r="O350" s="101"/>
      <c r="P350" s="1820"/>
      <c r="Q350" s="795"/>
      <c r="R350" s="785">
        <f>IFERROR(VLOOKUP($Q350,'391'!$P:$W,8,0),"")</f>
        <v>0</v>
      </c>
      <c r="T350" s="787" t="str">
        <f t="shared" si="158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59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8"/>
      <c r="B351" s="394" t="s">
        <v>242</v>
      </c>
      <c r="C351" s="139"/>
      <c r="D351" s="1949" t="s">
        <v>10</v>
      </c>
      <c r="E351" s="1950">
        <v>46198</v>
      </c>
      <c r="F351" s="1951">
        <f t="shared" ref="F351" si="170">$L$7-E351</f>
        <v>78</v>
      </c>
      <c r="G351" s="311">
        <v>0</v>
      </c>
      <c r="H351" s="1855"/>
      <c r="I351" s="1778"/>
      <c r="J351" s="1486"/>
      <c r="K351" s="1779"/>
      <c r="L351" s="1891">
        <f t="shared" si="157"/>
        <v>0</v>
      </c>
      <c r="M351" s="48"/>
      <c r="N351" s="249"/>
      <c r="O351" s="101"/>
      <c r="P351" s="1820"/>
      <c r="Q351" s="1819"/>
      <c r="T351" s="787" t="str">
        <f t="shared" si="158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8"/>
      <c r="B352" s="394" t="s">
        <v>242</v>
      </c>
      <c r="C352" s="139"/>
      <c r="D352" s="1949" t="s">
        <v>10</v>
      </c>
      <c r="E352" s="1950">
        <v>46177</v>
      </c>
      <c r="F352" s="1951">
        <f t="shared" ref="F352" si="171">$L$7-E352</f>
        <v>99</v>
      </c>
      <c r="G352" s="311">
        <v>0</v>
      </c>
      <c r="H352" s="1855"/>
      <c r="I352" s="1778"/>
      <c r="J352" s="1486"/>
      <c r="K352" s="1779"/>
      <c r="L352" s="1891">
        <f t="shared" si="157"/>
        <v>0</v>
      </c>
      <c r="M352" s="1487"/>
      <c r="N352" s="1908"/>
      <c r="O352" s="1280"/>
      <c r="P352" s="1281"/>
      <c r="Q352" s="1819"/>
      <c r="T352" s="787" t="str">
        <f t="shared" si="158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8"/>
      <c r="B353" s="394" t="s">
        <v>1834</v>
      </c>
      <c r="C353" s="139"/>
      <c r="D353" s="1949" t="s">
        <v>10</v>
      </c>
      <c r="E353" s="1950">
        <v>46170</v>
      </c>
      <c r="F353" s="1951">
        <f t="shared" ref="F353" si="172">$L$7-E353</f>
        <v>106</v>
      </c>
      <c r="G353" s="311">
        <v>0</v>
      </c>
      <c r="H353" s="1855"/>
      <c r="I353" s="1778"/>
      <c r="J353" s="1486"/>
      <c r="K353" s="1779"/>
      <c r="L353" s="1914">
        <f t="shared" si="157"/>
        <v>0</v>
      </c>
      <c r="M353" s="1867"/>
      <c r="N353" s="1915"/>
      <c r="O353" s="1916"/>
      <c r="P353" s="1861"/>
      <c r="Q353" s="1819"/>
      <c r="T353" s="787" t="str">
        <f t="shared" si="158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8"/>
      <c r="B354" s="394" t="s">
        <v>242</v>
      </c>
      <c r="C354" s="139"/>
      <c r="D354" s="1949" t="s">
        <v>10</v>
      </c>
      <c r="E354" s="1950">
        <v>46170</v>
      </c>
      <c r="F354" s="1951">
        <f t="shared" ref="F354" si="173">$L$7-E354</f>
        <v>106</v>
      </c>
      <c r="G354" s="311">
        <v>0</v>
      </c>
      <c r="H354" s="1855"/>
      <c r="I354" s="1778"/>
      <c r="J354" s="1486"/>
      <c r="K354" s="1779"/>
      <c r="L354" s="1914">
        <f t="shared" ref="L354:L357" si="174">+G354+H354+I354-J354-K354</f>
        <v>0</v>
      </c>
      <c r="M354" s="1867"/>
      <c r="N354" s="1915"/>
      <c r="O354" s="1916"/>
      <c r="P354" s="1861"/>
      <c r="Q354" s="1819"/>
      <c r="T354" s="787" t="str">
        <f t="shared" si="158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8"/>
      <c r="B355" s="394" t="s">
        <v>1526</v>
      </c>
      <c r="C355" s="139"/>
      <c r="D355" s="1949" t="s">
        <v>10</v>
      </c>
      <c r="E355" s="1950">
        <v>46136</v>
      </c>
      <c r="F355" s="1951">
        <f t="shared" ref="F355" si="175">$L$7-E355</f>
        <v>140</v>
      </c>
      <c r="G355" s="311">
        <v>0</v>
      </c>
      <c r="H355" s="311"/>
      <c r="I355" s="1855"/>
      <c r="J355" s="1912"/>
      <c r="K355" s="1913"/>
      <c r="L355" s="1923">
        <f t="shared" ref="L355:L356" si="176">+G355+H355+I355-J355-K355</f>
        <v>0</v>
      </c>
      <c r="M355" s="1771"/>
      <c r="N355" s="1924"/>
      <c r="O355" s="1925"/>
      <c r="P355" s="1772"/>
      <c r="Q355" s="1819"/>
      <c r="T355" s="787" t="str">
        <f t="shared" si="158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8"/>
      <c r="B356" s="394" t="s">
        <v>1526</v>
      </c>
      <c r="C356" s="139"/>
      <c r="D356" s="1949" t="s">
        <v>10</v>
      </c>
      <c r="E356" s="1950">
        <v>46136</v>
      </c>
      <c r="F356" s="1951">
        <f t="shared" ref="F356" si="177">$L$7-E356</f>
        <v>140</v>
      </c>
      <c r="G356" s="311">
        <v>0</v>
      </c>
      <c r="H356" s="311"/>
      <c r="I356" s="1855"/>
      <c r="J356" s="1912"/>
      <c r="K356" s="1913"/>
      <c r="L356" s="1914">
        <f t="shared" si="176"/>
        <v>0</v>
      </c>
      <c r="M356" s="1867"/>
      <c r="N356" s="1915"/>
      <c r="O356" s="1916"/>
      <c r="P356" s="1861"/>
      <c r="Q356" s="1819"/>
      <c r="T356" s="787" t="str">
        <f t="shared" si="158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8"/>
      <c r="B357" s="394" t="s">
        <v>1526</v>
      </c>
      <c r="C357" s="1880"/>
      <c r="D357" s="866" t="s">
        <v>10</v>
      </c>
      <c r="E357" s="867">
        <v>46066</v>
      </c>
      <c r="F357" s="1881">
        <f t="shared" ref="F357" si="178">$L$7-E357</f>
        <v>210</v>
      </c>
      <c r="G357" s="1855">
        <v>0</v>
      </c>
      <c r="H357" s="1855"/>
      <c r="I357" s="1855"/>
      <c r="J357" s="1912"/>
      <c r="K357" s="1913"/>
      <c r="L357" s="1914">
        <f t="shared" si="174"/>
        <v>0</v>
      </c>
      <c r="M357" s="1867"/>
      <c r="N357" s="1915"/>
      <c r="O357" s="1916"/>
      <c r="P357" s="1861"/>
      <c r="Q357" s="1819"/>
      <c r="T357" s="787" t="str">
        <f t="shared" si="158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8"/>
      <c r="B358" s="394" t="s">
        <v>1526</v>
      </c>
      <c r="C358" s="139"/>
      <c r="D358" s="1115" t="s">
        <v>10</v>
      </c>
      <c r="E358" s="1926">
        <v>46066</v>
      </c>
      <c r="F358" s="1927">
        <f t="shared" ref="F358" si="179">$L$7-E358</f>
        <v>210</v>
      </c>
      <c r="G358" s="1928">
        <v>0</v>
      </c>
      <c r="H358" s="311"/>
      <c r="I358" s="1928"/>
      <c r="J358" s="1929"/>
      <c r="K358" s="1930"/>
      <c r="L358" s="1909">
        <f t="shared" si="157"/>
        <v>0</v>
      </c>
      <c r="M358" s="49"/>
      <c r="N358" s="1910"/>
      <c r="O358" s="381"/>
      <c r="P358" s="1911"/>
      <c r="Q358" s="1819"/>
      <c r="T358" s="787" t="str">
        <f t="shared" si="158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8"/>
      <c r="B359" s="2041" t="s">
        <v>1556</v>
      </c>
      <c r="C359" s="2042"/>
      <c r="D359" s="1783"/>
      <c r="E359" s="1784"/>
      <c r="F359" s="1785"/>
      <c r="G359" s="1786">
        <v>124320</v>
      </c>
      <c r="H359" s="1786">
        <f t="shared" ref="H359:L359" si="180">+SUM(H342:H358)</f>
        <v>58710</v>
      </c>
      <c r="I359" s="1786">
        <f t="shared" si="180"/>
        <v>0</v>
      </c>
      <c r="J359" s="1786">
        <f t="shared" si="180"/>
        <v>0</v>
      </c>
      <c r="K359" s="1786">
        <f t="shared" si="180"/>
        <v>12392</v>
      </c>
      <c r="L359" s="1892">
        <f t="shared" si="180"/>
        <v>170638</v>
      </c>
      <c r="M359" s="2038"/>
      <c r="N359" s="2039"/>
      <c r="O359" s="2039"/>
      <c r="P359" s="2040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59"/>
        <v>124320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8"/>
      <c r="B360" s="394" t="s">
        <v>1901</v>
      </c>
      <c r="C360" s="139"/>
      <c r="D360" s="1949" t="s">
        <v>10</v>
      </c>
      <c r="E360" s="1950">
        <v>46233</v>
      </c>
      <c r="F360" s="1951">
        <f t="shared" ref="F360" si="181">$L$7-E360</f>
        <v>43</v>
      </c>
      <c r="G360" s="311">
        <v>0</v>
      </c>
      <c r="H360" s="1855"/>
      <c r="I360" s="18"/>
      <c r="J360" s="1338"/>
      <c r="K360" s="12">
        <f>IFERROR(SUMIF(INTAKE!$A:$A,$T360,INTAKE!$P:$P),0)</f>
        <v>0</v>
      </c>
      <c r="L360" s="1703">
        <f t="shared" si="157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59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8"/>
      <c r="B361" s="394" t="s">
        <v>1605</v>
      </c>
      <c r="C361" s="225" t="s">
        <v>83</v>
      </c>
      <c r="D361" s="916" t="s">
        <v>10</v>
      </c>
      <c r="E361" s="917">
        <v>45826</v>
      </c>
      <c r="F361" s="918">
        <f t="shared" ref="F361" si="182">$L$7-E361</f>
        <v>450</v>
      </c>
      <c r="G361" s="300">
        <v>0</v>
      </c>
      <c r="H361" s="18"/>
      <c r="I361" s="18"/>
      <c r="J361" s="1338"/>
      <c r="K361" s="1345"/>
      <c r="L361" s="1703">
        <f t="shared" si="157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59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8"/>
      <c r="B362" s="394" t="s">
        <v>1605</v>
      </c>
      <c r="C362" s="225" t="s">
        <v>83</v>
      </c>
      <c r="D362" s="916" t="s">
        <v>10</v>
      </c>
      <c r="E362" s="917">
        <v>45826</v>
      </c>
      <c r="F362" s="918">
        <f t="shared" ref="F362" si="183">$L$7-E362</f>
        <v>450</v>
      </c>
      <c r="G362" s="300">
        <v>0</v>
      </c>
      <c r="H362" s="18"/>
      <c r="I362" s="18"/>
      <c r="J362" s="1338"/>
      <c r="K362" s="1345"/>
      <c r="L362" s="1703">
        <f t="shared" si="157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59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8"/>
      <c r="B363" s="394" t="s">
        <v>1526</v>
      </c>
      <c r="C363" s="225" t="s">
        <v>487</v>
      </c>
      <c r="D363" s="916" t="s">
        <v>10</v>
      </c>
      <c r="E363" s="917">
        <v>45825</v>
      </c>
      <c r="F363" s="918">
        <f t="shared" ref="F363:F364" si="184">$L$7-E363</f>
        <v>451</v>
      </c>
      <c r="G363" s="300">
        <v>0</v>
      </c>
      <c r="H363" s="18"/>
      <c r="I363" s="18"/>
      <c r="J363" s="1338"/>
      <c r="K363" s="300"/>
      <c r="L363" s="1703">
        <f t="shared" si="157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59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8"/>
      <c r="B364" s="394" t="s">
        <v>1526</v>
      </c>
      <c r="C364" s="225" t="s">
        <v>83</v>
      </c>
      <c r="D364" s="916" t="s">
        <v>10</v>
      </c>
      <c r="E364" s="917">
        <v>45826</v>
      </c>
      <c r="F364" s="918">
        <f t="shared" si="184"/>
        <v>450</v>
      </c>
      <c r="G364" s="300">
        <v>0</v>
      </c>
      <c r="H364" s="18"/>
      <c r="I364" s="18"/>
      <c r="J364" s="1338"/>
      <c r="K364" s="300"/>
      <c r="L364" s="1703">
        <f t="shared" si="157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59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8"/>
      <c r="B365" s="394" t="s">
        <v>1526</v>
      </c>
      <c r="C365" s="225" t="s">
        <v>83</v>
      </c>
      <c r="D365" s="916" t="s">
        <v>10</v>
      </c>
      <c r="E365" s="917">
        <v>45826</v>
      </c>
      <c r="F365" s="918">
        <f t="shared" ref="F365" si="185">$L$7-E365</f>
        <v>450</v>
      </c>
      <c r="G365" s="300">
        <v>0</v>
      </c>
      <c r="H365" s="18"/>
      <c r="I365" s="18"/>
      <c r="J365" s="1338"/>
      <c r="K365" s="300"/>
      <c r="L365" s="1703">
        <f t="shared" si="157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59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8"/>
      <c r="B366" s="394" t="s">
        <v>1526</v>
      </c>
      <c r="C366" s="225"/>
      <c r="D366" s="916" t="s">
        <v>10</v>
      </c>
      <c r="E366" s="917">
        <v>45730</v>
      </c>
      <c r="F366" s="918">
        <f t="shared" ref="F366" si="186">$L$7-E366</f>
        <v>546</v>
      </c>
      <c r="G366" s="300">
        <v>0</v>
      </c>
      <c r="H366" s="18"/>
      <c r="I366" s="18"/>
      <c r="J366" s="1338"/>
      <c r="K366" s="300"/>
      <c r="L366" s="1703">
        <f t="shared" si="157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59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8"/>
      <c r="B367" s="394" t="s">
        <v>1526</v>
      </c>
      <c r="C367" s="225" t="s">
        <v>330</v>
      </c>
      <c r="D367" s="916" t="s">
        <v>10</v>
      </c>
      <c r="E367" s="917">
        <v>45730</v>
      </c>
      <c r="F367" s="918">
        <f t="shared" ref="F367:F370" si="187">$L$7-E367</f>
        <v>546</v>
      </c>
      <c r="G367" s="300">
        <v>0</v>
      </c>
      <c r="H367" s="18"/>
      <c r="I367" s="18"/>
      <c r="J367" s="1338"/>
      <c r="K367" s="1345"/>
      <c r="L367" s="1703">
        <f t="shared" si="157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59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8"/>
      <c r="B368" s="394" t="s">
        <v>1526</v>
      </c>
      <c r="C368" s="225"/>
      <c r="D368" s="916" t="s">
        <v>10</v>
      </c>
      <c r="E368" s="917">
        <v>45679</v>
      </c>
      <c r="F368" s="918">
        <f t="shared" si="187"/>
        <v>597</v>
      </c>
      <c r="G368" s="300">
        <v>0</v>
      </c>
      <c r="H368" s="18"/>
      <c r="I368" s="18"/>
      <c r="J368" s="1338"/>
      <c r="K368" s="300"/>
      <c r="L368" s="1703">
        <f t="shared" si="157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59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8"/>
      <c r="B369" s="394" t="s">
        <v>1526</v>
      </c>
      <c r="C369" s="225"/>
      <c r="D369" s="916" t="s">
        <v>10</v>
      </c>
      <c r="E369" s="917">
        <v>45679</v>
      </c>
      <c r="F369" s="918">
        <f t="shared" si="187"/>
        <v>597</v>
      </c>
      <c r="G369" s="300">
        <v>0</v>
      </c>
      <c r="H369" s="18"/>
      <c r="I369" s="18"/>
      <c r="J369" s="1338"/>
      <c r="K369" s="300"/>
      <c r="L369" s="1703">
        <f t="shared" ref="L369:L370" si="188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89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8"/>
      <c r="B370" s="394" t="s">
        <v>1526</v>
      </c>
      <c r="C370" s="225" t="s">
        <v>515</v>
      </c>
      <c r="D370" s="916" t="s">
        <v>10</v>
      </c>
      <c r="E370" s="917">
        <v>45622</v>
      </c>
      <c r="F370" s="918">
        <f t="shared" si="187"/>
        <v>654</v>
      </c>
      <c r="G370" s="300">
        <v>0</v>
      </c>
      <c r="H370" s="18"/>
      <c r="I370" s="18"/>
      <c r="J370" s="1338"/>
      <c r="K370" s="300"/>
      <c r="L370" s="1703">
        <f t="shared" si="188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89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8"/>
      <c r="B371" s="394" t="s">
        <v>1526</v>
      </c>
      <c r="C371" s="225"/>
      <c r="D371" s="916" t="s">
        <v>10</v>
      </c>
      <c r="E371" s="917">
        <v>45679</v>
      </c>
      <c r="F371" s="918">
        <f t="shared" ref="F371" si="190">$L$7-E371</f>
        <v>597</v>
      </c>
      <c r="G371" s="300">
        <v>0</v>
      </c>
      <c r="H371" s="18"/>
      <c r="I371" s="18"/>
      <c r="J371" s="1338"/>
      <c r="K371" s="300"/>
      <c r="L371" s="1703">
        <f t="shared" si="157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59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8"/>
      <c r="B372" s="394" t="s">
        <v>1526</v>
      </c>
      <c r="C372" s="225" t="s">
        <v>515</v>
      </c>
      <c r="D372" s="916" t="s">
        <v>10</v>
      </c>
      <c r="E372" s="917">
        <v>45622</v>
      </c>
      <c r="F372" s="918">
        <f t="shared" ref="F372:F373" si="191">$L$7-E372</f>
        <v>654</v>
      </c>
      <c r="G372" s="300">
        <v>0</v>
      </c>
      <c r="H372" s="18"/>
      <c r="I372" s="18"/>
      <c r="J372" s="1338"/>
      <c r="K372" s="300"/>
      <c r="L372" s="1703">
        <f t="shared" si="157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59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8"/>
      <c r="B373" s="394" t="s">
        <v>1526</v>
      </c>
      <c r="C373" s="225" t="s">
        <v>487</v>
      </c>
      <c r="D373" s="916" t="s">
        <v>10</v>
      </c>
      <c r="E373" s="917">
        <v>45622</v>
      </c>
      <c r="F373" s="918">
        <f t="shared" si="191"/>
        <v>654</v>
      </c>
      <c r="G373" s="300">
        <v>0</v>
      </c>
      <c r="H373" s="18"/>
      <c r="I373" s="18"/>
      <c r="J373" s="1338"/>
      <c r="K373" s="300"/>
      <c r="L373" s="1703">
        <f t="shared" ref="L373:L374" si="192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3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8"/>
      <c r="B374" s="394" t="s">
        <v>1511</v>
      </c>
      <c r="C374" s="225" t="s">
        <v>1509</v>
      </c>
      <c r="D374" s="916" t="s">
        <v>10</v>
      </c>
      <c r="E374" s="917">
        <v>45591</v>
      </c>
      <c r="F374" s="918">
        <f t="shared" ref="F374" si="194">$L$7-E374</f>
        <v>685</v>
      </c>
      <c r="G374" s="300">
        <v>0</v>
      </c>
      <c r="H374" s="18"/>
      <c r="I374" s="18"/>
      <c r="J374" s="1338"/>
      <c r="K374" s="300"/>
      <c r="L374" s="1703">
        <f t="shared" si="192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3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8"/>
      <c r="B375" s="2041" t="s">
        <v>1557</v>
      </c>
      <c r="C375" s="2042"/>
      <c r="D375" s="1783"/>
      <c r="E375" s="1784"/>
      <c r="F375" s="1785"/>
      <c r="G375" s="1786">
        <v>0</v>
      </c>
      <c r="H375" s="1786">
        <f t="shared" ref="H375:K375" si="195">+SUM(H360:H374)</f>
        <v>0</v>
      </c>
      <c r="I375" s="1786">
        <f t="shared" si="195"/>
        <v>0</v>
      </c>
      <c r="J375" s="1786">
        <f t="shared" si="195"/>
        <v>0</v>
      </c>
      <c r="K375" s="1786">
        <f t="shared" si="195"/>
        <v>0</v>
      </c>
      <c r="L375" s="1892">
        <f>+SUM(L360:L374)</f>
        <v>0</v>
      </c>
      <c r="M375" s="2038"/>
      <c r="N375" s="2039"/>
      <c r="O375" s="2039"/>
      <c r="P375" s="2040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3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8"/>
      <c r="B376" s="923" t="s">
        <v>1969</v>
      </c>
      <c r="C376" s="106" t="s">
        <v>343</v>
      </c>
      <c r="D376" s="1706" t="s">
        <v>10</v>
      </c>
      <c r="E376" s="1707">
        <v>46263</v>
      </c>
      <c r="F376" s="918">
        <f t="shared" ref="F376" si="196">$L$7-E376</f>
        <v>13</v>
      </c>
      <c r="G376" s="296">
        <v>5190</v>
      </c>
      <c r="H376" s="919"/>
      <c r="I376" s="28">
        <f>+K375+K359</f>
        <v>12392</v>
      </c>
      <c r="J376" s="1307">
        <f>+usage!I37</f>
        <v>15630</v>
      </c>
      <c r="K376" s="919"/>
      <c r="L376" s="1534">
        <f t="shared" si="157"/>
        <v>1952</v>
      </c>
      <c r="M376" s="40"/>
      <c r="N376" s="84"/>
      <c r="O376" s="40"/>
      <c r="P376" s="736"/>
      <c r="Q376" s="666" t="s">
        <v>1589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59"/>
        <v>5190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27" t="s">
        <v>111</v>
      </c>
      <c r="B377" s="2028"/>
      <c r="C377" s="1815"/>
      <c r="D377" s="921"/>
      <c r="E377" s="921"/>
      <c r="F377" s="865"/>
      <c r="G377" s="1296">
        <v>129510</v>
      </c>
      <c r="H377" s="1296">
        <f t="shared" ref="H377" si="197">+H375+H359+H376</f>
        <v>58710</v>
      </c>
      <c r="I377" s="1296">
        <f>+I375+I359+I376</f>
        <v>12392</v>
      </c>
      <c r="J377" s="1296">
        <f>+SUM(J342:J376)</f>
        <v>15630</v>
      </c>
      <c r="K377" s="1296">
        <f>+K376+K375+K359</f>
        <v>12392</v>
      </c>
      <c r="L377" s="1296">
        <f>+L376+L375+L359</f>
        <v>172590</v>
      </c>
      <c r="M377" s="59">
        <f>IFERROR((R377/$S$2),"")</f>
        <v>14284.444444444445</v>
      </c>
      <c r="N377" s="854">
        <f>IFERROR((L377/M377),"")</f>
        <v>12.082373988799004</v>
      </c>
      <c r="O377" s="59">
        <f>IFERROR(SUMIF(ETM!$A:$A,$Q377,ETM!$E:$E),"")</f>
        <v>11825.333333333332</v>
      </c>
      <c r="P377" s="880">
        <f>IFERROR(L377/O377,0)</f>
        <v>14.594937422482806</v>
      </c>
      <c r="Q377" s="795" t="s">
        <v>1202</v>
      </c>
      <c r="R377" s="785">
        <f>IFERROR(VLOOKUP($Q377,'391'!$P:$W,8,0),"")</f>
        <v>64280</v>
      </c>
      <c r="S377" s="796"/>
      <c r="T377" s="797"/>
      <c r="U377" s="797"/>
      <c r="V377" s="797"/>
      <c r="W377" s="802">
        <f>IFERROR(VLOOKUP($Q377,'391'!$P:$AG,15,0),0)</f>
        <v>68624</v>
      </c>
      <c r="X377" s="799">
        <f t="shared" si="159"/>
        <v>60886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26" t="s">
        <v>8</v>
      </c>
      <c r="B378" s="2127"/>
      <c r="C378" s="1203"/>
      <c r="D378" s="869"/>
      <c r="E378" s="922"/>
      <c r="F378" s="1048"/>
      <c r="G378" s="1818">
        <f t="shared" ref="G378:L378" si="198">SUM(G225,G229,G233,G239,G246,G263,G268,G278,,G286,G300,G314,G341,G377,G328,G318,G251,G293)</f>
        <v>7571770</v>
      </c>
      <c r="H378" s="1818">
        <f t="shared" si="198"/>
        <v>275370</v>
      </c>
      <c r="I378" s="1818">
        <f t="shared" si="198"/>
        <v>1017282</v>
      </c>
      <c r="J378" s="1818">
        <f t="shared" si="198"/>
        <v>619418</v>
      </c>
      <c r="K378" s="1818">
        <f t="shared" si="198"/>
        <v>989392</v>
      </c>
      <c r="L378" s="1818">
        <f t="shared" si="198"/>
        <v>7255612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59"/>
        <v>7571770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05" t="str">
        <f>IF(L391=0,"",MAX($A$16:A377)+1)</f>
        <v/>
      </c>
      <c r="B379" s="2051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199">$L$7-E379</f>
        <v>1527</v>
      </c>
      <c r="G379" s="18">
        <v>0</v>
      </c>
      <c r="H379" s="1984"/>
      <c r="I379" s="312"/>
      <c r="J379" s="1322"/>
      <c r="K379" s="312"/>
      <c r="L379" s="531">
        <f t="shared" ref="L379:L422" si="200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59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06"/>
      <c r="B380" s="2073"/>
      <c r="C380" s="110" t="s">
        <v>151</v>
      </c>
      <c r="D380" s="881" t="s">
        <v>10</v>
      </c>
      <c r="E380" s="888">
        <v>44750</v>
      </c>
      <c r="F380" s="72">
        <f t="shared" si="199"/>
        <v>1526</v>
      </c>
      <c r="G380" s="18">
        <v>0</v>
      </c>
      <c r="H380" s="1984"/>
      <c r="I380" s="312"/>
      <c r="J380" s="1322"/>
      <c r="K380" s="312"/>
      <c r="L380" s="531">
        <f t="shared" si="200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59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06"/>
      <c r="B381" s="2073"/>
      <c r="C381" s="110" t="s">
        <v>506</v>
      </c>
      <c r="D381" s="881" t="s">
        <v>10</v>
      </c>
      <c r="E381" s="888">
        <v>44750</v>
      </c>
      <c r="F381" s="72">
        <f t="shared" si="199"/>
        <v>1526</v>
      </c>
      <c r="G381" s="18">
        <v>0</v>
      </c>
      <c r="H381" s="1984"/>
      <c r="I381" s="312"/>
      <c r="J381" s="1322"/>
      <c r="K381" s="312"/>
      <c r="L381" s="531">
        <f t="shared" si="200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59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06"/>
      <c r="B382" s="2073"/>
      <c r="C382" s="110" t="s">
        <v>360</v>
      </c>
      <c r="D382" s="881" t="s">
        <v>10</v>
      </c>
      <c r="E382" s="888">
        <v>44676</v>
      </c>
      <c r="F382" s="72">
        <f t="shared" si="199"/>
        <v>1600</v>
      </c>
      <c r="G382" s="18">
        <v>0</v>
      </c>
      <c r="H382" s="1984"/>
      <c r="I382" s="312"/>
      <c r="J382" s="1322"/>
      <c r="K382" s="312"/>
      <c r="L382" s="531">
        <f t="shared" si="200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59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06"/>
      <c r="B383" s="2073"/>
      <c r="C383" s="110" t="s">
        <v>360</v>
      </c>
      <c r="D383" s="881" t="s">
        <v>10</v>
      </c>
      <c r="E383" s="888">
        <v>44676</v>
      </c>
      <c r="F383" s="72">
        <f t="shared" si="199"/>
        <v>1600</v>
      </c>
      <c r="G383" s="18">
        <v>0</v>
      </c>
      <c r="H383" s="1984"/>
      <c r="I383" s="312"/>
      <c r="J383" s="1322"/>
      <c r="K383" s="312"/>
      <c r="L383" s="531">
        <f t="shared" si="200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59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06"/>
      <c r="B384" s="2073"/>
      <c r="C384" s="110"/>
      <c r="D384" s="881" t="s">
        <v>10</v>
      </c>
      <c r="E384" s="888">
        <v>44676</v>
      </c>
      <c r="F384" s="72">
        <f t="shared" si="199"/>
        <v>1600</v>
      </c>
      <c r="G384" s="18">
        <v>0</v>
      </c>
      <c r="H384" s="1984"/>
      <c r="I384" s="312"/>
      <c r="J384" s="1322"/>
      <c r="K384" s="312"/>
      <c r="L384" s="531">
        <f t="shared" si="200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59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06"/>
      <c r="B385" s="2073"/>
      <c r="C385" s="110"/>
      <c r="D385" s="881" t="s">
        <v>10</v>
      </c>
      <c r="E385" s="888">
        <v>44676</v>
      </c>
      <c r="F385" s="72">
        <f t="shared" si="199"/>
        <v>1600</v>
      </c>
      <c r="G385" s="18">
        <v>0</v>
      </c>
      <c r="H385" s="1984"/>
      <c r="I385" s="312"/>
      <c r="J385" s="1322"/>
      <c r="K385" s="312"/>
      <c r="L385" s="531">
        <f t="shared" si="200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59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06"/>
      <c r="B386" s="2073"/>
      <c r="C386" s="110" t="s">
        <v>360</v>
      </c>
      <c r="D386" s="881" t="s">
        <v>10</v>
      </c>
      <c r="E386" s="888">
        <v>44676</v>
      </c>
      <c r="F386" s="72">
        <f t="shared" si="199"/>
        <v>1600</v>
      </c>
      <c r="G386" s="18">
        <v>0</v>
      </c>
      <c r="H386" s="1984"/>
      <c r="I386" s="312"/>
      <c r="J386" s="1322"/>
      <c r="K386" s="312"/>
      <c r="L386" s="531">
        <f t="shared" si="200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59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06"/>
      <c r="B387" s="2073"/>
      <c r="C387" s="110" t="s">
        <v>578</v>
      </c>
      <c r="D387" s="881" t="s">
        <v>10</v>
      </c>
      <c r="E387" s="888">
        <v>44369</v>
      </c>
      <c r="F387" s="72">
        <f t="shared" si="199"/>
        <v>1907</v>
      </c>
      <c r="G387" s="18">
        <v>0</v>
      </c>
      <c r="H387" s="1984"/>
      <c r="I387" s="312"/>
      <c r="J387" s="1322"/>
      <c r="K387" s="312"/>
      <c r="L387" s="531">
        <f t="shared" si="200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59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06"/>
      <c r="B388" s="2073"/>
      <c r="C388" s="110" t="s">
        <v>351</v>
      </c>
      <c r="D388" s="881" t="s">
        <v>10</v>
      </c>
      <c r="E388" s="888">
        <v>44084</v>
      </c>
      <c r="F388" s="72">
        <f t="shared" si="199"/>
        <v>2192</v>
      </c>
      <c r="G388" s="18">
        <v>0</v>
      </c>
      <c r="H388" s="1984"/>
      <c r="I388" s="312"/>
      <c r="J388" s="1322"/>
      <c r="K388" s="312"/>
      <c r="L388" s="531">
        <f t="shared" si="200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59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06"/>
      <c r="B389" s="2073"/>
      <c r="C389" s="110" t="s">
        <v>256</v>
      </c>
      <c r="D389" s="881" t="s">
        <v>10</v>
      </c>
      <c r="E389" s="888">
        <v>44072</v>
      </c>
      <c r="F389" s="72">
        <f t="shared" si="199"/>
        <v>2204</v>
      </c>
      <c r="G389" s="18">
        <v>0</v>
      </c>
      <c r="H389" s="1984"/>
      <c r="I389" s="312"/>
      <c r="J389" s="1322"/>
      <c r="K389" s="312"/>
      <c r="L389" s="531">
        <f t="shared" si="200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59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06"/>
      <c r="B390" s="2073"/>
      <c r="C390" s="61" t="s">
        <v>1121</v>
      </c>
      <c r="D390" s="863" t="s">
        <v>10</v>
      </c>
      <c r="E390" s="886">
        <v>44749</v>
      </c>
      <c r="F390" s="39">
        <f t="shared" si="199"/>
        <v>1527</v>
      </c>
      <c r="G390" s="28">
        <v>0</v>
      </c>
      <c r="H390" s="1984"/>
      <c r="I390" s="28">
        <f>SUM(K379:K389)</f>
        <v>0</v>
      </c>
      <c r="J390" s="1295">
        <f>usage!I39</f>
        <v>0</v>
      </c>
      <c r="K390" s="28"/>
      <c r="L390" s="531">
        <f t="shared" si="200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59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27" t="s">
        <v>1167</v>
      </c>
      <c r="B391" s="2028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0"/>
        <v>0</v>
      </c>
      <c r="M391" s="59">
        <f>IFERROR((S391/$S$2),"")</f>
        <v>11808.666666666666</v>
      </c>
      <c r="N391" s="854">
        <f>(L391/M391)</f>
        <v>0</v>
      </c>
      <c r="O391" s="59">
        <f>IFERROR(SUMIF(ETM!$A:$A,$Q391,ETM!$E:$E),"")</f>
        <v>11125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53139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1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9" t="str">
        <f>IF(L401=0,"",MAX($A$16:A391)+1)</f>
        <v/>
      </c>
      <c r="B392" s="2066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2">$L$7-E392</f>
        <v>1849</v>
      </c>
      <c r="G392" s="18">
        <v>0</v>
      </c>
      <c r="H392" s="1984"/>
      <c r="I392" s="312"/>
      <c r="J392" s="1338"/>
      <c r="K392" s="18"/>
      <c r="L392" s="531">
        <f t="shared" si="200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1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30"/>
      <c r="B393" s="2033"/>
      <c r="C393" s="110" t="s">
        <v>128</v>
      </c>
      <c r="D393" s="881" t="s">
        <v>10</v>
      </c>
      <c r="E393" s="888">
        <v>44432</v>
      </c>
      <c r="F393" s="72">
        <f t="shared" si="202"/>
        <v>1844</v>
      </c>
      <c r="G393" s="18">
        <v>0</v>
      </c>
      <c r="H393" s="1984"/>
      <c r="I393" s="300"/>
      <c r="J393" s="1338"/>
      <c r="K393" s="18"/>
      <c r="L393" s="531">
        <f t="shared" si="200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1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30"/>
      <c r="B394" s="2033"/>
      <c r="C394" s="110" t="s">
        <v>351</v>
      </c>
      <c r="D394" s="881" t="s">
        <v>10</v>
      </c>
      <c r="E394" s="888">
        <v>44427</v>
      </c>
      <c r="F394" s="72">
        <f t="shared" si="202"/>
        <v>1849</v>
      </c>
      <c r="G394" s="18">
        <v>0</v>
      </c>
      <c r="H394" s="1984"/>
      <c r="I394" s="18"/>
      <c r="J394" s="1338"/>
      <c r="K394" s="18"/>
      <c r="L394" s="531">
        <f t="shared" si="200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1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30"/>
      <c r="B395" s="2033"/>
      <c r="C395" s="110" t="s">
        <v>256</v>
      </c>
      <c r="D395" s="881" t="s">
        <v>10</v>
      </c>
      <c r="E395" s="888">
        <v>44386</v>
      </c>
      <c r="F395" s="72">
        <f t="shared" si="202"/>
        <v>1890</v>
      </c>
      <c r="G395" s="18">
        <v>0</v>
      </c>
      <c r="H395" s="1984"/>
      <c r="I395" s="1349"/>
      <c r="J395" s="1338"/>
      <c r="K395" s="18"/>
      <c r="L395" s="531">
        <f t="shared" si="200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1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30"/>
      <c r="B396" s="2033"/>
      <c r="C396" s="110" t="s">
        <v>256</v>
      </c>
      <c r="D396" s="881" t="s">
        <v>10</v>
      </c>
      <c r="E396" s="888">
        <v>44386</v>
      </c>
      <c r="F396" s="72">
        <f t="shared" si="202"/>
        <v>1890</v>
      </c>
      <c r="G396" s="18">
        <v>0</v>
      </c>
      <c r="H396" s="1984"/>
      <c r="I396" s="1349"/>
      <c r="J396" s="1338"/>
      <c r="K396" s="18"/>
      <c r="L396" s="531">
        <f t="shared" si="200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1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30"/>
      <c r="B397" s="2033"/>
      <c r="C397" s="110" t="s">
        <v>620</v>
      </c>
      <c r="D397" s="881" t="s">
        <v>10</v>
      </c>
      <c r="E397" s="888">
        <v>44203</v>
      </c>
      <c r="F397" s="72">
        <f t="shared" si="202"/>
        <v>2073</v>
      </c>
      <c r="G397" s="18">
        <v>0</v>
      </c>
      <c r="H397" s="1984"/>
      <c r="I397" s="1349"/>
      <c r="J397" s="1338"/>
      <c r="K397" s="18"/>
      <c r="L397" s="531">
        <f t="shared" si="200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1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30"/>
      <c r="B398" s="2033"/>
      <c r="C398" s="110" t="s">
        <v>351</v>
      </c>
      <c r="D398" s="881" t="s">
        <v>10</v>
      </c>
      <c r="E398" s="888">
        <v>44203</v>
      </c>
      <c r="F398" s="72">
        <f t="shared" si="202"/>
        <v>2073</v>
      </c>
      <c r="G398" s="18">
        <v>0</v>
      </c>
      <c r="H398" s="1984"/>
      <c r="I398" s="18"/>
      <c r="J398" s="1338"/>
      <c r="K398" s="18"/>
      <c r="L398" s="531">
        <f t="shared" si="200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1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30"/>
      <c r="B399" s="2033"/>
      <c r="C399" s="110" t="s">
        <v>351</v>
      </c>
      <c r="D399" s="881" t="s">
        <v>10</v>
      </c>
      <c r="E399" s="888">
        <v>44203</v>
      </c>
      <c r="F399" s="72">
        <f t="shared" si="202"/>
        <v>2073</v>
      </c>
      <c r="G399" s="18">
        <v>0</v>
      </c>
      <c r="H399" s="1984"/>
      <c r="I399" s="1349"/>
      <c r="J399" s="1338"/>
      <c r="K399" s="18"/>
      <c r="L399" s="531">
        <f t="shared" si="200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1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1"/>
      <c r="B400" s="2034"/>
      <c r="C400" s="61" t="s">
        <v>185</v>
      </c>
      <c r="D400" s="925" t="s">
        <v>10</v>
      </c>
      <c r="E400" s="926">
        <v>44427</v>
      </c>
      <c r="F400" s="927">
        <f t="shared" si="202"/>
        <v>1849</v>
      </c>
      <c r="G400" s="1350">
        <v>0</v>
      </c>
      <c r="H400" s="1984"/>
      <c r="I400" s="1350">
        <f>SUM(K392:K398)</f>
        <v>0</v>
      </c>
      <c r="J400" s="1351">
        <f>usage!I40</f>
        <v>0</v>
      </c>
      <c r="K400" s="1350"/>
      <c r="L400" s="531">
        <f t="shared" si="200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1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27" t="s">
        <v>625</v>
      </c>
      <c r="B401" s="2028"/>
      <c r="C401" s="88"/>
      <c r="D401" s="864"/>
      <c r="E401" s="864"/>
      <c r="F401" s="865"/>
      <c r="G401" s="1336">
        <v>0</v>
      </c>
      <c r="H401" s="1818"/>
      <c r="I401" s="1336">
        <f t="shared" ref="I401:K401" si="203">+SUM(I392:I400)</f>
        <v>0</v>
      </c>
      <c r="J401" s="1336">
        <f t="shared" si="203"/>
        <v>0</v>
      </c>
      <c r="K401" s="1336">
        <f t="shared" si="203"/>
        <v>0</v>
      </c>
      <c r="L401" s="531">
        <f t="shared" si="200"/>
        <v>0</v>
      </c>
      <c r="M401" s="59">
        <f>+M391</f>
        <v>11808.666666666666</v>
      </c>
      <c r="N401" s="366">
        <f>(L401/M401)</f>
        <v>0</v>
      </c>
      <c r="O401" s="59">
        <f>+O391</f>
        <v>11125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1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81">
        <f>IF(L423=0,"",MAX($A$16:A401)+1)</f>
        <v>20</v>
      </c>
      <c r="B402" s="2051" t="s">
        <v>863</v>
      </c>
      <c r="C402" s="114"/>
      <c r="D402" s="881" t="s">
        <v>10</v>
      </c>
      <c r="E402" s="882">
        <v>46101</v>
      </c>
      <c r="F402" s="71">
        <f t="shared" ref="F402:F407" si="204">$L$7-E402</f>
        <v>175</v>
      </c>
      <c r="G402" s="18">
        <v>0</v>
      </c>
      <c r="H402" s="1985"/>
      <c r="I402" s="312"/>
      <c r="J402" s="1322"/>
      <c r="K402" s="12">
        <f>IFERROR(SUMIF(INTAKE!$A:$A,$T402,INTAKE!$P:$P),0)</f>
        <v>0</v>
      </c>
      <c r="L402" s="1670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5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1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8"/>
      <c r="B403" s="2073"/>
      <c r="C403" s="114" t="s">
        <v>1943</v>
      </c>
      <c r="D403" s="881" t="s">
        <v>10</v>
      </c>
      <c r="E403" s="882">
        <v>46256</v>
      </c>
      <c r="F403" s="71">
        <f t="shared" ref="F403:F407" si="206">$L$7-E403</f>
        <v>20</v>
      </c>
      <c r="G403" s="18">
        <v>40000</v>
      </c>
      <c r="H403" s="312"/>
      <c r="I403" s="312"/>
      <c r="J403" s="1322"/>
      <c r="K403" s="12">
        <f>IFERROR(SUMIF(INTAKE!$A:$A,$T403,INTAKE!$P:$P),0)</f>
        <v>14000</v>
      </c>
      <c r="L403" s="1670">
        <f>+G403+H403+I403-J403-K403</f>
        <v>26000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5"/>
        <v>Monocalcium Phosphate (China)B646256</v>
      </c>
      <c r="U403" s="787"/>
      <c r="V403" s="787"/>
      <c r="W403" s="802">
        <f>IFERROR(VLOOKUP($Q403,'391'!$P:$AG,15,0),0)</f>
        <v>0</v>
      </c>
      <c r="X403" s="799">
        <f t="shared" si="201"/>
        <v>40000</v>
      </c>
      <c r="Y403" s="787"/>
      <c r="Z403" s="791"/>
      <c r="AA403" s="787"/>
      <c r="AB403" s="787"/>
      <c r="AC403" s="679"/>
    </row>
    <row r="404" spans="1:45" ht="30" customHeight="1" x14ac:dyDescent="0.25">
      <c r="A404" s="2078"/>
      <c r="B404" s="2073"/>
      <c r="C404" s="114" t="s">
        <v>1973</v>
      </c>
      <c r="D404" s="881" t="s">
        <v>10</v>
      </c>
      <c r="E404" s="882">
        <v>46268</v>
      </c>
      <c r="F404" s="71">
        <f t="shared" si="206"/>
        <v>8</v>
      </c>
      <c r="G404" s="18">
        <v>34000</v>
      </c>
      <c r="H404" s="312"/>
      <c r="I404" s="312"/>
      <c r="J404" s="1322"/>
      <c r="K404" s="12">
        <f>IFERROR(SUMIF(INTAKE!$A:$A,$T404,INTAKE!$P:$P),0)</f>
        <v>0</v>
      </c>
      <c r="L404" s="1670">
        <f t="shared" si="200"/>
        <v>34000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5"/>
        <v>Monocalcium Phosphate (China)B846268</v>
      </c>
      <c r="U404" s="787"/>
      <c r="V404" s="787"/>
      <c r="W404" s="802">
        <f>IFERROR(VLOOKUP($Q404,'391'!$P:$AG,15,0),0)</f>
        <v>0</v>
      </c>
      <c r="X404" s="799">
        <f t="shared" si="201"/>
        <v>34000</v>
      </c>
      <c r="Y404" s="787"/>
      <c r="Z404" s="791"/>
      <c r="AA404" s="787"/>
      <c r="AB404" s="787"/>
      <c r="AC404" s="679"/>
    </row>
    <row r="405" spans="1:45" ht="29.25" customHeight="1" x14ac:dyDescent="0.25">
      <c r="A405" s="2078"/>
      <c r="B405" s="2073"/>
      <c r="C405" s="114" t="s">
        <v>2219</v>
      </c>
      <c r="D405" s="881" t="s">
        <v>10</v>
      </c>
      <c r="E405" s="882">
        <v>46273</v>
      </c>
      <c r="F405" s="71">
        <f t="shared" si="206"/>
        <v>3</v>
      </c>
      <c r="G405" s="18">
        <v>40000</v>
      </c>
      <c r="H405" s="312"/>
      <c r="I405" s="312"/>
      <c r="J405" s="1322"/>
      <c r="K405" s="12">
        <f>IFERROR(SUMIF(INTAKE!$A:$A,$T405,INTAKE!$P:$P),0)</f>
        <v>0</v>
      </c>
      <c r="L405" s="1670">
        <f t="shared" si="200"/>
        <v>40000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5"/>
        <v>Monocalcium Phosphate (China)A146273</v>
      </c>
      <c r="U405" s="787"/>
      <c r="V405" s="787"/>
      <c r="W405" s="802">
        <f>IFERROR(VLOOKUP($Q405,'391'!$P:$AG,15,0),0)</f>
        <v>0</v>
      </c>
      <c r="X405" s="799">
        <f t="shared" si="201"/>
        <v>40000</v>
      </c>
      <c r="Y405" s="787"/>
      <c r="Z405" s="791"/>
      <c r="AA405" s="787"/>
      <c r="AB405" s="787"/>
      <c r="AC405" s="679"/>
    </row>
    <row r="406" spans="1:45" ht="29.25" customHeight="1" x14ac:dyDescent="0.25">
      <c r="A406" s="2078"/>
      <c r="B406" s="2073"/>
      <c r="C406" s="114" t="s">
        <v>2219</v>
      </c>
      <c r="D406" s="881" t="s">
        <v>10</v>
      </c>
      <c r="E406" s="882">
        <v>46274</v>
      </c>
      <c r="F406" s="71">
        <f t="shared" si="206"/>
        <v>2</v>
      </c>
      <c r="G406" s="18">
        <v>20000</v>
      </c>
      <c r="H406" s="312"/>
      <c r="I406" s="312"/>
      <c r="J406" s="1322"/>
      <c r="K406" s="12">
        <f>IFERROR(SUMIF(INTAKE!$A:$A,$T406,INTAKE!$P:$P),0)</f>
        <v>0</v>
      </c>
      <c r="L406" s="1670">
        <f t="shared" si="200"/>
        <v>20000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5"/>
        <v>Monocalcium Phosphate (China)A146274</v>
      </c>
      <c r="U406" s="787"/>
      <c r="V406" s="787"/>
      <c r="W406" s="802">
        <f>IFERROR(VLOOKUP($Q406,'391'!$P:$AG,15,0),0)</f>
        <v>0</v>
      </c>
      <c r="X406" s="799">
        <f t="shared" si="201"/>
        <v>20000</v>
      </c>
      <c r="Y406" s="787"/>
      <c r="Z406" s="791"/>
      <c r="AA406" s="787"/>
      <c r="AB406" s="787"/>
      <c r="AC406" s="679"/>
    </row>
    <row r="407" spans="1:45" ht="29.25" customHeight="1" x14ac:dyDescent="0.25">
      <c r="A407" s="2078"/>
      <c r="B407" s="2128"/>
      <c r="C407" s="114" t="s">
        <v>2220</v>
      </c>
      <c r="D407" s="881" t="s">
        <v>10</v>
      </c>
      <c r="E407" s="882">
        <v>46274</v>
      </c>
      <c r="F407" s="71">
        <f t="shared" si="206"/>
        <v>2</v>
      </c>
      <c r="G407" s="18">
        <v>60000</v>
      </c>
      <c r="H407" s="312"/>
      <c r="I407" s="312"/>
      <c r="J407" s="1322"/>
      <c r="K407" s="12">
        <f>IFERROR(SUMIF(INTAKE!$A:$A,$T407,INTAKE!$P:$P),0)</f>
        <v>0</v>
      </c>
      <c r="L407" s="1670">
        <f t="shared" si="200"/>
        <v>60000</v>
      </c>
      <c r="M407" s="45"/>
      <c r="N407" s="249"/>
      <c r="O407" s="23"/>
      <c r="P407" s="736"/>
      <c r="Q407" s="795"/>
      <c r="T407" s="787" t="str">
        <f t="shared" si="205"/>
        <v>Monocalcium Phosphate (China)A246274</v>
      </c>
      <c r="U407" s="787"/>
      <c r="V407" s="787"/>
      <c r="W407" s="802">
        <f>IFERROR(VLOOKUP($Q407,'391'!$P:$AG,15,0),0)</f>
        <v>0</v>
      </c>
      <c r="X407" s="799">
        <f t="shared" si="201"/>
        <v>60000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78"/>
      <c r="B408" s="2128"/>
      <c r="C408" s="114"/>
      <c r="D408" s="881" t="s">
        <v>10</v>
      </c>
      <c r="E408" s="882">
        <v>46274</v>
      </c>
      <c r="F408" s="71">
        <f t="shared" ref="F408" si="207">$L$7-E408</f>
        <v>2</v>
      </c>
      <c r="G408" s="18"/>
      <c r="H408" s="312"/>
      <c r="I408" s="312"/>
      <c r="J408" s="1322"/>
      <c r="K408" s="12">
        <f>IFERROR(SUMIF(INTAKE!$A:$A,$T408,INTAKE!$P:$P),0)</f>
        <v>0</v>
      </c>
      <c r="L408" s="1670">
        <f t="shared" si="200"/>
        <v>0</v>
      </c>
      <c r="M408" s="45"/>
      <c r="N408" s="249"/>
      <c r="O408" s="23"/>
      <c r="P408" s="736"/>
      <c r="Q408" s="795"/>
      <c r="T408" s="787" t="str">
        <f t="shared" si="205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1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78"/>
      <c r="B409" s="2128"/>
      <c r="C409" s="114"/>
      <c r="D409" s="881" t="s">
        <v>10</v>
      </c>
      <c r="E409" s="882">
        <v>46256</v>
      </c>
      <c r="F409" s="71">
        <f t="shared" ref="F409" si="208">$L$7-E409</f>
        <v>20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70">
        <f t="shared" si="200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5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1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8"/>
      <c r="B410" s="2077"/>
      <c r="C410" s="114"/>
      <c r="D410" s="881" t="s">
        <v>10</v>
      </c>
      <c r="E410" s="882">
        <v>46256</v>
      </c>
      <c r="F410" s="71">
        <f t="shared" ref="F410" si="209">$L$7-E410</f>
        <v>20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70">
        <f t="shared" si="200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5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1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8"/>
      <c r="B411" s="2073"/>
      <c r="C411" s="114"/>
      <c r="D411" s="881" t="s">
        <v>10</v>
      </c>
      <c r="E411" s="882">
        <v>46256</v>
      </c>
      <c r="F411" s="71">
        <f t="shared" ref="F411" si="210">$L$7-E411</f>
        <v>20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70">
        <f t="shared" si="200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5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1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8"/>
      <c r="B412" s="2077"/>
      <c r="C412" s="114"/>
      <c r="D412" s="881" t="s">
        <v>10</v>
      </c>
      <c r="E412" s="882">
        <v>45966</v>
      </c>
      <c r="F412" s="71">
        <f t="shared" ref="F412" si="211">$L$7-E412</f>
        <v>310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70">
        <f t="shared" ref="L412" si="212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5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3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8"/>
      <c r="B413" s="2077"/>
      <c r="C413" s="114"/>
      <c r="D413" s="881" t="s">
        <v>10</v>
      </c>
      <c r="E413" s="882">
        <v>45966</v>
      </c>
      <c r="F413" s="71">
        <f t="shared" ref="F413" si="214">$L$7-E413</f>
        <v>310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70">
        <f t="shared" si="200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5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1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8"/>
      <c r="B414" s="2077"/>
      <c r="C414" s="114"/>
      <c r="D414" s="881" t="s">
        <v>10</v>
      </c>
      <c r="E414" s="882">
        <v>45966</v>
      </c>
      <c r="F414" s="71">
        <f t="shared" ref="F414" si="215">$L$7-E414</f>
        <v>310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70">
        <f t="shared" si="200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5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1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8"/>
      <c r="B415" s="2077"/>
      <c r="C415" s="114"/>
      <c r="D415" s="881" t="s">
        <v>10</v>
      </c>
      <c r="E415" s="882">
        <v>45966</v>
      </c>
      <c r="F415" s="71">
        <f t="shared" ref="F415" si="216">$L$7-E415</f>
        <v>310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70">
        <f t="shared" si="200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5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1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8"/>
      <c r="B416" s="2077"/>
      <c r="C416" s="114"/>
      <c r="D416" s="881" t="s">
        <v>10</v>
      </c>
      <c r="E416" s="882">
        <v>45959</v>
      </c>
      <c r="F416" s="71">
        <f t="shared" ref="F416" si="217">$L$7-E416</f>
        <v>317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70">
        <f t="shared" ref="L416" si="218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5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19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8"/>
      <c r="B417" s="2077"/>
      <c r="C417" s="114"/>
      <c r="D417" s="881" t="s">
        <v>10</v>
      </c>
      <c r="E417" s="882">
        <v>45947</v>
      </c>
      <c r="F417" s="71">
        <f t="shared" ref="F417" si="220">$L$7-E417</f>
        <v>329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70">
        <f t="shared" ref="L417" si="221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5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2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8"/>
      <c r="B418" s="2077"/>
      <c r="C418" s="114"/>
      <c r="D418" s="881" t="s">
        <v>10</v>
      </c>
      <c r="E418" s="882">
        <v>45918</v>
      </c>
      <c r="F418" s="71">
        <f t="shared" ref="F418" si="223">$L$7-E418</f>
        <v>358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70">
        <f t="shared" ref="L418:L419" si="224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5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5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8"/>
      <c r="B419" s="2077"/>
      <c r="C419" s="114"/>
      <c r="D419" s="881" t="s">
        <v>10</v>
      </c>
      <c r="E419" s="882">
        <v>45918</v>
      </c>
      <c r="F419" s="71">
        <f t="shared" ref="F419" si="226">$L$7-E419</f>
        <v>358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70">
        <f t="shared" si="224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5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5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8"/>
      <c r="B420" s="2077"/>
      <c r="C420" s="114"/>
      <c r="D420" s="881" t="s">
        <v>10</v>
      </c>
      <c r="E420" s="882">
        <v>45918</v>
      </c>
      <c r="F420" s="71">
        <f t="shared" ref="F420" si="227">$L$7-E420</f>
        <v>358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70">
        <f t="shared" ref="L420" si="228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5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29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8"/>
      <c r="B421" s="2077"/>
      <c r="C421" s="114"/>
      <c r="D421" s="881" t="s">
        <v>10</v>
      </c>
      <c r="E421" s="882">
        <v>45910</v>
      </c>
      <c r="F421" s="71">
        <f t="shared" ref="F421:F422" si="230">$L$7-E421</f>
        <v>366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70">
        <f t="shared" ref="L421" si="231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5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2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8"/>
      <c r="B422" s="2052"/>
      <c r="C422" s="61" t="s">
        <v>1377</v>
      </c>
      <c r="D422" s="863" t="s">
        <v>10</v>
      </c>
      <c r="E422" s="886">
        <v>46256</v>
      </c>
      <c r="F422" s="38">
        <f t="shared" si="230"/>
        <v>20</v>
      </c>
      <c r="G422" s="1294">
        <v>6859</v>
      </c>
      <c r="H422" s="28"/>
      <c r="I422" s="28">
        <f>+SUM(K402:K421)</f>
        <v>14000</v>
      </c>
      <c r="J422" s="1351">
        <f>usage!I41</f>
        <v>11639</v>
      </c>
      <c r="K422" s="28"/>
      <c r="L422" s="531">
        <f t="shared" si="200"/>
        <v>9220</v>
      </c>
      <c r="M422" s="35"/>
      <c r="N422" s="87"/>
      <c r="O422" s="35"/>
      <c r="P422" s="740"/>
      <c r="Q422" s="666" t="s">
        <v>1584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1"/>
        <v>6859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27" t="s">
        <v>464</v>
      </c>
      <c r="B423" s="2028"/>
      <c r="C423" s="88"/>
      <c r="D423" s="864"/>
      <c r="E423" s="864"/>
      <c r="F423" s="865"/>
      <c r="G423" s="1327">
        <v>200859</v>
      </c>
      <c r="H423" s="1352">
        <f>+SUM(H402:H422)</f>
        <v>0</v>
      </c>
      <c r="I423" s="1352">
        <f>+SUM(I402:I422)</f>
        <v>14000</v>
      </c>
      <c r="J423" s="1352">
        <f>+SUM(J402:J422)</f>
        <v>11639</v>
      </c>
      <c r="K423" s="1352">
        <f>+SUM(K402:K422)</f>
        <v>14000</v>
      </c>
      <c r="L423" s="1352">
        <f>+SUM(L402:L422)</f>
        <v>189220</v>
      </c>
      <c r="M423" s="59">
        <f>IFERROR((R423/$S$2),"")</f>
        <v>11808.666666666666</v>
      </c>
      <c r="N423" s="854">
        <f>IFERROR(L423/M423,0)</f>
        <v>16.023824309828939</v>
      </c>
      <c r="O423" s="889">
        <f>+O391</f>
        <v>11125</v>
      </c>
      <c r="P423" s="880">
        <f>IF(O423=0,"",(L423/O423))</f>
        <v>17.008539325842698</v>
      </c>
      <c r="Q423" s="795" t="s">
        <v>844</v>
      </c>
      <c r="R423" s="785">
        <f>IFERROR(VLOOKUP($Q423,'391'!$P:$W,8,0),"0")</f>
        <v>53139</v>
      </c>
      <c r="S423" s="796"/>
      <c r="T423" s="797"/>
      <c r="U423" s="797"/>
      <c r="V423" s="797"/>
      <c r="W423" s="802">
        <f>IFERROR(VLOOKUP($Q423,'391'!$P:$AG,15,0),0)</f>
        <v>128711</v>
      </c>
      <c r="X423" s="799">
        <f t="shared" si="201"/>
        <v>72148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05">
        <f>IF(L439=0,"",MAX($A$16:A423)+1)</f>
        <v>21</v>
      </c>
      <c r="B424" s="2074" t="s">
        <v>89</v>
      </c>
      <c r="C424" s="238" t="s">
        <v>1496</v>
      </c>
      <c r="D424" s="887" t="s">
        <v>10</v>
      </c>
      <c r="E424" s="888">
        <v>46249</v>
      </c>
      <c r="F424" s="283">
        <f t="shared" ref="F424" si="233">$L$7-E424</f>
        <v>27</v>
      </c>
      <c r="G424" s="312">
        <v>2904</v>
      </c>
      <c r="H424" s="312"/>
      <c r="I424" s="312"/>
      <c r="J424" s="1322"/>
      <c r="K424" s="12">
        <f>IFERROR(SUMIF(INTAKE!$A:$A,$T424,INTAKE!$P:$P),0)</f>
        <v>2904</v>
      </c>
      <c r="L424" s="1703">
        <f t="shared" ref="L424:L438" si="234">+G424+H424+I424-J424-K424</f>
        <v>0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5">$Q$439&amp;C424&amp;E424</f>
        <v>Limestone (Fine)B13.246249</v>
      </c>
      <c r="U424" s="787"/>
      <c r="V424" s="787"/>
      <c r="W424" s="802">
        <f>IFERROR(VLOOKUP($Q424,'391'!$P:$AG,15,0),0)</f>
        <v>0</v>
      </c>
      <c r="X424" s="799">
        <f t="shared" si="201"/>
        <v>2904</v>
      </c>
      <c r="Y424" s="787"/>
      <c r="Z424" s="791"/>
      <c r="AA424" s="787"/>
      <c r="AB424" s="787"/>
      <c r="AC424" s="679"/>
    </row>
    <row r="425" spans="1:45" ht="30" customHeight="1" x14ac:dyDescent="0.25">
      <c r="A425" s="2006"/>
      <c r="B425" s="2075"/>
      <c r="C425" s="238" t="s">
        <v>1496</v>
      </c>
      <c r="D425" s="887" t="s">
        <v>10</v>
      </c>
      <c r="E425" s="888">
        <v>46263</v>
      </c>
      <c r="F425" s="283">
        <f t="shared" ref="F425" si="236">$L$7-E425</f>
        <v>13</v>
      </c>
      <c r="G425" s="312">
        <v>30080</v>
      </c>
      <c r="H425" s="312"/>
      <c r="I425" s="312"/>
      <c r="J425" s="1322"/>
      <c r="K425" s="12">
        <f>IFERROR(SUMIF(INTAKE!$A:$A,$T425,INTAKE!$P:$P),0)</f>
        <v>0</v>
      </c>
      <c r="L425" s="1703">
        <f t="shared" si="234"/>
        <v>30080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5"/>
        <v>Limestone (Fine)B13.246263</v>
      </c>
      <c r="U425" s="787"/>
      <c r="V425" s="787"/>
      <c r="W425" s="802">
        <f>IFERROR(VLOOKUP($Q425,'391'!$P:$AG,15,0),0)</f>
        <v>0</v>
      </c>
      <c r="X425" s="799">
        <f t="shared" si="201"/>
        <v>30080</v>
      </c>
      <c r="Y425" s="787"/>
      <c r="Z425" s="791"/>
      <c r="AA425" s="787"/>
      <c r="AB425" s="787"/>
      <c r="AC425" s="679"/>
    </row>
    <row r="426" spans="1:45" ht="30" customHeight="1" x14ac:dyDescent="0.25">
      <c r="A426" s="2006"/>
      <c r="B426" s="2075"/>
      <c r="C426" s="238" t="s">
        <v>1496</v>
      </c>
      <c r="D426" s="887" t="s">
        <v>10</v>
      </c>
      <c r="E426" s="888">
        <v>46265</v>
      </c>
      <c r="F426" s="283">
        <f t="shared" ref="F426" si="237">$L$7-E426</f>
        <v>11</v>
      </c>
      <c r="G426" s="312">
        <v>30590</v>
      </c>
      <c r="H426" s="312"/>
      <c r="I426" s="312"/>
      <c r="J426" s="1322"/>
      <c r="K426" s="12"/>
      <c r="L426" s="1703">
        <f t="shared" si="234"/>
        <v>30590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5"/>
        <v>Limestone (Fine)B13.246265</v>
      </c>
      <c r="U426" s="787"/>
      <c r="V426" s="787"/>
      <c r="W426" s="802">
        <f>IFERROR(VLOOKUP($Q426,'391'!$P:$AG,15,0),0)</f>
        <v>0</v>
      </c>
      <c r="X426" s="799">
        <f t="shared" si="201"/>
        <v>30590</v>
      </c>
      <c r="Y426" s="787"/>
      <c r="Z426" s="791"/>
      <c r="AA426" s="787"/>
      <c r="AB426" s="787"/>
      <c r="AC426" s="679"/>
    </row>
    <row r="427" spans="1:45" ht="30" customHeight="1" x14ac:dyDescent="0.25">
      <c r="A427" s="2006"/>
      <c r="B427" s="2075"/>
      <c r="C427" s="238" t="s">
        <v>1975</v>
      </c>
      <c r="D427" s="887" t="s">
        <v>10</v>
      </c>
      <c r="E427" s="888">
        <v>46269</v>
      </c>
      <c r="F427" s="283">
        <f t="shared" ref="F427" si="238">$L$7-E427</f>
        <v>7</v>
      </c>
      <c r="G427" s="312">
        <v>29070</v>
      </c>
      <c r="H427" s="312"/>
      <c r="I427" s="312"/>
      <c r="J427" s="1322"/>
      <c r="K427" s="12"/>
      <c r="L427" s="1703">
        <f t="shared" si="234"/>
        <v>29070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5"/>
        <v>Limestone (Fine)A12.146269</v>
      </c>
      <c r="U427" s="787"/>
      <c r="V427" s="787"/>
      <c r="W427" s="802">
        <f>IFERROR(VLOOKUP($Q427,'391'!$P:$AG,15,0),0)</f>
        <v>0</v>
      </c>
      <c r="X427" s="799">
        <f t="shared" si="201"/>
        <v>29070</v>
      </c>
      <c r="Y427" s="787"/>
      <c r="Z427" s="791"/>
      <c r="AA427" s="787"/>
      <c r="AB427" s="787"/>
      <c r="AC427" s="679"/>
    </row>
    <row r="428" spans="1:45" ht="30" hidden="1" customHeight="1" x14ac:dyDescent="0.25">
      <c r="A428" s="2006"/>
      <c r="B428" s="2075"/>
      <c r="C428" s="238"/>
      <c r="D428" s="887" t="s">
        <v>10</v>
      </c>
      <c r="E428" s="888">
        <v>46232</v>
      </c>
      <c r="F428" s="283">
        <f t="shared" ref="F428" si="239">$L$7-E428</f>
        <v>44</v>
      </c>
      <c r="G428" s="312">
        <v>0</v>
      </c>
      <c r="H428" s="312"/>
      <c r="I428" s="312"/>
      <c r="J428" s="1322"/>
      <c r="K428" s="12"/>
      <c r="L428" s="1703">
        <f t="shared" si="234"/>
        <v>0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5"/>
        <v>Limestone (Fine)46232</v>
      </c>
      <c r="U428" s="787"/>
      <c r="V428" s="787"/>
      <c r="W428" s="802">
        <f>IFERROR(VLOOKUP($Q428,'391'!$P:$AG,15,0),0)</f>
        <v>0</v>
      </c>
      <c r="X428" s="799">
        <f t="shared" si="201"/>
        <v>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06"/>
      <c r="B429" s="2075"/>
      <c r="C429" s="238"/>
      <c r="D429" s="887" t="s">
        <v>10</v>
      </c>
      <c r="E429" s="888">
        <v>46214</v>
      </c>
      <c r="F429" s="283">
        <f t="shared" ref="F429" si="240">$L$7-E429</f>
        <v>62</v>
      </c>
      <c r="G429" s="312">
        <v>0</v>
      </c>
      <c r="H429" s="312"/>
      <c r="I429" s="312"/>
      <c r="J429" s="1322"/>
      <c r="K429" s="12"/>
      <c r="L429" s="1703">
        <f t="shared" si="234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5"/>
        <v>Limestone (Fine)46214</v>
      </c>
      <c r="U429" s="787"/>
      <c r="V429" s="787"/>
      <c r="W429" s="802">
        <f>IFERROR(VLOOKUP($Q429,'391'!$P:$AG,15,0),0)</f>
        <v>0</v>
      </c>
      <c r="X429" s="799">
        <f t="shared" si="201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06"/>
      <c r="B430" s="2075"/>
      <c r="C430" s="238"/>
      <c r="D430" s="887" t="s">
        <v>10</v>
      </c>
      <c r="E430" s="888">
        <v>46063</v>
      </c>
      <c r="F430" s="283">
        <f t="shared" ref="F430" si="241">$L$7-E430</f>
        <v>213</v>
      </c>
      <c r="G430" s="312">
        <v>0</v>
      </c>
      <c r="H430" s="312"/>
      <c r="I430" s="312"/>
      <c r="J430" s="1322"/>
      <c r="K430" s="12"/>
      <c r="L430" s="1703">
        <f t="shared" si="234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2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06"/>
      <c r="B431" s="2075"/>
      <c r="C431" s="238"/>
      <c r="D431" s="887" t="s">
        <v>10</v>
      </c>
      <c r="E431" s="888">
        <v>46063</v>
      </c>
      <c r="F431" s="283">
        <f t="shared" ref="F431" si="243">$L$7-E431</f>
        <v>213</v>
      </c>
      <c r="G431" s="312">
        <v>0</v>
      </c>
      <c r="H431" s="312"/>
      <c r="I431" s="312"/>
      <c r="J431" s="1322"/>
      <c r="K431" s="12"/>
      <c r="L431" s="1703">
        <f t="shared" si="234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2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06"/>
      <c r="B432" s="2075"/>
      <c r="C432" s="238"/>
      <c r="D432" s="887" t="s">
        <v>10</v>
      </c>
      <c r="E432" s="888">
        <v>46064</v>
      </c>
      <c r="F432" s="283">
        <f t="shared" ref="F432" si="244">$L$7-E432</f>
        <v>212</v>
      </c>
      <c r="G432" s="312">
        <v>0</v>
      </c>
      <c r="H432" s="312"/>
      <c r="I432" s="312"/>
      <c r="J432" s="1322"/>
      <c r="K432" s="12"/>
      <c r="L432" s="1703">
        <f t="shared" si="234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2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06"/>
      <c r="B433" s="2075"/>
      <c r="C433" s="238"/>
      <c r="D433" s="887" t="s">
        <v>10</v>
      </c>
      <c r="E433" s="888">
        <v>45791</v>
      </c>
      <c r="F433" s="283">
        <f t="shared" ref="F433" si="245">$L$7-E433</f>
        <v>485</v>
      </c>
      <c r="G433" s="312">
        <v>0</v>
      </c>
      <c r="H433" s="312"/>
      <c r="I433" s="312"/>
      <c r="J433" s="1322"/>
      <c r="K433" s="12"/>
      <c r="L433" s="1703">
        <f t="shared" si="234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2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06"/>
      <c r="B434" s="2075"/>
      <c r="C434" s="238"/>
      <c r="D434" s="887" t="s">
        <v>10</v>
      </c>
      <c r="E434" s="888">
        <v>45747</v>
      </c>
      <c r="F434" s="283">
        <f t="shared" ref="F434" si="246">$L$7-E434</f>
        <v>529</v>
      </c>
      <c r="G434" s="312">
        <v>0</v>
      </c>
      <c r="H434" s="312"/>
      <c r="I434" s="312"/>
      <c r="J434" s="1322"/>
      <c r="K434" s="12"/>
      <c r="L434" s="1703">
        <f t="shared" si="234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2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06"/>
      <c r="B435" s="2075"/>
      <c r="C435" s="238" t="s">
        <v>152</v>
      </c>
      <c r="D435" s="887" t="s">
        <v>10</v>
      </c>
      <c r="E435" s="888">
        <v>45580</v>
      </c>
      <c r="F435" s="329">
        <f t="shared" ref="F435:F437" si="247">$L$7-E435</f>
        <v>696</v>
      </c>
      <c r="G435" s="312">
        <v>0</v>
      </c>
      <c r="H435" s="312"/>
      <c r="I435" s="312"/>
      <c r="J435" s="1322"/>
      <c r="K435" s="12"/>
      <c r="L435" s="1703">
        <f t="shared" si="234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2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06"/>
      <c r="B436" s="2080"/>
      <c r="C436" s="238"/>
      <c r="D436" s="887" t="s">
        <v>10</v>
      </c>
      <c r="E436" s="888">
        <v>45580</v>
      </c>
      <c r="F436" s="329">
        <f t="shared" si="247"/>
        <v>696</v>
      </c>
      <c r="G436" s="312">
        <v>0</v>
      </c>
      <c r="H436" s="312"/>
      <c r="I436" s="312"/>
      <c r="J436" s="1322"/>
      <c r="K436" s="12"/>
      <c r="L436" s="1703">
        <f t="shared" ref="L436" si="248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49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06"/>
      <c r="B437" s="2080"/>
      <c r="C437" s="238" t="s">
        <v>1496</v>
      </c>
      <c r="D437" s="887" t="s">
        <v>10</v>
      </c>
      <c r="E437" s="888">
        <v>45569</v>
      </c>
      <c r="F437" s="1769">
        <f t="shared" si="247"/>
        <v>707</v>
      </c>
      <c r="G437" s="312">
        <v>0</v>
      </c>
      <c r="H437" s="312"/>
      <c r="I437" s="312"/>
      <c r="J437" s="1322"/>
      <c r="K437" s="12"/>
      <c r="L437" s="1703">
        <f t="shared" si="234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2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06"/>
      <c r="B438" s="2075"/>
      <c r="C438" s="119" t="s">
        <v>1820</v>
      </c>
      <c r="D438" s="863" t="s">
        <v>10</v>
      </c>
      <c r="E438" s="886">
        <v>46275</v>
      </c>
      <c r="F438" s="1769">
        <f t="shared" ref="F438" si="250">$L$7-E438</f>
        <v>1</v>
      </c>
      <c r="G438" s="1294">
        <v>41350</v>
      </c>
      <c r="H438" s="312"/>
      <c r="I438" s="37">
        <f>+SUM(K424:K437)</f>
        <v>2904</v>
      </c>
      <c r="J438" s="1294">
        <f>usage!I42</f>
        <v>25977</v>
      </c>
      <c r="K438" s="37"/>
      <c r="L438" s="1534">
        <f t="shared" si="234"/>
        <v>18277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2"/>
        <v>41350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27" t="s">
        <v>290</v>
      </c>
      <c r="B439" s="2028"/>
      <c r="C439" s="88"/>
      <c r="D439" s="864"/>
      <c r="E439" s="864"/>
      <c r="F439" s="1834"/>
      <c r="G439" s="1296">
        <v>133994</v>
      </c>
      <c r="H439" s="1296">
        <f>+SUM(H424:H438)</f>
        <v>0</v>
      </c>
      <c r="I439" s="1296">
        <f>+SUM(I424:I438)</f>
        <v>2904</v>
      </c>
      <c r="J439" s="1296">
        <f>+SUM(J424:J438)</f>
        <v>25977</v>
      </c>
      <c r="K439" s="1296">
        <f>+SUM(K424:K438)</f>
        <v>2904</v>
      </c>
      <c r="L439" s="1296">
        <f>+SUM(L424:L438)</f>
        <v>108017</v>
      </c>
      <c r="M439" s="59">
        <f>IFERROR((R439/$S$2),"")</f>
        <v>25345.555555555555</v>
      </c>
      <c r="N439" s="854">
        <f>(L439/M439)</f>
        <v>4.261772828898339</v>
      </c>
      <c r="O439" s="59">
        <f>IFERROR(SUMIF(ETM!$A:$A,$Q439,ETM!$E:$E),"")</f>
        <v>21680.666666666668</v>
      </c>
      <c r="P439" s="880">
        <f>(L439/O439)</f>
        <v>4.9821807447495461</v>
      </c>
      <c r="Q439" s="795" t="s">
        <v>811</v>
      </c>
      <c r="R439" s="785">
        <f>IFERROR(VLOOKUP($Q439,'391'!$S:$Z,8,0),"")</f>
        <v>114055</v>
      </c>
      <c r="S439" s="796"/>
      <c r="T439" s="797"/>
      <c r="U439" s="797"/>
      <c r="V439" s="797"/>
      <c r="W439" s="802">
        <f>IFERROR(VLOOKUP($Q439,'391'!$S:$AG,15,0),0)</f>
        <v>115020</v>
      </c>
      <c r="X439" s="799">
        <f t="shared" si="242"/>
        <v>18974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05">
        <f>IF(L445=0,"",MAX($A$16:A439)+1)</f>
        <v>22</v>
      </c>
      <c r="B440" s="2074" t="s">
        <v>499</v>
      </c>
      <c r="C440" s="238"/>
      <c r="D440" s="887" t="s">
        <v>10</v>
      </c>
      <c r="E440" s="888">
        <v>45887</v>
      </c>
      <c r="F440" s="359">
        <f>$L$7-E440</f>
        <v>389</v>
      </c>
      <c r="G440" s="312">
        <v>0</v>
      </c>
      <c r="H440" s="312"/>
      <c r="I440" s="312"/>
      <c r="J440" s="1322"/>
      <c r="K440" s="312"/>
      <c r="L440" s="1670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2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06"/>
      <c r="B441" s="2075"/>
      <c r="C441" s="238" t="s">
        <v>2214</v>
      </c>
      <c r="D441" s="887" t="s">
        <v>10</v>
      </c>
      <c r="E441" s="888">
        <v>46272</v>
      </c>
      <c r="F441" s="359">
        <f>$L$7-E441</f>
        <v>4</v>
      </c>
      <c r="G441" s="312">
        <v>29760</v>
      </c>
      <c r="H441" s="1963"/>
      <c r="I441" s="312"/>
      <c r="J441" s="1322"/>
      <c r="K441" s="12">
        <f>IFERROR(SUMIF(INTAKE!$A:$A,$T441,INTAKE!$P:$P),0)</f>
        <v>2976</v>
      </c>
      <c r="L441" s="1713">
        <f>+G441+H441+I441-J441-K441</f>
        <v>26784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2"/>
        <v>29760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06"/>
      <c r="B442" s="2075"/>
      <c r="C442" s="238"/>
      <c r="D442" s="887" t="s">
        <v>10</v>
      </c>
      <c r="E442" s="888">
        <v>46272</v>
      </c>
      <c r="F442" s="359">
        <f>$L$7-E442</f>
        <v>4</v>
      </c>
      <c r="G442" s="312">
        <v>0</v>
      </c>
      <c r="H442" s="1963"/>
      <c r="I442" s="312"/>
      <c r="J442" s="1322"/>
      <c r="K442" s="12">
        <f>IFERROR(SUMIF(INTAKE!$A:$A,$T442,INTAKE!$P:$P),0)</f>
        <v>0</v>
      </c>
      <c r="L442" s="1670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2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06"/>
      <c r="B443" s="2075"/>
      <c r="C443" s="238"/>
      <c r="D443" s="887" t="s">
        <v>10</v>
      </c>
      <c r="E443" s="888">
        <v>46161</v>
      </c>
      <c r="F443" s="359">
        <f>$L$7-E443</f>
        <v>115</v>
      </c>
      <c r="G443" s="312">
        <v>0</v>
      </c>
      <c r="H443" s="1963"/>
      <c r="I443" s="312"/>
      <c r="J443" s="1322"/>
      <c r="K443" s="12">
        <f>IFERROR(SUMIF(INTAKE!$A:$A,$T443,INTAKE!$P:$P),0)</f>
        <v>0</v>
      </c>
      <c r="L443" s="1670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2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06"/>
      <c r="B444" s="2075"/>
      <c r="C444" s="119" t="s">
        <v>501</v>
      </c>
      <c r="D444" s="863" t="s">
        <v>10</v>
      </c>
      <c r="E444" s="886">
        <v>46248</v>
      </c>
      <c r="F444" s="329">
        <f>$L$7-E444</f>
        <v>28</v>
      </c>
      <c r="G444" s="1294">
        <v>10574</v>
      </c>
      <c r="H444" s="28"/>
      <c r="I444" s="37">
        <f>+SUM(K440:K443)</f>
        <v>2976</v>
      </c>
      <c r="J444" s="1294">
        <f>+usage!I43</f>
        <v>3145</v>
      </c>
      <c r="K444" s="28"/>
      <c r="L444" s="531">
        <f>+G444+H444+I444-J444-K444</f>
        <v>10405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2"/>
        <v>10574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27" t="s">
        <v>1349</v>
      </c>
      <c r="B445" s="2028"/>
      <c r="C445" s="88"/>
      <c r="D445" s="864"/>
      <c r="E445" s="864"/>
      <c r="F445" s="865"/>
      <c r="G445" s="1296">
        <v>40334</v>
      </c>
      <c r="H445" s="1296">
        <f>+SUM(H440:H444)</f>
        <v>0</v>
      </c>
      <c r="I445" s="1296">
        <f t="shared" ref="I445:L445" si="251">+SUM(I440:I444)</f>
        <v>2976</v>
      </c>
      <c r="J445" s="1296">
        <f t="shared" si="251"/>
        <v>3145</v>
      </c>
      <c r="K445" s="1296">
        <f t="shared" si="251"/>
        <v>2976</v>
      </c>
      <c r="L445" s="1296">
        <f t="shared" si="251"/>
        <v>37189</v>
      </c>
      <c r="M445" s="59">
        <f>IFERROR((R445/$S$2),"")</f>
        <v>1331.5555555555557</v>
      </c>
      <c r="N445" s="854">
        <f>(L445/M445)</f>
        <v>27.928988651535377</v>
      </c>
      <c r="O445" s="59">
        <f>IFERROR(SUMIF(ETM!$A:$A,$Q445,ETM!$E:$E),"")</f>
        <v>1071</v>
      </c>
      <c r="P445" s="880">
        <f>(L445/O445)</f>
        <v>34.723622782446313</v>
      </c>
      <c r="Q445" s="795" t="s">
        <v>829</v>
      </c>
      <c r="R445" s="785">
        <f>IFERROR(VLOOKUP($Q445,'391'!$S:$Z,8,0),"")</f>
        <v>5992</v>
      </c>
      <c r="S445" s="796"/>
      <c r="T445" s="797"/>
      <c r="U445" s="797"/>
      <c r="V445" s="797"/>
      <c r="W445" s="802">
        <f>IFERROR(VLOOKUP($Q445,'391'!$S:$AG,15,0),0)</f>
        <v>17610</v>
      </c>
      <c r="X445" s="799">
        <f t="shared" si="242"/>
        <v>22724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05">
        <f>IF(L454=0,"",MAX($A$16:A445)+1)</f>
        <v>23</v>
      </c>
      <c r="B446" s="2051" t="s">
        <v>1183</v>
      </c>
      <c r="C446" s="111" t="s">
        <v>856</v>
      </c>
      <c r="D446" s="881" t="s">
        <v>10</v>
      </c>
      <c r="E446" s="882">
        <v>44655</v>
      </c>
      <c r="F446" s="41">
        <f t="shared" ref="F446:F453" si="252">$L$7-E446</f>
        <v>1621</v>
      </c>
      <c r="G446" s="300">
        <v>0</v>
      </c>
      <c r="H446" s="306"/>
      <c r="I446" s="1354"/>
      <c r="J446" s="1305"/>
      <c r="K446" s="1347"/>
      <c r="L446" s="531">
        <f t="shared" ref="L446:L453" si="253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2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06"/>
      <c r="B447" s="2073"/>
      <c r="C447" s="111"/>
      <c r="D447" s="881" t="s">
        <v>10</v>
      </c>
      <c r="E447" s="882">
        <v>45854</v>
      </c>
      <c r="F447" s="41">
        <f t="shared" ref="F447:F448" si="254">$L$7-E447</f>
        <v>422</v>
      </c>
      <c r="G447" s="300">
        <v>0</v>
      </c>
      <c r="H447" s="306"/>
      <c r="I447" s="1354"/>
      <c r="J447" s="1305"/>
      <c r="K447" s="306"/>
      <c r="L447" s="1670">
        <f t="shared" si="253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2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06"/>
      <c r="B448" s="2073"/>
      <c r="C448" s="111"/>
      <c r="D448" s="881" t="s">
        <v>10</v>
      </c>
      <c r="E448" s="882">
        <v>45863</v>
      </c>
      <c r="F448" s="41">
        <f t="shared" si="254"/>
        <v>413</v>
      </c>
      <c r="G448" s="300">
        <v>0</v>
      </c>
      <c r="H448" s="306"/>
      <c r="I448" s="1354"/>
      <c r="J448" s="1305"/>
      <c r="K448" s="306"/>
      <c r="L448" s="1670">
        <f t="shared" si="253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2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06"/>
      <c r="B449" s="2073"/>
      <c r="C449" s="111" t="s">
        <v>856</v>
      </c>
      <c r="D449" s="881" t="s">
        <v>10</v>
      </c>
      <c r="E449" s="882">
        <v>46256</v>
      </c>
      <c r="F449" s="41">
        <f t="shared" ref="F449:F450" si="255">$L$7-E449</f>
        <v>20</v>
      </c>
      <c r="G449" s="300">
        <v>8661</v>
      </c>
      <c r="H449" s="306"/>
      <c r="I449" s="1354"/>
      <c r="J449" s="1305"/>
      <c r="K449" s="12">
        <f>IFERROR(SUMIF(INTAKE!$A:$A,$T449,INTAKE!$P:$P),0)</f>
        <v>0</v>
      </c>
      <c r="L449" s="1670">
        <f t="shared" si="253"/>
        <v>8661</v>
      </c>
      <c r="M449" s="48"/>
      <c r="N449" s="249"/>
      <c r="O449" s="369"/>
      <c r="P449" s="738"/>
      <c r="Q449" s="795"/>
      <c r="T449" s="787" t="str">
        <f>$Q$453&amp;C449&amp;E449</f>
        <v>Limestone Coarse (S3.5)A13.246256</v>
      </c>
      <c r="U449" s="787"/>
      <c r="V449" s="787"/>
      <c r="W449" s="802">
        <f>IFERROR(VLOOKUP($Q449,'391'!$P:$AG,15,0),0)</f>
        <v>0</v>
      </c>
      <c r="X449" s="799">
        <f t="shared" si="242"/>
        <v>8661</v>
      </c>
      <c r="Y449" s="787"/>
      <c r="Z449" s="791"/>
      <c r="AA449" s="787"/>
      <c r="AB449" s="787"/>
      <c r="AC449" s="679"/>
    </row>
    <row r="450" spans="1:45" ht="30" customHeight="1" x14ac:dyDescent="0.25">
      <c r="A450" s="2006"/>
      <c r="B450" s="2073"/>
      <c r="C450" s="111" t="s">
        <v>1962</v>
      </c>
      <c r="D450" s="881" t="s">
        <v>10</v>
      </c>
      <c r="E450" s="882">
        <v>46263</v>
      </c>
      <c r="F450" s="41">
        <f t="shared" si="255"/>
        <v>13</v>
      </c>
      <c r="G450" s="300">
        <v>29030</v>
      </c>
      <c r="H450" s="306"/>
      <c r="I450" s="1354"/>
      <c r="J450" s="1305"/>
      <c r="K450" s="12">
        <f>IFERROR(SUMIF(INTAKE!$A:$A,$T450,INTAKE!$P:$P),0)</f>
        <v>0</v>
      </c>
      <c r="L450" s="1670">
        <f t="shared" si="253"/>
        <v>29030</v>
      </c>
      <c r="M450" s="48"/>
      <c r="N450" s="249"/>
      <c r="O450" s="369"/>
      <c r="P450" s="738"/>
      <c r="Q450" s="795"/>
      <c r="T450" s="787" t="str">
        <f t="shared" ref="T450:T451" si="256">$Q$453&amp;C450&amp;E450</f>
        <v>Limestone Coarse (S3.5)A11.146263</v>
      </c>
      <c r="U450" s="787"/>
      <c r="V450" s="787"/>
      <c r="W450" s="802">
        <f>IFERROR(VLOOKUP($Q450,'391'!$P:$AG,15,0),0)</f>
        <v>0</v>
      </c>
      <c r="X450" s="799">
        <f t="shared" si="242"/>
        <v>29030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06"/>
      <c r="B451" s="2073"/>
      <c r="C451" s="111"/>
      <c r="D451" s="881" t="s">
        <v>10</v>
      </c>
      <c r="E451" s="882">
        <v>46263</v>
      </c>
      <c r="F451" s="41">
        <f t="shared" ref="F451" si="257">$L$7-E451</f>
        <v>13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70">
        <f t="shared" si="253"/>
        <v>0</v>
      </c>
      <c r="M451" s="48"/>
      <c r="N451" s="249"/>
      <c r="O451" s="369"/>
      <c r="P451" s="738"/>
      <c r="Q451" s="795"/>
      <c r="T451" s="787" t="str">
        <f t="shared" si="256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2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06"/>
      <c r="B452" s="2073"/>
      <c r="C452" s="111"/>
      <c r="D452" s="881" t="s">
        <v>10</v>
      </c>
      <c r="E452" s="882">
        <v>46206</v>
      </c>
      <c r="F452" s="41">
        <f t="shared" ref="F452" si="258">$L$7-E452</f>
        <v>70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70">
        <f t="shared" si="253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2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06"/>
      <c r="B453" s="2052"/>
      <c r="C453" s="109" t="s">
        <v>1148</v>
      </c>
      <c r="D453" s="850" t="s">
        <v>10</v>
      </c>
      <c r="E453" s="853">
        <v>46256</v>
      </c>
      <c r="F453" s="41">
        <f t="shared" si="252"/>
        <v>20</v>
      </c>
      <c r="G453" s="36">
        <v>22693</v>
      </c>
      <c r="H453" s="36"/>
      <c r="I453" s="36">
        <f>+SUM(K446:K452)</f>
        <v>0</v>
      </c>
      <c r="J453" s="1295">
        <f>usage!I44</f>
        <v>7469</v>
      </c>
      <c r="K453" s="36"/>
      <c r="L453" s="531">
        <f t="shared" si="253"/>
        <v>15224</v>
      </c>
      <c r="M453" s="45"/>
      <c r="N453" s="920"/>
      <c r="O453" s="379"/>
      <c r="P453" s="740"/>
      <c r="Q453" s="666" t="s">
        <v>1586</v>
      </c>
      <c r="U453" s="787"/>
      <c r="V453" s="787"/>
      <c r="W453" s="802">
        <f>IFERROR(VLOOKUP($Q453,'391'!$P:$AG,15,0),0)</f>
        <v>0</v>
      </c>
      <c r="X453" s="799">
        <f t="shared" si="242"/>
        <v>22693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27" t="s">
        <v>291</v>
      </c>
      <c r="B454" s="2028"/>
      <c r="C454" s="88"/>
      <c r="D454" s="864"/>
      <c r="E454" s="864"/>
      <c r="F454" s="865"/>
      <c r="G454" s="1296">
        <v>60384</v>
      </c>
      <c r="H454" s="1296">
        <f t="shared" ref="H454:L454" si="259">SUM(H446:H453)</f>
        <v>0</v>
      </c>
      <c r="I454" s="1296">
        <f t="shared" si="259"/>
        <v>0</v>
      </c>
      <c r="J454" s="1296">
        <f t="shared" si="259"/>
        <v>7469</v>
      </c>
      <c r="K454" s="1296">
        <f t="shared" si="259"/>
        <v>0</v>
      </c>
      <c r="L454" s="1296">
        <f t="shared" si="259"/>
        <v>52915</v>
      </c>
      <c r="M454" s="59">
        <f>IFERROR((R454/$S$2),"")</f>
        <v>4482</v>
      </c>
      <c r="N454" s="854">
        <f>(L454/M454)</f>
        <v>11.806113342257921</v>
      </c>
      <c r="O454" s="59">
        <f>IFERROR(SUMIF(ETM!$A:$A,$Q454,ETM!$E:$E),"")</f>
        <v>1933.3333333333333</v>
      </c>
      <c r="P454" s="880">
        <f>(L454/O454)</f>
        <v>27.369827586206899</v>
      </c>
      <c r="Q454" s="795" t="s">
        <v>823</v>
      </c>
      <c r="R454" s="785">
        <f>IFERROR(VLOOKUP($Q454,'391'!$P:$W,8,0),"")</f>
        <v>20169</v>
      </c>
      <c r="S454" s="796"/>
      <c r="T454" s="797"/>
      <c r="U454" s="797"/>
      <c r="V454" s="797"/>
      <c r="W454" s="802">
        <f>IFERROR(VLOOKUP($Q454,'391'!$P:$AG,15,0),0)</f>
        <v>63758</v>
      </c>
      <c r="X454" s="799">
        <f t="shared" si="242"/>
        <v>-3374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05">
        <f>IF(L465=0,"",MAX($A$16:A454)+1)</f>
        <v>24</v>
      </c>
      <c r="B455" s="2074" t="s">
        <v>36</v>
      </c>
      <c r="C455" s="116" t="s">
        <v>360</v>
      </c>
      <c r="D455" s="881" t="s">
        <v>10</v>
      </c>
      <c r="E455" s="882">
        <v>46274</v>
      </c>
      <c r="F455" s="72">
        <f t="shared" ref="F455:F457" si="260">$L$7-E455</f>
        <v>2</v>
      </c>
      <c r="G455" s="312">
        <v>10000</v>
      </c>
      <c r="H455" s="312"/>
      <c r="I455" s="312"/>
      <c r="J455" s="1322"/>
      <c r="K455" s="12">
        <f>IFERROR(SUMIF(INTAKE!$A:$A,$T455,INTAKE!$P:$P),0)</f>
        <v>10000</v>
      </c>
      <c r="L455" s="1670">
        <f t="shared" ref="L455:L464" si="261">+G455+H455+I455-J455-K455</f>
        <v>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MonohydrateA19.246274</v>
      </c>
      <c r="U455" s="787"/>
      <c r="V455" s="787"/>
      <c r="W455" s="802">
        <f>IFERROR(VLOOKUP($Q455,'391'!$P:$AG,15,0),0)</f>
        <v>0</v>
      </c>
      <c r="X455" s="799">
        <f t="shared" si="242"/>
        <v>10000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06"/>
      <c r="B456" s="2075"/>
      <c r="C456" s="116" t="s">
        <v>261</v>
      </c>
      <c r="D456" s="881" t="s">
        <v>10</v>
      </c>
      <c r="E456" s="882">
        <v>46275</v>
      </c>
      <c r="F456" s="72">
        <f t="shared" si="260"/>
        <v>1</v>
      </c>
      <c r="G456" s="312">
        <v>17500</v>
      </c>
      <c r="H456" s="312"/>
      <c r="I456" s="312"/>
      <c r="J456" s="1322"/>
      <c r="K456" s="12">
        <f>IFERROR(SUMIF(INTAKE!$A:$A,$T456,INTAKE!$P:$P),0)</f>
        <v>0</v>
      </c>
      <c r="L456" s="1670">
        <f t="shared" si="261"/>
        <v>17500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MonohydrateA18.246275</v>
      </c>
      <c r="U456" s="787"/>
      <c r="V456" s="787"/>
      <c r="W456" s="802">
        <f>IFERROR(VLOOKUP($Q456,'391'!$P:$AG,15,0),0)</f>
        <v>0</v>
      </c>
      <c r="X456" s="799">
        <f t="shared" si="242"/>
        <v>17500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customHeight="1" x14ac:dyDescent="0.25">
      <c r="A457" s="2006"/>
      <c r="B457" s="2075"/>
      <c r="C457" s="116" t="s">
        <v>360</v>
      </c>
      <c r="D457" s="881" t="s">
        <v>10</v>
      </c>
      <c r="E457" s="882">
        <v>46275</v>
      </c>
      <c r="F457" s="72">
        <f t="shared" si="260"/>
        <v>1</v>
      </c>
      <c r="G457" s="312">
        <v>10000</v>
      </c>
      <c r="H457" s="312"/>
      <c r="I457" s="312"/>
      <c r="J457" s="1322"/>
      <c r="K457" s="12">
        <f>IFERROR(SUMIF(INTAKE!$A:$A,$T457,INTAKE!$P:$P),0)</f>
        <v>0</v>
      </c>
      <c r="L457" s="1670">
        <f t="shared" si="261"/>
        <v>10000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MonohydrateA19.246275</v>
      </c>
      <c r="U457" s="787"/>
      <c r="V457" s="787"/>
      <c r="W457" s="802">
        <f>IFERROR(VLOOKUP($Q457,'391'!$P:$AG,15,0),0)</f>
        <v>0</v>
      </c>
      <c r="X457" s="799">
        <f t="shared" si="242"/>
        <v>10000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hidden="1" customHeight="1" x14ac:dyDescent="0.25">
      <c r="A458" s="2006"/>
      <c r="B458" s="2075"/>
      <c r="C458" s="116"/>
      <c r="D458" s="881" t="s">
        <v>10</v>
      </c>
      <c r="E458" s="882">
        <v>46275</v>
      </c>
      <c r="F458" s="72">
        <f t="shared" ref="F458" si="262">$L$7-E458</f>
        <v>1</v>
      </c>
      <c r="G458" s="312"/>
      <c r="H458" s="312"/>
      <c r="I458" s="312"/>
      <c r="J458" s="1322"/>
      <c r="K458" s="12">
        <f>IFERROR(SUMIF(INTAKE!$A:$A,$T458,INTAKE!$P:$P),0)</f>
        <v>0</v>
      </c>
      <c r="L458" s="1670">
        <f t="shared" si="261"/>
        <v>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3">$Q$4753&amp;C458&amp;E458</f>
        <v>46275</v>
      </c>
      <c r="U458" s="787"/>
      <c r="V458" s="787"/>
      <c r="W458" s="802">
        <f>IFERROR(VLOOKUP($Q458,'391'!$P:$AG,15,0),0)</f>
        <v>0</v>
      </c>
      <c r="X458" s="799">
        <f t="shared" si="242"/>
        <v>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06"/>
      <c r="B459" s="2075"/>
      <c r="C459" s="116"/>
      <c r="D459" s="881" t="s">
        <v>10</v>
      </c>
      <c r="E459" s="882">
        <v>46253</v>
      </c>
      <c r="F459" s="72">
        <f t="shared" ref="F459" si="264">$L$7-E459</f>
        <v>23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70">
        <f t="shared" si="261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3"/>
        <v>46253</v>
      </c>
      <c r="U459" s="787"/>
      <c r="V459" s="787"/>
      <c r="W459" s="802">
        <f>IFERROR(VLOOKUP($Q459,'391'!$P:$AG,15,0),0)</f>
        <v>0</v>
      </c>
      <c r="X459" s="799">
        <f t="shared" si="242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06"/>
      <c r="B460" s="2075"/>
      <c r="C460" s="116"/>
      <c r="D460" s="881" t="s">
        <v>10</v>
      </c>
      <c r="E460" s="882">
        <v>46234</v>
      </c>
      <c r="F460" s="72">
        <f t="shared" ref="F460" si="265">$L$7-E460</f>
        <v>42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70">
        <f t="shared" si="261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3"/>
        <v>46234</v>
      </c>
      <c r="U460" s="787"/>
      <c r="V460" s="787"/>
      <c r="W460" s="802">
        <f>IFERROR(VLOOKUP($Q460,'391'!$P:$AG,15,0),0)</f>
        <v>0</v>
      </c>
      <c r="X460" s="799">
        <f t="shared" ref="X460:X500" si="266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06"/>
      <c r="B461" s="2080"/>
      <c r="C461" s="116"/>
      <c r="D461" s="881" t="s">
        <v>10</v>
      </c>
      <c r="E461" s="882">
        <v>46111</v>
      </c>
      <c r="F461" s="72">
        <f t="shared" ref="F461" si="267">$L$7-E461</f>
        <v>165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70">
        <f t="shared" ref="L461:L462" si="268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3"/>
        <v>46111</v>
      </c>
      <c r="U461" s="787"/>
      <c r="V461" s="787"/>
      <c r="W461" s="802">
        <f>IFERROR(VLOOKUP($Q461,'391'!$P:$AG,15,0),0)</f>
        <v>0</v>
      </c>
      <c r="X461" s="799">
        <f t="shared" ref="X461:X462" si="269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06"/>
      <c r="B462" s="2080"/>
      <c r="C462" s="116"/>
      <c r="D462" s="881" t="s">
        <v>10</v>
      </c>
      <c r="E462" s="882">
        <v>46111</v>
      </c>
      <c r="F462" s="72">
        <f t="shared" ref="F462" si="270">$L$7-E462</f>
        <v>165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70">
        <f t="shared" si="268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3"/>
        <v>46111</v>
      </c>
      <c r="U462" s="787"/>
      <c r="V462" s="787"/>
      <c r="W462" s="802">
        <f>IFERROR(VLOOKUP($Q462,'391'!$P:$AG,15,0),0)</f>
        <v>0</v>
      </c>
      <c r="X462" s="799">
        <f t="shared" si="269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06"/>
      <c r="B463" s="2075"/>
      <c r="C463" s="116"/>
      <c r="D463" s="881" t="s">
        <v>10</v>
      </c>
      <c r="E463" s="882">
        <v>46063</v>
      </c>
      <c r="F463" s="72">
        <f t="shared" ref="F463:F464" si="271">$L$7-E463</f>
        <v>213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70">
        <f t="shared" si="261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3"/>
        <v>46063</v>
      </c>
      <c r="U463" s="787"/>
      <c r="V463" s="787"/>
      <c r="W463" s="802">
        <f>IFERROR(VLOOKUP($Q463,'391'!$P:$AG,15,0),0)</f>
        <v>0</v>
      </c>
      <c r="X463" s="799">
        <f t="shared" si="266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06"/>
      <c r="B464" s="2076"/>
      <c r="C464" s="61" t="s">
        <v>1624</v>
      </c>
      <c r="D464" s="863" t="s">
        <v>10</v>
      </c>
      <c r="E464" s="886">
        <v>46274</v>
      </c>
      <c r="F464" s="38">
        <f t="shared" si="271"/>
        <v>2</v>
      </c>
      <c r="G464" s="28">
        <v>8646</v>
      </c>
      <c r="H464" s="28"/>
      <c r="I464" s="28">
        <f>+SUM(K455:K463)</f>
        <v>10000</v>
      </c>
      <c r="J464" s="1295">
        <f>usage!I45</f>
        <v>746</v>
      </c>
      <c r="K464" s="28"/>
      <c r="L464" s="1671">
        <f t="shared" si="261"/>
        <v>17900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6"/>
        <v>8646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27" t="s">
        <v>112</v>
      </c>
      <c r="B465" s="2028"/>
      <c r="C465" s="929"/>
      <c r="D465" s="930"/>
      <c r="E465" s="930"/>
      <c r="F465" s="931"/>
      <c r="G465" s="1296">
        <v>46146</v>
      </c>
      <c r="H465" s="1355">
        <f t="shared" ref="H465:J465" si="272">SUM(H455:H464)</f>
        <v>0</v>
      </c>
      <c r="I465" s="1355">
        <f t="shared" si="272"/>
        <v>10000</v>
      </c>
      <c r="J465" s="1355">
        <f t="shared" si="272"/>
        <v>746</v>
      </c>
      <c r="K465" s="1355">
        <f>SUM(K455:K464)</f>
        <v>10000</v>
      </c>
      <c r="L465" s="1296">
        <f>SUM(L455:L464)</f>
        <v>45400</v>
      </c>
      <c r="M465" s="932">
        <f>IFERROR((R465/$S$2),"")</f>
        <v>4318.4444444444443</v>
      </c>
      <c r="N465" s="854">
        <f>(L465/M465)</f>
        <v>10.513044820665877</v>
      </c>
      <c r="O465" s="932">
        <f>IFERROR(SUMIF(ETM!$A:$A,$Q465,ETM!$E:$E),"")</f>
        <v>3666.6666666666665</v>
      </c>
      <c r="P465" s="880">
        <f>(L465/O465)</f>
        <v>12.381818181818183</v>
      </c>
      <c r="Q465" s="795" t="s">
        <v>828</v>
      </c>
      <c r="R465" s="785">
        <f>IFERROR(VLOOKUP($Q465,'391'!$P:$W,8,0),"")</f>
        <v>19433</v>
      </c>
      <c r="S465" s="796"/>
      <c r="T465" s="797"/>
      <c r="U465" s="797"/>
      <c r="V465" s="797"/>
      <c r="W465" s="802">
        <f>IFERROR(VLOOKUP($Q465,'391'!$P:$AG,15,0),0)</f>
        <v>31301</v>
      </c>
      <c r="X465" s="799">
        <f t="shared" si="266"/>
        <v>14845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06">
        <f>IF(L489=0,"",MAX($A$16:A465)+1)</f>
        <v>25</v>
      </c>
      <c r="B466" s="2073" t="s">
        <v>1696</v>
      </c>
      <c r="C466" s="110"/>
      <c r="D466" s="887" t="s">
        <v>10</v>
      </c>
      <c r="E466" s="888">
        <v>46224</v>
      </c>
      <c r="F466" s="856">
        <f t="shared" ref="F466:F469" si="273">$L$7-E466</f>
        <v>52</v>
      </c>
      <c r="G466" s="18">
        <v>0</v>
      </c>
      <c r="H466" s="18"/>
      <c r="I466" s="18"/>
      <c r="J466" s="1338"/>
      <c r="K466" s="1922">
        <f>IFERROR(SUMIF(INTAKE!$A:$A,$T466,INTAKE!$P:$P),0)</f>
        <v>0</v>
      </c>
      <c r="L466" s="1670">
        <f t="shared" ref="L466:L488" si="274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6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06"/>
      <c r="B467" s="2073"/>
      <c r="C467" s="110"/>
      <c r="D467" s="887" t="s">
        <v>10</v>
      </c>
      <c r="E467" s="888">
        <v>46224</v>
      </c>
      <c r="F467" s="856">
        <f t="shared" si="273"/>
        <v>52</v>
      </c>
      <c r="G467" s="18">
        <v>0</v>
      </c>
      <c r="H467" s="18"/>
      <c r="I467" s="18"/>
      <c r="J467" s="1338"/>
      <c r="K467" s="1922">
        <f>IFERROR(SUMIF(INTAKE!$A:$A,$T467,INTAKE!$P:$P),0)</f>
        <v>0</v>
      </c>
      <c r="L467" s="1670">
        <f t="shared" si="274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5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6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06"/>
      <c r="B468" s="2073"/>
      <c r="C468" s="110"/>
      <c r="D468" s="887" t="s">
        <v>10</v>
      </c>
      <c r="E468" s="888">
        <v>46224</v>
      </c>
      <c r="F468" s="856">
        <f t="shared" si="273"/>
        <v>52</v>
      </c>
      <c r="G468" s="18">
        <v>0</v>
      </c>
      <c r="H468" s="18"/>
      <c r="I468" s="18"/>
      <c r="J468" s="1338"/>
      <c r="K468" s="1922">
        <f>IFERROR(SUMIF(INTAKE!$A:$A,$T468,INTAKE!$P:$P),0)</f>
        <v>0</v>
      </c>
      <c r="L468" s="1670">
        <f t="shared" si="274"/>
        <v>0</v>
      </c>
      <c r="M468" s="45"/>
      <c r="N468" s="162"/>
      <c r="O468" s="45"/>
      <c r="P468" s="736"/>
      <c r="Q468" s="666" t="s">
        <v>1761</v>
      </c>
      <c r="R468" s="785" t="str">
        <f>IFERROR(VLOOKUP($Q468,'391'!$P:$W,8,0),"")</f>
        <v/>
      </c>
      <c r="S468" s="796"/>
      <c r="T468" s="787" t="str">
        <f t="shared" si="275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6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06"/>
      <c r="B469" s="2073"/>
      <c r="C469" s="110"/>
      <c r="D469" s="887" t="s">
        <v>10</v>
      </c>
      <c r="E469" s="888">
        <v>46225</v>
      </c>
      <c r="F469" s="856">
        <f t="shared" si="273"/>
        <v>51</v>
      </c>
      <c r="G469" s="18">
        <v>0</v>
      </c>
      <c r="H469" s="18"/>
      <c r="I469" s="18"/>
      <c r="J469" s="1338"/>
      <c r="K469" s="1922">
        <f>IFERROR(SUMIF(INTAKE!$A:$A,$T469,INTAKE!$P:$P),0)</f>
        <v>0</v>
      </c>
      <c r="L469" s="1670">
        <f t="shared" si="274"/>
        <v>0</v>
      </c>
      <c r="M469" s="45"/>
      <c r="N469" s="162"/>
      <c r="O469" s="45"/>
      <c r="P469" s="736"/>
      <c r="Q469" s="666" t="s">
        <v>1887</v>
      </c>
      <c r="R469" s="785" t="str">
        <f>IFERROR(VLOOKUP($Q469,'391'!$P:$W,8,0),"")</f>
        <v/>
      </c>
      <c r="S469" s="796"/>
      <c r="T469" s="787" t="str">
        <f t="shared" si="275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6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06"/>
      <c r="B470" s="2073"/>
      <c r="C470" s="110"/>
      <c r="D470" s="887" t="s">
        <v>10</v>
      </c>
      <c r="E470" s="888">
        <v>46225</v>
      </c>
      <c r="F470" s="856">
        <f t="shared" ref="F470:F479" si="276">$L$7-E470</f>
        <v>51</v>
      </c>
      <c r="G470" s="18">
        <v>0</v>
      </c>
      <c r="H470" s="18"/>
      <c r="I470" s="18"/>
      <c r="J470" s="1338"/>
      <c r="K470" s="1922">
        <f>IFERROR(SUMIF(INTAKE!$A:$A,$T470,INTAKE!$P:$P),0)</f>
        <v>0</v>
      </c>
      <c r="L470" s="1670">
        <f t="shared" si="274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5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6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06"/>
      <c r="B471" s="2073"/>
      <c r="C471" s="110" t="s">
        <v>506</v>
      </c>
      <c r="D471" s="887" t="s">
        <v>10</v>
      </c>
      <c r="E471" s="888">
        <v>46253</v>
      </c>
      <c r="F471" s="856">
        <f t="shared" si="276"/>
        <v>23</v>
      </c>
      <c r="G471" s="18">
        <v>22000</v>
      </c>
      <c r="H471" s="18"/>
      <c r="I471" s="18"/>
      <c r="J471" s="1338"/>
      <c r="K471" s="1922">
        <f>IFERROR(SUMIF(INTAKE!$A:$A,$T471,INTAKE!$P:$P),0)</f>
        <v>10000</v>
      </c>
      <c r="L471" s="1670">
        <f t="shared" si="274"/>
        <v>12000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(Turkey)C146253</v>
      </c>
      <c r="U471" s="797"/>
      <c r="V471" s="797"/>
      <c r="W471" s="802">
        <f>IFERROR(VLOOKUP($Q471,'391'!$P:$AG,15,0),0)</f>
        <v>0</v>
      </c>
      <c r="X471" s="799">
        <f t="shared" si="266"/>
        <v>22000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06"/>
      <c r="B472" s="2077"/>
      <c r="C472" s="110" t="s">
        <v>506</v>
      </c>
      <c r="D472" s="887" t="s">
        <v>10</v>
      </c>
      <c r="E472" s="888">
        <v>46254</v>
      </c>
      <c r="F472" s="856">
        <f t="shared" si="276"/>
        <v>22</v>
      </c>
      <c r="G472" s="18">
        <v>25000</v>
      </c>
      <c r="H472" s="18"/>
      <c r="I472" s="18"/>
      <c r="J472" s="1338"/>
      <c r="K472" s="1922">
        <f>IFERROR(SUMIF(INTAKE!$A:$A,$T472,INTAKE!$P:$P),0)</f>
        <v>0</v>
      </c>
      <c r="L472" s="1713">
        <f t="shared" ref="L472:L482" si="277">+G472+H472+I472-J472-K472</f>
        <v>25000</v>
      </c>
      <c r="M472" s="45"/>
      <c r="N472" s="162"/>
      <c r="O472" s="45"/>
      <c r="P472" s="736"/>
      <c r="Q472" s="666" t="s">
        <v>1588</v>
      </c>
      <c r="R472" s="785" t="str">
        <f>IFERROR(VLOOKUP($Q472,'391'!$P:$W,8,0),"")</f>
        <v/>
      </c>
      <c r="S472" s="796"/>
      <c r="T472" s="787" t="str">
        <f>$Q$474&amp;C472&amp;E472</f>
        <v>Sweet Whey Powder  (Turkey)C146254</v>
      </c>
      <c r="U472" s="797"/>
      <c r="V472" s="797"/>
      <c r="W472" s="802">
        <f>IFERROR(VLOOKUP($Q472,'391'!$P:$AG,15,0),0)</f>
        <v>0</v>
      </c>
      <c r="X472" s="799">
        <f t="shared" ref="X472:X482" si="278">G472-W472</f>
        <v>25000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06"/>
      <c r="B473" s="2077"/>
      <c r="C473" s="110" t="s">
        <v>152</v>
      </c>
      <c r="D473" s="887" t="s">
        <v>10</v>
      </c>
      <c r="E473" s="888">
        <v>46254</v>
      </c>
      <c r="F473" s="856">
        <f t="shared" si="276"/>
        <v>22</v>
      </c>
      <c r="G473" s="18">
        <v>25000</v>
      </c>
      <c r="H473" s="18"/>
      <c r="I473" s="18"/>
      <c r="J473" s="1338"/>
      <c r="K473" s="1922">
        <f>IFERROR(SUMIF(INTAKE!$A:$A,$T473,INTAKE!$P:$P),0)</f>
        <v>0</v>
      </c>
      <c r="L473" s="1713">
        <f t="shared" ref="L473:L478" si="279">+G473+H473+I473-J473-K473</f>
        <v>25000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 t="shared" ref="T473:T474" si="280">$Q$472&amp;C473&amp;E473</f>
        <v>Sweet Whey Powder (Italy)B14.146254</v>
      </c>
      <c r="U473" s="797"/>
      <c r="V473" s="797"/>
      <c r="W473" s="802">
        <f>IFERROR(VLOOKUP($Q473,'391'!$P:$AG,15,0),0)</f>
        <v>0</v>
      </c>
      <c r="X473" s="799">
        <f t="shared" ref="X473:X478" si="281">G473-W473</f>
        <v>25000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06"/>
      <c r="B474" s="2077"/>
      <c r="C474" s="110" t="s">
        <v>152</v>
      </c>
      <c r="D474" s="887" t="s">
        <v>10</v>
      </c>
      <c r="E474" s="888">
        <v>46254</v>
      </c>
      <c r="F474" s="856">
        <f t="shared" si="276"/>
        <v>22</v>
      </c>
      <c r="G474" s="18">
        <v>25000</v>
      </c>
      <c r="H474" s="18"/>
      <c r="I474" s="18"/>
      <c r="J474" s="1338"/>
      <c r="K474" s="1922">
        <f>IFERROR(SUMIF(INTAKE!$A:$A,$T474,INTAKE!$P:$P),0)</f>
        <v>0</v>
      </c>
      <c r="L474" s="1713">
        <f t="shared" si="279"/>
        <v>25000</v>
      </c>
      <c r="M474" s="45"/>
      <c r="N474" s="162"/>
      <c r="O474" s="45"/>
      <c r="P474" s="736"/>
      <c r="Q474" s="666" t="s">
        <v>1781</v>
      </c>
      <c r="R474" s="785" t="str">
        <f>IFERROR(VLOOKUP($Q474,'391'!$P:$W,8,0),"")</f>
        <v/>
      </c>
      <c r="S474" s="796"/>
      <c r="T474" s="787" t="str">
        <f t="shared" si="280"/>
        <v>Sweet Whey Powder (Italy)B14.146254</v>
      </c>
      <c r="U474" s="797"/>
      <c r="V474" s="797"/>
      <c r="W474" s="802">
        <f>IFERROR(VLOOKUP($Q474,'391'!$P:$AG,15,0),0)</f>
        <v>0</v>
      </c>
      <c r="X474" s="799">
        <f t="shared" si="281"/>
        <v>25000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06"/>
      <c r="B475" s="2077"/>
      <c r="C475" s="110" t="s">
        <v>1947</v>
      </c>
      <c r="D475" s="887" t="s">
        <v>10</v>
      </c>
      <c r="E475" s="888">
        <v>46262</v>
      </c>
      <c r="F475" s="856">
        <f t="shared" si="276"/>
        <v>14</v>
      </c>
      <c r="G475" s="18">
        <v>48000</v>
      </c>
      <c r="H475" s="18"/>
      <c r="I475" s="18"/>
      <c r="J475" s="1338"/>
      <c r="K475" s="1922">
        <f>IFERROR(SUMIF(INTAKE!$A:$A,$T475,INTAKE!$P:$P),0)</f>
        <v>0</v>
      </c>
      <c r="L475" s="1713">
        <f t="shared" si="279"/>
        <v>48000</v>
      </c>
      <c r="M475" s="45"/>
      <c r="N475" s="162"/>
      <c r="O475" s="45"/>
      <c r="P475" s="736"/>
      <c r="Q475" s="666" t="s">
        <v>1697</v>
      </c>
      <c r="R475" s="785" t="str">
        <f>IFERROR(VLOOKUP($Q475,'391'!$P:$W,8,0),"")</f>
        <v/>
      </c>
      <c r="S475" s="796"/>
      <c r="T475" s="787" t="str">
        <f t="shared" ref="T475" si="282">$Q$470&amp;C475&amp;E475</f>
        <v>B346262</v>
      </c>
      <c r="U475" s="797"/>
      <c r="V475" s="797"/>
      <c r="W475" s="802">
        <f>IFERROR(VLOOKUP($Q475,'391'!$P:$AG,15,0),0)</f>
        <v>0</v>
      </c>
      <c r="X475" s="799">
        <f t="shared" si="281"/>
        <v>48000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06"/>
      <c r="B476" s="2077"/>
      <c r="C476" s="110" t="s">
        <v>1963</v>
      </c>
      <c r="D476" s="887" t="s">
        <v>10</v>
      </c>
      <c r="E476" s="888">
        <v>46263</v>
      </c>
      <c r="F476" s="856">
        <f t="shared" si="276"/>
        <v>13</v>
      </c>
      <c r="G476" s="18">
        <v>48000</v>
      </c>
      <c r="H476" s="18"/>
      <c r="I476" s="18"/>
      <c r="J476" s="1338"/>
      <c r="K476" s="1922">
        <f>IFERROR(SUMIF(INTAKE!$A:$A,$T476,INTAKE!$P:$P),0)</f>
        <v>0</v>
      </c>
      <c r="L476" s="1713">
        <f t="shared" ref="L476:L477" si="283">+G476+H476+I476-J476-K476</f>
        <v>48000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(Turkey)B546263</v>
      </c>
      <c r="U476" s="797"/>
      <c r="V476" s="797"/>
      <c r="W476" s="802">
        <f>IFERROR(VLOOKUP($Q476,'391'!$P:$AG,15,0),0)</f>
        <v>0</v>
      </c>
      <c r="X476" s="799">
        <f t="shared" ref="X476:X477" si="284">G476-W476</f>
        <v>48000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06"/>
      <c r="B477" s="2077"/>
      <c r="C477" s="110" t="s">
        <v>1316</v>
      </c>
      <c r="D477" s="887" t="s">
        <v>10</v>
      </c>
      <c r="E477" s="888">
        <v>46270</v>
      </c>
      <c r="F477" s="856">
        <f t="shared" si="276"/>
        <v>6</v>
      </c>
      <c r="G477" s="18">
        <v>8250</v>
      </c>
      <c r="H477" s="18"/>
      <c r="I477" s="18"/>
      <c r="J477" s="1338"/>
      <c r="K477" s="1922">
        <f>IFERROR(SUMIF(INTAKE!$A:$A,$T477,INTAKE!$P:$P),0)</f>
        <v>8250</v>
      </c>
      <c r="L477" s="1713">
        <f t="shared" si="283"/>
        <v>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(USA)B18.146270</v>
      </c>
      <c r="U477" s="797"/>
      <c r="V477" s="797"/>
      <c r="W477" s="802">
        <f>IFERROR(VLOOKUP($Q477,'391'!$P:$AG,15,0),0)</f>
        <v>0</v>
      </c>
      <c r="X477" s="799">
        <f t="shared" si="284"/>
        <v>8250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06"/>
      <c r="B478" s="2077"/>
      <c r="C478" s="110" t="s">
        <v>2224</v>
      </c>
      <c r="D478" s="887" t="s">
        <v>10</v>
      </c>
      <c r="E478" s="888">
        <v>46275</v>
      </c>
      <c r="F478" s="856">
        <f t="shared" si="276"/>
        <v>1</v>
      </c>
      <c r="G478" s="18">
        <v>38250</v>
      </c>
      <c r="H478" s="18"/>
      <c r="I478" s="18"/>
      <c r="J478" s="1338"/>
      <c r="K478" s="1922">
        <f>IFERROR(SUMIF(INTAKE!$A:$A,$T478,INTAKE!$P:$P),0)</f>
        <v>0</v>
      </c>
      <c r="L478" s="1713">
        <f t="shared" si="279"/>
        <v>38250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5">$Q$469&amp;C478&amp;E478</f>
        <v>Sweet Whey Powder (USA)C1246275</v>
      </c>
      <c r="U478" s="797"/>
      <c r="V478" s="797"/>
      <c r="W478" s="802">
        <f>IFERROR(VLOOKUP($Q478,'391'!$P:$AG,15,0),0)</f>
        <v>0</v>
      </c>
      <c r="X478" s="799">
        <f t="shared" si="281"/>
        <v>38250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06"/>
      <c r="B479" s="2077"/>
      <c r="C479" s="110" t="s">
        <v>2442</v>
      </c>
      <c r="D479" s="887" t="s">
        <v>10</v>
      </c>
      <c r="E479" s="888">
        <v>46276</v>
      </c>
      <c r="F479" s="856">
        <f t="shared" si="276"/>
        <v>0</v>
      </c>
      <c r="G479" s="18"/>
      <c r="H479" s="18">
        <f>19125+10125</f>
        <v>29250</v>
      </c>
      <c r="I479" s="18"/>
      <c r="J479" s="1338"/>
      <c r="K479" s="1922">
        <f>IFERROR(SUMIF(INTAKE!$A:$A,$T479,INTAKE!$P:$P),0)</f>
        <v>0</v>
      </c>
      <c r="L479" s="1713">
        <f t="shared" si="277"/>
        <v>29250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5"/>
        <v>Sweet Whey Powder (USA)C1146276</v>
      </c>
      <c r="U479" s="797"/>
      <c r="V479" s="797"/>
      <c r="W479" s="802">
        <f>IFERROR(VLOOKUP($Q479,'391'!$P:$AG,15,0),0)</f>
        <v>0</v>
      </c>
      <c r="X479" s="799">
        <f t="shared" si="278"/>
        <v>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06"/>
      <c r="B480" s="2077"/>
      <c r="C480" s="110" t="s">
        <v>2443</v>
      </c>
      <c r="D480" s="887" t="s">
        <v>10</v>
      </c>
      <c r="E480" s="888">
        <v>46276</v>
      </c>
      <c r="F480" s="856">
        <f t="shared" ref="F471:F480" si="286">$L$7-E480</f>
        <v>0</v>
      </c>
      <c r="G480" s="18"/>
      <c r="H480" s="18">
        <f>8925+19125</f>
        <v>28050</v>
      </c>
      <c r="I480" s="18"/>
      <c r="J480" s="1338"/>
      <c r="K480" s="1922">
        <f>IFERROR(SUMIF(INTAKE!$A:$A,$T480,INTAKE!$P:$P),0)</f>
        <v>0</v>
      </c>
      <c r="L480" s="1713">
        <f t="shared" ref="L480" si="287">+G480+H480+I480-J480-K480</f>
        <v>28050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5"/>
        <v>Sweet Whey Powder (USA)C1046276</v>
      </c>
      <c r="U480" s="797"/>
      <c r="V480" s="797"/>
      <c r="W480" s="802">
        <f>IFERROR(VLOOKUP($Q480,'391'!$P:$AG,15,0),0)</f>
        <v>0</v>
      </c>
      <c r="X480" s="799">
        <f t="shared" ref="X480" si="288">G480-W480</f>
        <v>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hidden="1" customHeight="1" x14ac:dyDescent="0.25">
      <c r="A481" s="2006"/>
      <c r="B481" s="2077"/>
      <c r="C481" s="110"/>
      <c r="D481" s="887" t="s">
        <v>10</v>
      </c>
      <c r="E481" s="888">
        <v>46270</v>
      </c>
      <c r="F481" s="856">
        <f t="shared" ref="F481:F483" si="289">$L$7-E481</f>
        <v>6</v>
      </c>
      <c r="G481" s="18">
        <v>0</v>
      </c>
      <c r="H481" s="18"/>
      <c r="I481" s="18"/>
      <c r="J481" s="1338"/>
      <c r="K481" s="1922">
        <f>IFERROR(SUMIF(INTAKE!$A:$A,$T481,INTAKE!$P:$P),0)</f>
        <v>0</v>
      </c>
      <c r="L481" s="1713">
        <f t="shared" si="277"/>
        <v>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0">$Q$474&amp;C481&amp;E481</f>
        <v>Sweet Whey Powder  (Turkey)46270</v>
      </c>
      <c r="U481" s="797"/>
      <c r="V481" s="797"/>
      <c r="W481" s="802">
        <f>IFERROR(VLOOKUP($Q481,'391'!$P:$AG,15,0),0)</f>
        <v>0</v>
      </c>
      <c r="X481" s="799">
        <f t="shared" si="278"/>
        <v>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hidden="1" customHeight="1" x14ac:dyDescent="0.25">
      <c r="A482" s="2006"/>
      <c r="B482" s="2077"/>
      <c r="C482" s="110"/>
      <c r="D482" s="887" t="s">
        <v>10</v>
      </c>
      <c r="E482" s="888">
        <v>46101</v>
      </c>
      <c r="F482" s="856">
        <f t="shared" ref="F482" si="291">$L$7-E482</f>
        <v>175</v>
      </c>
      <c r="G482" s="18">
        <v>0</v>
      </c>
      <c r="H482" s="18"/>
      <c r="I482" s="18"/>
      <c r="J482" s="1338"/>
      <c r="K482" s="1922">
        <f>IFERROR(SUMIF(INTAKE!$A:$A,$T482,INTAKE!$P:$P),0)</f>
        <v>0</v>
      </c>
      <c r="L482" s="1713">
        <f t="shared" si="277"/>
        <v>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0"/>
        <v>Sweet Whey Powder  (Turkey)46101</v>
      </c>
      <c r="U482" s="797"/>
      <c r="V482" s="797"/>
      <c r="W482" s="802">
        <f>IFERROR(VLOOKUP($Q482,'391'!$P:$AG,15,0),0)</f>
        <v>0</v>
      </c>
      <c r="X482" s="799">
        <f t="shared" si="278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06"/>
      <c r="B483" s="2077"/>
      <c r="C483" s="110"/>
      <c r="D483" s="887" t="s">
        <v>10</v>
      </c>
      <c r="E483" s="888">
        <v>46101</v>
      </c>
      <c r="F483" s="856">
        <f t="shared" si="289"/>
        <v>175</v>
      </c>
      <c r="G483" s="18">
        <v>0</v>
      </c>
      <c r="H483" s="18"/>
      <c r="I483" s="18"/>
      <c r="J483" s="1338"/>
      <c r="K483" s="1922">
        <f>IFERROR(SUMIF(INTAKE!$A:$A,$T483,INTAKE!$P:$P),0)</f>
        <v>0</v>
      </c>
      <c r="L483" s="1713">
        <f t="shared" ref="L483:L484" si="292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0"/>
        <v>Sweet Whey Powder  (Turkey)46101</v>
      </c>
      <c r="U483" s="797"/>
      <c r="V483" s="797"/>
      <c r="W483" s="802">
        <f>IFERROR(VLOOKUP($Q483,'391'!$P:$AG,15,0),0)</f>
        <v>0</v>
      </c>
      <c r="X483" s="799">
        <f t="shared" ref="X483:X484" si="293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06"/>
      <c r="B484" s="2077"/>
      <c r="C484" s="110"/>
      <c r="D484" s="887" t="s">
        <v>10</v>
      </c>
      <c r="E484" s="888">
        <v>46100</v>
      </c>
      <c r="F484" s="856">
        <f t="shared" ref="F484" si="294">$L$7-E484</f>
        <v>176</v>
      </c>
      <c r="G484" s="18">
        <v>0</v>
      </c>
      <c r="H484" s="18"/>
      <c r="I484" s="18"/>
      <c r="J484" s="1338"/>
      <c r="K484" s="1922">
        <f>IFERROR(SUMIF(INTAKE!$A:$A,$T484,INTAKE!$P:$P),0)</f>
        <v>0</v>
      </c>
      <c r="L484" s="1713">
        <f t="shared" si="292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0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3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06"/>
      <c r="B485" s="2077"/>
      <c r="C485" s="110"/>
      <c r="D485" s="887" t="s">
        <v>10</v>
      </c>
      <c r="E485" s="888">
        <v>46100</v>
      </c>
      <c r="F485" s="856">
        <f t="shared" ref="F485:F486" si="295">$L$7-E485</f>
        <v>176</v>
      </c>
      <c r="G485" s="18">
        <v>0</v>
      </c>
      <c r="H485" s="18"/>
      <c r="I485" s="18"/>
      <c r="J485" s="1338"/>
      <c r="K485" s="1922">
        <f>IFERROR(SUMIF(INTAKE!$A:$A,$T485,INTAKE!$P:$P),0)</f>
        <v>0</v>
      </c>
      <c r="L485" s="1713">
        <f t="shared" ref="L485:L486" si="296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0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7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06"/>
      <c r="B486" s="2077"/>
      <c r="C486" s="110"/>
      <c r="D486" s="887" t="s">
        <v>10</v>
      </c>
      <c r="E486" s="888">
        <v>46101</v>
      </c>
      <c r="F486" s="856">
        <f t="shared" si="295"/>
        <v>175</v>
      </c>
      <c r="G486" s="18">
        <v>0</v>
      </c>
      <c r="H486" s="18"/>
      <c r="I486" s="18"/>
      <c r="J486" s="1338"/>
      <c r="K486" s="1922">
        <f>IFERROR(SUMIF(INTAKE!$A:$A,$T486,INTAKE!$P:$P),0)</f>
        <v>0</v>
      </c>
      <c r="L486" s="1713">
        <f t="shared" si="296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0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7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06"/>
      <c r="B487" s="2073"/>
      <c r="C487" s="110"/>
      <c r="D487" s="887" t="s">
        <v>10</v>
      </c>
      <c r="E487" s="888">
        <v>46101</v>
      </c>
      <c r="F487" s="856">
        <f t="shared" ref="F487" si="298">$L$7-E487</f>
        <v>175</v>
      </c>
      <c r="G487" s="18">
        <v>0</v>
      </c>
      <c r="H487" s="18"/>
      <c r="I487" s="18"/>
      <c r="J487" s="1338"/>
      <c r="K487" s="1922">
        <f>IFERROR(SUMIF(INTAKE!$A:$A,$T487,INTAKE!$P:$P),0)</f>
        <v>0</v>
      </c>
      <c r="L487" s="1713">
        <f t="shared" si="274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0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6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06"/>
      <c r="B488" s="2073"/>
      <c r="C488" s="65" t="s">
        <v>1663</v>
      </c>
      <c r="D488" s="852" t="s">
        <v>10</v>
      </c>
      <c r="E488" s="853">
        <v>46253</v>
      </c>
      <c r="F488" s="856">
        <f t="shared" ref="F488" si="299">$L$7-E488</f>
        <v>23</v>
      </c>
      <c r="G488" s="919">
        <v>17198</v>
      </c>
      <c r="H488" s="300"/>
      <c r="I488" s="36">
        <f>+SUM(K466:K488)</f>
        <v>18250</v>
      </c>
      <c r="J488" s="1294">
        <f>usage!I47</f>
        <v>4096</v>
      </c>
      <c r="K488" s="1345"/>
      <c r="L488" s="531">
        <f t="shared" si="274"/>
        <v>31352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6"/>
        <v>17198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27" t="s">
        <v>113</v>
      </c>
      <c r="B489" s="2028"/>
      <c r="C489" s="88"/>
      <c r="D489" s="864"/>
      <c r="E489" s="939"/>
      <c r="F489" s="865"/>
      <c r="G489" s="1296">
        <v>256698</v>
      </c>
      <c r="H489" s="1296">
        <f>SUM(H466:H488)</f>
        <v>57300</v>
      </c>
      <c r="I489" s="1296">
        <f>SUM(I466:I488)</f>
        <v>18250</v>
      </c>
      <c r="J489" s="1296">
        <f>SUM(J466:J488)</f>
        <v>4096</v>
      </c>
      <c r="K489" s="1296">
        <f>SUM(K466:K488)</f>
        <v>18250</v>
      </c>
      <c r="L489" s="1296">
        <f>SUM(L466:L488)</f>
        <v>309902</v>
      </c>
      <c r="M489" s="59">
        <f>IFERROR(S489/$S$2,"")</f>
        <v>14386.222222222223</v>
      </c>
      <c r="N489" s="854">
        <f>(L489/M489)</f>
        <v>21.541582996076492</v>
      </c>
      <c r="O489" s="59">
        <f>IFERROR(SUMIF(ETM!$A:$A,$Q489,ETM!$E:$E),"")</f>
        <v>12808.333333333332</v>
      </c>
      <c r="P489" s="880">
        <f>(L489/O489)</f>
        <v>24.195341574495774</v>
      </c>
      <c r="Q489" s="795" t="s">
        <v>826</v>
      </c>
      <c r="R489" s="785">
        <f>IFERROR(VLOOKUP($Q489,'391'!$P:$W,8,0),"")</f>
        <v>103577</v>
      </c>
      <c r="S489" s="800">
        <f>+R489-R509</f>
        <v>64738</v>
      </c>
      <c r="T489" s="797"/>
      <c r="U489" s="797"/>
      <c r="V489" s="797"/>
      <c r="W489" s="802">
        <f>IFERROR(VLOOKUP($Q489,'391'!$P:$AG,15,0),0)</f>
        <v>479899</v>
      </c>
      <c r="X489" s="799">
        <f t="shared" si="266"/>
        <v>-223201</v>
      </c>
      <c r="Y489" s="1087">
        <f>+G489+G509</f>
        <v>411114</v>
      </c>
      <c r="Z489" s="1088">
        <f>+W489-Y489</f>
        <v>68785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29">
        <f>IF(L509=0," ",MAX($A$16:A489)+1)</f>
        <v>26</v>
      </c>
      <c r="B490" s="2032" t="s">
        <v>39</v>
      </c>
      <c r="C490" s="1199"/>
      <c r="D490" s="887" t="s">
        <v>10</v>
      </c>
      <c r="E490" s="888">
        <v>45724</v>
      </c>
      <c r="F490" s="359">
        <f t="shared" ref="F490:F506" si="300">$L$7-E490</f>
        <v>552</v>
      </c>
      <c r="G490" s="300">
        <v>0</v>
      </c>
      <c r="H490" s="300"/>
      <c r="I490" s="300"/>
      <c r="J490" s="1300"/>
      <c r="K490" s="1345"/>
      <c r="L490" s="1670">
        <f t="shared" ref="L490:L508" si="301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6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30"/>
      <c r="B491" s="2033"/>
      <c r="C491" s="127"/>
      <c r="D491" s="887" t="s">
        <v>10</v>
      </c>
      <c r="E491" s="888">
        <v>46001</v>
      </c>
      <c r="F491" s="359">
        <f t="shared" ref="F491" si="302">$L$7-E491</f>
        <v>275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70">
        <f t="shared" si="301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6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30"/>
      <c r="B492" s="2033"/>
      <c r="C492" s="127"/>
      <c r="D492" s="887" t="s">
        <v>10</v>
      </c>
      <c r="E492" s="888">
        <v>46002</v>
      </c>
      <c r="F492" s="359">
        <f t="shared" ref="F492:F493" si="303">$L$7-E492</f>
        <v>274</v>
      </c>
      <c r="G492" s="300">
        <v>0</v>
      </c>
      <c r="H492" s="1896"/>
      <c r="I492" s="300"/>
      <c r="J492" s="1300"/>
      <c r="K492" s="1379">
        <f>IFERROR(SUMIF(INTAKE!$A:$A,$T492,INTAKE!$P:$P),0)</f>
        <v>0</v>
      </c>
      <c r="L492" s="1670">
        <f t="shared" si="301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4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6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30"/>
      <c r="B493" s="2033"/>
      <c r="C493" s="127"/>
      <c r="D493" s="887" t="s">
        <v>10</v>
      </c>
      <c r="E493" s="888">
        <v>46046</v>
      </c>
      <c r="F493" s="359">
        <f t="shared" si="303"/>
        <v>230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70">
        <f t="shared" si="301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4"/>
        <v>Deproteinized Whey46046</v>
      </c>
      <c r="U493" s="797"/>
      <c r="V493" s="797"/>
      <c r="W493" s="802">
        <f>IFERROR(VLOOKUP($Q493,'391'!$P:$AG,15,0),0)</f>
        <v>0</v>
      </c>
      <c r="X493" s="799">
        <f t="shared" si="266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30"/>
      <c r="B494" s="2033"/>
      <c r="C494" s="127"/>
      <c r="D494" s="887" t="s">
        <v>10</v>
      </c>
      <c r="E494" s="888">
        <v>46111</v>
      </c>
      <c r="F494" s="359">
        <f t="shared" ref="F494" si="305">$L$7-E494</f>
        <v>165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70">
        <f t="shared" ref="L494:L501" si="306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4"/>
        <v>Deproteinized Whey46111</v>
      </c>
      <c r="U494" s="797"/>
      <c r="V494" s="797"/>
      <c r="W494" s="802">
        <f>IFERROR(VLOOKUP($Q494,'391'!$P:$AG,15,0),0)</f>
        <v>0</v>
      </c>
      <c r="X494" s="799">
        <f t="shared" si="266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30"/>
      <c r="B495" s="2033"/>
      <c r="C495" s="127"/>
      <c r="D495" s="887" t="s">
        <v>10</v>
      </c>
      <c r="E495" s="888">
        <v>46112</v>
      </c>
      <c r="F495" s="359">
        <f t="shared" ref="F495:F505" si="307">$L$7-E495</f>
        <v>164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70">
        <f t="shared" si="306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4"/>
        <v>Deproteinized Whey46112</v>
      </c>
      <c r="U495" s="797"/>
      <c r="V495" s="797"/>
      <c r="W495" s="802">
        <f>IFERROR(VLOOKUP($Q495,'391'!$P:$AG,15,0),0)</f>
        <v>0</v>
      </c>
      <c r="X495" s="799">
        <f t="shared" si="266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30"/>
      <c r="B496" s="2033"/>
      <c r="C496" s="127"/>
      <c r="D496" s="887" t="s">
        <v>10</v>
      </c>
      <c r="E496" s="888">
        <v>46113</v>
      </c>
      <c r="F496" s="359">
        <f t="shared" si="307"/>
        <v>163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70">
        <f t="shared" si="306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4"/>
        <v>Deproteinized Whey46113</v>
      </c>
      <c r="U496" s="797"/>
      <c r="V496" s="797"/>
      <c r="W496" s="802">
        <f>IFERROR(VLOOKUP($Q496,'391'!$P:$AG,15,0),0)</f>
        <v>0</v>
      </c>
      <c r="X496" s="799">
        <f t="shared" si="266"/>
        <v>0</v>
      </c>
      <c r="Y496" s="797"/>
      <c r="Z496" s="785"/>
      <c r="AA496" s="797"/>
      <c r="AB496" s="797"/>
      <c r="AC496" s="1941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30"/>
      <c r="B497" s="2033"/>
      <c r="C497" s="127"/>
      <c r="D497" s="887" t="s">
        <v>10</v>
      </c>
      <c r="E497" s="888">
        <v>46146</v>
      </c>
      <c r="F497" s="359">
        <f t="shared" si="307"/>
        <v>130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70">
        <f t="shared" si="306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4"/>
        <v>Deproteinized Whey46146</v>
      </c>
      <c r="U497" s="797"/>
      <c r="V497" s="797"/>
      <c r="W497" s="802">
        <f>IFERROR(VLOOKUP($Q497,'391'!$P:$AG,15,0),0)</f>
        <v>0</v>
      </c>
      <c r="X497" s="799">
        <f t="shared" si="266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30"/>
      <c r="B498" s="2033"/>
      <c r="C498" s="127"/>
      <c r="D498" s="887" t="s">
        <v>10</v>
      </c>
      <c r="E498" s="888">
        <v>46226</v>
      </c>
      <c r="F498" s="359">
        <f t="shared" ref="F498:F502" si="308">$L$7-E498</f>
        <v>50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70">
        <f t="shared" si="306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4"/>
        <v>Deproteinized Whey46226</v>
      </c>
      <c r="U498" s="797"/>
      <c r="V498" s="797"/>
      <c r="W498" s="802">
        <f>IFERROR(VLOOKUP($Q498,'391'!$P:$AG,15,0),0)</f>
        <v>0</v>
      </c>
      <c r="X498" s="799">
        <f t="shared" si="266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30"/>
      <c r="B499" s="2033"/>
      <c r="C499" s="127" t="s">
        <v>1903</v>
      </c>
      <c r="D499" s="887" t="s">
        <v>10</v>
      </c>
      <c r="E499" s="888">
        <v>46255</v>
      </c>
      <c r="F499" s="359">
        <f t="shared" si="308"/>
        <v>21</v>
      </c>
      <c r="G499" s="300">
        <v>67500</v>
      </c>
      <c r="H499" s="300"/>
      <c r="I499" s="300"/>
      <c r="J499" s="1300"/>
      <c r="K499" s="12">
        <f>IFERROR(SUMIF(INTAKE!$A:$A,$T499,INTAKE!$P:$P),0)</f>
        <v>5000</v>
      </c>
      <c r="L499" s="1670">
        <f t="shared" si="306"/>
        <v>62500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4"/>
        <v>Deproteinized WheyB16.146255</v>
      </c>
      <c r="U499" s="797"/>
      <c r="V499" s="797"/>
      <c r="W499" s="802">
        <f>IFERROR(VLOOKUP($Q499,'391'!$P:$AG,15,0),0)</f>
        <v>0</v>
      </c>
      <c r="X499" s="799">
        <f t="shared" si="266"/>
        <v>67500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30"/>
      <c r="B500" s="2116"/>
      <c r="C500" s="127" t="s">
        <v>1548</v>
      </c>
      <c r="D500" s="887" t="s">
        <v>10</v>
      </c>
      <c r="E500" s="888">
        <v>46256</v>
      </c>
      <c r="F500" s="359">
        <f t="shared" si="308"/>
        <v>20</v>
      </c>
      <c r="G500" s="300">
        <v>50000</v>
      </c>
      <c r="H500" s="300"/>
      <c r="I500" s="300"/>
      <c r="J500" s="1300"/>
      <c r="K500" s="300"/>
      <c r="L500" s="1670">
        <f t="shared" si="306"/>
        <v>50000</v>
      </c>
      <c r="M500" s="45"/>
      <c r="N500" s="162"/>
      <c r="O500" s="370"/>
      <c r="P500" s="736"/>
      <c r="Q500" s="795"/>
      <c r="R500" s="785"/>
      <c r="S500" s="796"/>
      <c r="T500" s="787" t="str">
        <f t="shared" si="304"/>
        <v>Deproteinized WheyB14.246256</v>
      </c>
      <c r="U500" s="797"/>
      <c r="V500" s="797"/>
      <c r="W500" s="802">
        <f>IFERROR(VLOOKUP($Q500,'391'!$P:$AG,15,0),0)</f>
        <v>0</v>
      </c>
      <c r="X500" s="799">
        <f t="shared" si="266"/>
        <v>50000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hidden="1" customHeight="1" x14ac:dyDescent="0.25">
      <c r="A501" s="2030"/>
      <c r="B501" s="2116"/>
      <c r="C501" s="127"/>
      <c r="D501" s="887" t="s">
        <v>10</v>
      </c>
      <c r="E501" s="888">
        <v>46256</v>
      </c>
      <c r="F501" s="359">
        <f t="shared" ref="F499:F501" si="309">$L$7-E501</f>
        <v>20</v>
      </c>
      <c r="G501" s="300"/>
      <c r="H501" s="300"/>
      <c r="I501" s="300"/>
      <c r="J501" s="1300"/>
      <c r="K501" s="300"/>
      <c r="L501" s="1670">
        <f t="shared" si="306"/>
        <v>0</v>
      </c>
      <c r="M501" s="45"/>
      <c r="N501" s="162"/>
      <c r="O501" s="370"/>
      <c r="P501" s="736"/>
      <c r="Q501" s="795"/>
      <c r="R501" s="785"/>
      <c r="S501" s="796"/>
      <c r="T501" s="787" t="str">
        <f t="shared" si="304"/>
        <v>Deproteinized Whey46256</v>
      </c>
      <c r="U501" s="797"/>
      <c r="V501" s="797"/>
      <c r="W501" s="802">
        <f>IFERROR(VLOOKUP($Q501,'391'!$P:$AG,15,0),0)</f>
        <v>0</v>
      </c>
      <c r="X501" s="799">
        <f t="shared" ref="X501:X534" si="310">G501-W501</f>
        <v>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hidden="1" customHeight="1" x14ac:dyDescent="0.25">
      <c r="A502" s="2030"/>
      <c r="B502" s="2116"/>
      <c r="C502" s="127"/>
      <c r="D502" s="887" t="s">
        <v>10</v>
      </c>
      <c r="E502" s="888">
        <v>46256</v>
      </c>
      <c r="F502" s="359">
        <f t="shared" si="308"/>
        <v>20</v>
      </c>
      <c r="G502" s="300">
        <v>0</v>
      </c>
      <c r="H502" s="300"/>
      <c r="I502" s="300"/>
      <c r="J502" s="1300"/>
      <c r="K502" s="300"/>
      <c r="L502" s="1670">
        <f t="shared" si="301"/>
        <v>0</v>
      </c>
      <c r="M502" s="45"/>
      <c r="N502" s="162"/>
      <c r="O502" s="370"/>
      <c r="P502" s="736"/>
      <c r="Q502" s="795"/>
      <c r="R502" s="785"/>
      <c r="S502" s="796"/>
      <c r="T502" s="787" t="str">
        <f t="shared" si="304"/>
        <v>Deproteinized Whey46256</v>
      </c>
      <c r="U502" s="797"/>
      <c r="V502" s="797"/>
      <c r="W502" s="802">
        <f>IFERROR(VLOOKUP($Q502,'391'!$P:$AG,15,0),0)</f>
        <v>0</v>
      </c>
      <c r="X502" s="799">
        <f t="shared" si="310"/>
        <v>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hidden="1" customHeight="1" x14ac:dyDescent="0.25">
      <c r="A503" s="2030"/>
      <c r="B503" s="2033"/>
      <c r="C503" s="127"/>
      <c r="D503" s="887" t="s">
        <v>10</v>
      </c>
      <c r="E503" s="888">
        <v>46256</v>
      </c>
      <c r="F503" s="359">
        <f t="shared" si="307"/>
        <v>20</v>
      </c>
      <c r="G503" s="300">
        <v>0</v>
      </c>
      <c r="H503" s="300"/>
      <c r="I503" s="300"/>
      <c r="J503" s="1300"/>
      <c r="K503" s="300"/>
      <c r="L503" s="1670">
        <f t="shared" si="301"/>
        <v>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4"/>
        <v>Deproteinized Whey46256</v>
      </c>
      <c r="U503" s="797"/>
      <c r="V503" s="797"/>
      <c r="W503" s="802">
        <f>IFERROR(VLOOKUP($Q503,'391'!$P:$AG,15,0),0)</f>
        <v>0</v>
      </c>
      <c r="X503" s="799">
        <f t="shared" si="310"/>
        <v>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hidden="1" customHeight="1" x14ac:dyDescent="0.25">
      <c r="A504" s="2030"/>
      <c r="B504" s="2115"/>
      <c r="C504" s="127"/>
      <c r="D504" s="887" t="s">
        <v>10</v>
      </c>
      <c r="E504" s="888">
        <v>46235</v>
      </c>
      <c r="F504" s="359">
        <f t="shared" ref="F504" si="311">$L$7-E504</f>
        <v>41</v>
      </c>
      <c r="G504" s="300">
        <v>0</v>
      </c>
      <c r="H504" s="300"/>
      <c r="I504" s="300"/>
      <c r="J504" s="1300"/>
      <c r="K504" s="300"/>
      <c r="L504" s="1670">
        <f t="shared" si="301"/>
        <v>0</v>
      </c>
      <c r="M504" s="45"/>
      <c r="N504" s="162"/>
      <c r="O504" s="370"/>
      <c r="P504" s="736"/>
      <c r="Q504" s="795"/>
      <c r="R504" s="785"/>
      <c r="S504" s="796"/>
      <c r="T504" s="787" t="str">
        <f t="shared" si="304"/>
        <v>Deproteinized Whey46235</v>
      </c>
      <c r="U504" s="797"/>
      <c r="V504" s="797"/>
      <c r="W504" s="802">
        <f>IFERROR(VLOOKUP($Q504,'391'!$P:$AG,15,0),0)</f>
        <v>0</v>
      </c>
      <c r="X504" s="799">
        <f t="shared" si="310"/>
        <v>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30"/>
      <c r="B505" s="2115"/>
      <c r="C505" s="127"/>
      <c r="D505" s="887" t="s">
        <v>10</v>
      </c>
      <c r="E505" s="888">
        <v>46207</v>
      </c>
      <c r="F505" s="359">
        <f t="shared" si="307"/>
        <v>69</v>
      </c>
      <c r="G505" s="300">
        <v>0</v>
      </c>
      <c r="H505" s="300"/>
      <c r="I505" s="300"/>
      <c r="J505" s="1300"/>
      <c r="K505" s="300"/>
      <c r="L505" s="1670">
        <f t="shared" si="301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4"/>
        <v>Deproteinized Whey46207</v>
      </c>
      <c r="U505" s="797"/>
      <c r="V505" s="797"/>
      <c r="W505" s="802">
        <f>IFERROR(VLOOKUP($Q505,'391'!$P:$AG,15,0),0)</f>
        <v>0</v>
      </c>
      <c r="X505" s="799">
        <f t="shared" si="310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30"/>
      <c r="B506" s="2116"/>
      <c r="C506" s="127"/>
      <c r="D506" s="887" t="s">
        <v>10</v>
      </c>
      <c r="E506" s="888">
        <v>46186</v>
      </c>
      <c r="F506" s="359">
        <f t="shared" si="300"/>
        <v>90</v>
      </c>
      <c r="G506" s="300">
        <v>0</v>
      </c>
      <c r="H506" s="300"/>
      <c r="I506" s="300"/>
      <c r="J506" s="1300"/>
      <c r="K506" s="300"/>
      <c r="L506" s="1670">
        <f t="shared" si="301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4"/>
        <v>Deproteinized Whey46186</v>
      </c>
      <c r="U506" s="797"/>
      <c r="V506" s="797"/>
      <c r="W506" s="802">
        <f>IFERROR(VLOOKUP($Q506,'391'!$P:$AG,15,0),0)</f>
        <v>0</v>
      </c>
      <c r="X506" s="799">
        <f t="shared" si="310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30"/>
      <c r="B507" s="2116"/>
      <c r="C507" s="127"/>
      <c r="D507" s="887" t="s">
        <v>10</v>
      </c>
      <c r="E507" s="888">
        <v>45934</v>
      </c>
      <c r="F507" s="359">
        <f t="shared" ref="F507" si="312">$L$7-E507</f>
        <v>342</v>
      </c>
      <c r="G507" s="300">
        <v>0</v>
      </c>
      <c r="H507" s="300"/>
      <c r="I507" s="300"/>
      <c r="J507" s="1300"/>
      <c r="K507" s="300"/>
      <c r="L507" s="1670">
        <f t="shared" ref="L507" si="313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4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30"/>
      <c r="B508" s="2033"/>
      <c r="C508" s="132" t="s">
        <v>1664</v>
      </c>
      <c r="D508" s="852" t="s">
        <v>10</v>
      </c>
      <c r="E508" s="853">
        <v>46255</v>
      </c>
      <c r="F508" s="856">
        <f t="shared" ref="F508" si="315">$L$7-E508</f>
        <v>21</v>
      </c>
      <c r="G508" s="296">
        <v>36916</v>
      </c>
      <c r="H508" s="18"/>
      <c r="I508" s="296">
        <f>+SUM(K490:K505)</f>
        <v>5000</v>
      </c>
      <c r="J508" s="1295">
        <f>usage!I48</f>
        <v>2913</v>
      </c>
      <c r="K508" s="300"/>
      <c r="L508" s="531">
        <f t="shared" si="301"/>
        <v>39003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0"/>
        <v>36916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27" t="s">
        <v>114</v>
      </c>
      <c r="B509" s="2028"/>
      <c r="C509" s="88"/>
      <c r="D509" s="864"/>
      <c r="E509" s="864"/>
      <c r="F509" s="865"/>
      <c r="G509" s="1296">
        <v>154416</v>
      </c>
      <c r="H509" s="1296">
        <f t="shared" ref="H509:L509" si="316">SUM(H490:H508)</f>
        <v>0</v>
      </c>
      <c r="I509" s="1296">
        <f t="shared" si="316"/>
        <v>5000</v>
      </c>
      <c r="J509" s="1296">
        <f t="shared" si="316"/>
        <v>2913</v>
      </c>
      <c r="K509" s="1296">
        <f t="shared" si="316"/>
        <v>5000</v>
      </c>
      <c r="L509" s="1296">
        <f t="shared" si="316"/>
        <v>151503</v>
      </c>
      <c r="M509" s="889">
        <f>IFERROR((R509/$S$2),"")</f>
        <v>8630.8888888888887</v>
      </c>
      <c r="N509" s="854">
        <f>IFERROR(L509/M509,0)</f>
        <v>17.553580164267874</v>
      </c>
      <c r="O509" s="59">
        <f>IFERROR(SUMIF(ETM!$A:$A,$Q509,ETM!$E:$E),"")</f>
        <v>7450</v>
      </c>
      <c r="P509" s="880">
        <f>(L509/O509)</f>
        <v>20.335973154362417</v>
      </c>
      <c r="Q509" s="795" t="s">
        <v>39</v>
      </c>
      <c r="R509" s="785">
        <f>IFERROR(VLOOKUP($Q509,'391'!$S:$Z,8,0),"")</f>
        <v>38839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0"/>
        <v>154416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71" t="str">
        <f>IF(L517=0,"",MAX($A$16:A509)+1)</f>
        <v/>
      </c>
      <c r="B510" s="2107" t="s">
        <v>274</v>
      </c>
      <c r="C510" s="127"/>
      <c r="D510" s="866" t="s">
        <v>10</v>
      </c>
      <c r="E510" s="933">
        <v>46176</v>
      </c>
      <c r="F510" s="75">
        <f t="shared" ref="F510" si="317">$L$7-E510</f>
        <v>100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70">
        <f t="shared" ref="L510:L537" si="318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0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86"/>
      <c r="B511" s="2108"/>
      <c r="C511" s="127"/>
      <c r="D511" s="866" t="s">
        <v>10</v>
      </c>
      <c r="E511" s="933">
        <v>46176</v>
      </c>
      <c r="F511" s="75">
        <f t="shared" ref="F511" si="319">$L$7-E511</f>
        <v>100</v>
      </c>
      <c r="G511" s="1356">
        <v>0</v>
      </c>
      <c r="H511" s="300"/>
      <c r="I511" s="300"/>
      <c r="J511" s="1300"/>
      <c r="K511" s="300"/>
      <c r="L511" s="1670">
        <f t="shared" si="318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0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0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86"/>
      <c r="B512" s="2108"/>
      <c r="C512" s="127"/>
      <c r="D512" s="866" t="s">
        <v>10</v>
      </c>
      <c r="E512" s="933">
        <v>46176</v>
      </c>
      <c r="F512" s="75">
        <f t="shared" ref="F512" si="321">$L$7-E512</f>
        <v>100</v>
      </c>
      <c r="G512" s="1356">
        <v>0</v>
      </c>
      <c r="H512" s="300"/>
      <c r="I512" s="300"/>
      <c r="J512" s="1300"/>
      <c r="K512" s="300"/>
      <c r="L512" s="1670">
        <f t="shared" si="318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0"/>
        <v>Dairylac 80 (USA)46176</v>
      </c>
      <c r="U512" s="797"/>
      <c r="V512" s="797"/>
      <c r="W512" s="802">
        <f>IFERROR(VLOOKUP($Q512,'391'!$P:$AG,15,0),0)</f>
        <v>0</v>
      </c>
      <c r="X512" s="799">
        <f t="shared" si="310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86"/>
      <c r="B513" s="2108"/>
      <c r="C513" s="127"/>
      <c r="D513" s="866" t="s">
        <v>10</v>
      </c>
      <c r="E513" s="933">
        <v>46176</v>
      </c>
      <c r="F513" s="75">
        <f t="shared" ref="F513:F516" si="322">$L$7-E513</f>
        <v>100</v>
      </c>
      <c r="G513" s="1356">
        <v>0</v>
      </c>
      <c r="H513" s="300"/>
      <c r="I513" s="300"/>
      <c r="J513" s="1300"/>
      <c r="K513" s="300"/>
      <c r="L513" s="1670">
        <f t="shared" si="318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0"/>
        <v>Dairylac 80 (USA)46176</v>
      </c>
      <c r="U513" s="797"/>
      <c r="V513" s="797"/>
      <c r="W513" s="802">
        <f>IFERROR(VLOOKUP($Q513,'391'!$P:$AG,15,0),0)</f>
        <v>0</v>
      </c>
      <c r="X513" s="799">
        <f t="shared" si="310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86"/>
      <c r="B514" s="2108"/>
      <c r="C514" s="225"/>
      <c r="D514" s="866" t="s">
        <v>10</v>
      </c>
      <c r="E514" s="933">
        <v>44524</v>
      </c>
      <c r="F514" s="75">
        <f t="shared" si="322"/>
        <v>1752</v>
      </c>
      <c r="G514" s="1356">
        <v>0</v>
      </c>
      <c r="H514" s="300"/>
      <c r="I514" s="300"/>
      <c r="J514" s="1300"/>
      <c r="K514" s="300"/>
      <c r="L514" s="531">
        <f t="shared" si="318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0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86"/>
      <c r="B515" s="2108"/>
      <c r="C515" s="225"/>
      <c r="D515" s="866" t="s">
        <v>10</v>
      </c>
      <c r="E515" s="933">
        <v>44539</v>
      </c>
      <c r="F515" s="75">
        <f t="shared" si="322"/>
        <v>1737</v>
      </c>
      <c r="G515" s="1356">
        <v>0</v>
      </c>
      <c r="H515" s="300"/>
      <c r="I515" s="300"/>
      <c r="J515" s="1300"/>
      <c r="K515" s="300"/>
      <c r="L515" s="531">
        <f t="shared" si="318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0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72"/>
      <c r="B516" s="2109"/>
      <c r="C516" s="61" t="s">
        <v>212</v>
      </c>
      <c r="D516" s="863" t="s">
        <v>10</v>
      </c>
      <c r="E516" s="934">
        <v>46176</v>
      </c>
      <c r="F516" s="39">
        <f t="shared" si="322"/>
        <v>100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18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0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27" t="s">
        <v>275</v>
      </c>
      <c r="B517" s="2028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3">+SUM(I510:I516)</f>
        <v>0</v>
      </c>
      <c r="J517" s="1296">
        <f t="shared" si="323"/>
        <v>0</v>
      </c>
      <c r="K517" s="1296">
        <f t="shared" si="323"/>
        <v>0</v>
      </c>
      <c r="L517" s="1296">
        <f t="shared" si="323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7450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0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71" t="str">
        <f>IF(L522=0,"",MAX($A$16:A517)+1)</f>
        <v/>
      </c>
      <c r="B518" s="2107" t="s">
        <v>1203</v>
      </c>
      <c r="C518" s="225" t="s">
        <v>223</v>
      </c>
      <c r="D518" s="866" t="s">
        <v>10</v>
      </c>
      <c r="E518" s="933">
        <v>44859</v>
      </c>
      <c r="F518" s="75">
        <f>$L$7-E518</f>
        <v>1417</v>
      </c>
      <c r="G518" s="1356">
        <v>0</v>
      </c>
      <c r="H518" s="300"/>
      <c r="I518" s="300"/>
      <c r="J518" s="1300"/>
      <c r="K518" s="300"/>
      <c r="L518" s="531">
        <f t="shared" si="318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0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86"/>
      <c r="B519" s="2108"/>
      <c r="C519" s="225" t="s">
        <v>192</v>
      </c>
      <c r="D519" s="866" t="s">
        <v>10</v>
      </c>
      <c r="E519" s="933">
        <v>44859</v>
      </c>
      <c r="F519" s="75">
        <f>$L$7-E519</f>
        <v>1417</v>
      </c>
      <c r="G519" s="1356">
        <v>0</v>
      </c>
      <c r="H519" s="300"/>
      <c r="I519" s="300"/>
      <c r="J519" s="1300"/>
      <c r="K519" s="300"/>
      <c r="L519" s="531">
        <f t="shared" si="318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0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86"/>
      <c r="B520" s="2108"/>
      <c r="C520" s="225"/>
      <c r="D520" s="866" t="s">
        <v>10</v>
      </c>
      <c r="E520" s="933">
        <v>44859</v>
      </c>
      <c r="F520" s="75">
        <f>$L$7-E520</f>
        <v>1417</v>
      </c>
      <c r="G520" s="1356">
        <v>0</v>
      </c>
      <c r="H520" s="300"/>
      <c r="I520" s="300"/>
      <c r="J520" s="1300"/>
      <c r="K520" s="300"/>
      <c r="L520" s="531">
        <f t="shared" si="318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0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72"/>
      <c r="B521" s="2109"/>
      <c r="C521" s="61" t="s">
        <v>158</v>
      </c>
      <c r="D521" s="863" t="s">
        <v>10</v>
      </c>
      <c r="E521" s="934">
        <v>44859</v>
      </c>
      <c r="F521" s="39">
        <f>$L$7-E521</f>
        <v>1417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18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0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27" t="s">
        <v>1204</v>
      </c>
      <c r="B522" s="2028"/>
      <c r="C522" s="88"/>
      <c r="D522" s="864"/>
      <c r="E522" s="864"/>
      <c r="F522" s="865"/>
      <c r="G522" s="1296">
        <v>0</v>
      </c>
      <c r="H522" s="1296">
        <f t="shared" ref="H522:K522" si="324">+SUM(H518:H521)</f>
        <v>0</v>
      </c>
      <c r="I522" s="1296">
        <f t="shared" si="324"/>
        <v>0</v>
      </c>
      <c r="J522" s="1296">
        <f t="shared" si="324"/>
        <v>0</v>
      </c>
      <c r="K522" s="1296">
        <f t="shared" si="324"/>
        <v>0</v>
      </c>
      <c r="L522" s="531">
        <f t="shared" si="318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1203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0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86" t="str">
        <f>IF(L538=0,"",MAX($A$16:A522)+1)</f>
        <v/>
      </c>
      <c r="B523" s="2051" t="s">
        <v>198</v>
      </c>
      <c r="C523" s="225"/>
      <c r="D523" s="866" t="s">
        <v>10</v>
      </c>
      <c r="E523" s="935">
        <v>45819</v>
      </c>
      <c r="F523" s="75">
        <f t="shared" ref="F523:F529" si="325">$L$7-E523</f>
        <v>457</v>
      </c>
      <c r="G523" s="633">
        <v>0</v>
      </c>
      <c r="H523" s="300"/>
      <c r="I523" s="18"/>
      <c r="J523" s="1338"/>
      <c r="K523" s="18"/>
      <c r="L523" s="1670">
        <f t="shared" si="318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0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86"/>
      <c r="B524" s="2077"/>
      <c r="C524" s="225"/>
      <c r="D524" s="866" t="s">
        <v>10</v>
      </c>
      <c r="E524" s="935">
        <v>45969</v>
      </c>
      <c r="F524" s="75">
        <f t="shared" ref="F524:F527" si="326">$L$7-E524</f>
        <v>307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70">
        <f t="shared" si="318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0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86"/>
      <c r="B525" s="2077"/>
      <c r="C525" s="225" t="s">
        <v>273</v>
      </c>
      <c r="D525" s="866" t="s">
        <v>10</v>
      </c>
      <c r="E525" s="935">
        <v>45975</v>
      </c>
      <c r="F525" s="75">
        <f t="shared" si="326"/>
        <v>301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70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0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86"/>
      <c r="B526" s="2077"/>
      <c r="C526" s="225"/>
      <c r="D526" s="866" t="s">
        <v>10</v>
      </c>
      <c r="E526" s="935">
        <v>45975</v>
      </c>
      <c r="F526" s="75">
        <f t="shared" ref="F526" si="327">$L$7-E526</f>
        <v>301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70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28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0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86"/>
      <c r="B527" s="2077"/>
      <c r="C527" s="225"/>
      <c r="D527" s="866" t="s">
        <v>10</v>
      </c>
      <c r="E527" s="935">
        <v>45975</v>
      </c>
      <c r="F527" s="75">
        <f t="shared" si="326"/>
        <v>301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70">
        <f t="shared" si="318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28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0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86"/>
      <c r="B528" s="2077"/>
      <c r="C528" s="225"/>
      <c r="D528" s="866" t="s">
        <v>10</v>
      </c>
      <c r="E528" s="935">
        <v>45975</v>
      </c>
      <c r="F528" s="75">
        <f t="shared" ref="F528" si="329">$L$7-E528</f>
        <v>301</v>
      </c>
      <c r="G528" s="633">
        <v>0</v>
      </c>
      <c r="H528" s="300"/>
      <c r="I528" s="18"/>
      <c r="J528" s="1338"/>
      <c r="K528" s="18"/>
      <c r="L528" s="1670">
        <f t="shared" si="318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28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0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86"/>
      <c r="B529" s="2077"/>
      <c r="C529" s="225"/>
      <c r="D529" s="866" t="s">
        <v>10</v>
      </c>
      <c r="E529" s="935">
        <v>45975</v>
      </c>
      <c r="F529" s="75">
        <f t="shared" si="325"/>
        <v>301</v>
      </c>
      <c r="G529" s="633">
        <v>0</v>
      </c>
      <c r="H529" s="300"/>
      <c r="I529" s="18"/>
      <c r="J529" s="1338"/>
      <c r="K529" s="18"/>
      <c r="L529" s="1670">
        <f t="shared" si="318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28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0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86"/>
      <c r="B530" s="2077"/>
      <c r="C530" s="225" t="s">
        <v>1657</v>
      </c>
      <c r="D530" s="866" t="s">
        <v>10</v>
      </c>
      <c r="E530" s="935">
        <v>45945</v>
      </c>
      <c r="F530" s="75">
        <f t="shared" ref="F530" si="330">$L$7-E530</f>
        <v>331</v>
      </c>
      <c r="G530" s="633">
        <v>0</v>
      </c>
      <c r="H530" s="300"/>
      <c r="I530" s="18"/>
      <c r="J530" s="1338"/>
      <c r="K530" s="18"/>
      <c r="L530" s="1670">
        <f t="shared" si="318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0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86"/>
      <c r="B531" s="2077"/>
      <c r="C531" s="225"/>
      <c r="D531" s="866" t="s">
        <v>10</v>
      </c>
      <c r="E531" s="935">
        <v>45785</v>
      </c>
      <c r="F531" s="75">
        <f t="shared" ref="F531" si="331">$L$7-E531</f>
        <v>491</v>
      </c>
      <c r="G531" s="633">
        <v>0</v>
      </c>
      <c r="H531" s="300"/>
      <c r="I531" s="18"/>
      <c r="J531" s="1338"/>
      <c r="K531" s="18"/>
      <c r="L531" s="1670">
        <f t="shared" si="318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0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86"/>
      <c r="B532" s="2077"/>
      <c r="C532" s="225"/>
      <c r="D532" s="866" t="s">
        <v>10</v>
      </c>
      <c r="E532" s="935">
        <v>45785</v>
      </c>
      <c r="F532" s="75">
        <f t="shared" ref="F532" si="332">$L$7-E532</f>
        <v>491</v>
      </c>
      <c r="G532" s="633">
        <v>0</v>
      </c>
      <c r="H532" s="300"/>
      <c r="I532" s="18"/>
      <c r="J532" s="1338"/>
      <c r="K532" s="18"/>
      <c r="L532" s="1670">
        <f t="shared" si="318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0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86"/>
      <c r="B533" s="2077"/>
      <c r="C533" s="225" t="s">
        <v>360</v>
      </c>
      <c r="D533" s="866" t="s">
        <v>10</v>
      </c>
      <c r="E533" s="935">
        <v>45716</v>
      </c>
      <c r="F533" s="75">
        <f t="shared" ref="F533" si="333">$L$7-E533</f>
        <v>560</v>
      </c>
      <c r="G533" s="633">
        <v>0</v>
      </c>
      <c r="H533" s="300"/>
      <c r="I533" s="18"/>
      <c r="J533" s="1338"/>
      <c r="K533" s="18"/>
      <c r="L533" s="1670">
        <f t="shared" si="318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0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86"/>
      <c r="B534" s="2077"/>
      <c r="C534" s="225" t="s">
        <v>351</v>
      </c>
      <c r="D534" s="866" t="s">
        <v>10</v>
      </c>
      <c r="E534" s="935">
        <v>45705</v>
      </c>
      <c r="F534" s="75">
        <f t="shared" ref="F534:F537" si="334">$L$7-E534</f>
        <v>571</v>
      </c>
      <c r="G534" s="633">
        <v>0</v>
      </c>
      <c r="H534" s="300"/>
      <c r="I534" s="18"/>
      <c r="J534" s="1338"/>
      <c r="K534" s="18"/>
      <c r="L534" s="1670">
        <f t="shared" si="318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0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86"/>
      <c r="B535" s="2077"/>
      <c r="C535" s="225"/>
      <c r="D535" s="866" t="s">
        <v>10</v>
      </c>
      <c r="E535" s="935">
        <v>45373</v>
      </c>
      <c r="F535" s="75">
        <f t="shared" si="334"/>
        <v>903</v>
      </c>
      <c r="G535" s="633">
        <v>0</v>
      </c>
      <c r="H535" s="300"/>
      <c r="I535" s="18"/>
      <c r="J535" s="1338"/>
      <c r="K535" s="18"/>
      <c r="L535" s="531">
        <f t="shared" si="318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5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86"/>
      <c r="B536" s="2077"/>
      <c r="C536" s="225"/>
      <c r="D536" s="866" t="s">
        <v>10</v>
      </c>
      <c r="E536" s="935">
        <v>45197</v>
      </c>
      <c r="F536" s="75">
        <f t="shared" si="334"/>
        <v>1079</v>
      </c>
      <c r="G536" s="633">
        <v>0</v>
      </c>
      <c r="H536" s="300"/>
      <c r="I536" s="18"/>
      <c r="J536" s="1338"/>
      <c r="K536" s="18"/>
      <c r="L536" s="531">
        <f t="shared" si="318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5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86"/>
      <c r="B537" s="2052"/>
      <c r="C537" s="61" t="s">
        <v>1609</v>
      </c>
      <c r="D537" s="863" t="s">
        <v>10</v>
      </c>
      <c r="E537" s="934">
        <v>45975</v>
      </c>
      <c r="F537" s="39">
        <f t="shared" si="334"/>
        <v>301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18"/>
        <v>0</v>
      </c>
      <c r="M537" s="35"/>
      <c r="N537" s="87"/>
      <c r="O537" s="35"/>
      <c r="P537" s="751"/>
      <c r="Q537" s="666" t="s">
        <v>1587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5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27" t="s">
        <v>1184</v>
      </c>
      <c r="B538" s="2028"/>
      <c r="C538" s="88"/>
      <c r="D538" s="864"/>
      <c r="E538" s="864"/>
      <c r="F538" s="865"/>
      <c r="G538" s="1296">
        <v>0</v>
      </c>
      <c r="H538" s="1296">
        <f t="shared" ref="H538:L538" si="336">+SUM(H523:H537)</f>
        <v>0</v>
      </c>
      <c r="I538" s="1296">
        <f t="shared" si="336"/>
        <v>0</v>
      </c>
      <c r="J538" s="1296">
        <f t="shared" si="336"/>
        <v>0</v>
      </c>
      <c r="K538" s="1296">
        <f t="shared" si="336"/>
        <v>0</v>
      </c>
      <c r="L538" s="1296">
        <f t="shared" si="336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5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29">
        <f>IF(L557=0,"",MAX($A$16:A538)+1)</f>
        <v>27</v>
      </c>
      <c r="B539" s="2032" t="s">
        <v>1234</v>
      </c>
      <c r="C539" s="110"/>
      <c r="D539" s="866" t="s">
        <v>10</v>
      </c>
      <c r="E539" s="933">
        <v>46050</v>
      </c>
      <c r="F539" s="1237">
        <f t="shared" ref="F539:F548" si="337">$L$7-E539</f>
        <v>226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70">
        <f t="shared" ref="L539:L556" si="338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5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30"/>
      <c r="B540" s="2033"/>
      <c r="C540" s="110"/>
      <c r="D540" s="866" t="s">
        <v>10</v>
      </c>
      <c r="E540" s="933">
        <v>46128</v>
      </c>
      <c r="F540" s="1237">
        <f t="shared" si="337"/>
        <v>148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70">
        <f t="shared" si="338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39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5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30"/>
      <c r="B541" s="2115"/>
      <c r="C541" s="110" t="s">
        <v>1852</v>
      </c>
      <c r="D541" s="866" t="s">
        <v>10</v>
      </c>
      <c r="E541" s="933">
        <v>46255</v>
      </c>
      <c r="F541" s="1237">
        <f t="shared" si="337"/>
        <v>21</v>
      </c>
      <c r="G541" s="18">
        <v>27500</v>
      </c>
      <c r="H541" s="18"/>
      <c r="I541" s="18"/>
      <c r="J541" s="1338"/>
      <c r="K541" s="1379">
        <f>IFERROR(SUMIF(INTAKE!$A:$A,$T541,INTAKE!$P:$P),0)</f>
        <v>15000</v>
      </c>
      <c r="L541" s="1670">
        <f t="shared" si="338"/>
        <v>12500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39"/>
        <v>Provisoy (VN)A346255</v>
      </c>
      <c r="U541" s="797"/>
      <c r="V541" s="797"/>
      <c r="W541" s="802">
        <f>IFERROR(VLOOKUP($Q541,'391'!$P:$AG,15,0),0)</f>
        <v>0</v>
      </c>
      <c r="X541" s="799">
        <f t="shared" si="335"/>
        <v>27500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30"/>
      <c r="B542" s="2115"/>
      <c r="C542" s="110" t="s">
        <v>1944</v>
      </c>
      <c r="D542" s="866" t="s">
        <v>10</v>
      </c>
      <c r="E542" s="933">
        <v>46258</v>
      </c>
      <c r="F542" s="1237">
        <f t="shared" si="337"/>
        <v>18</v>
      </c>
      <c r="G542" s="18">
        <v>20000</v>
      </c>
      <c r="H542" s="18"/>
      <c r="I542" s="18"/>
      <c r="J542" s="1338"/>
      <c r="K542" s="18"/>
      <c r="L542" s="1670">
        <f t="shared" si="338"/>
        <v>20000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39"/>
        <v>Provisoy (VN)A546258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30"/>
      <c r="B543" s="2116"/>
      <c r="C543" s="110" t="s">
        <v>1944</v>
      </c>
      <c r="D543" s="866" t="s">
        <v>10</v>
      </c>
      <c r="E543" s="933">
        <v>46259</v>
      </c>
      <c r="F543" s="1237">
        <f t="shared" si="337"/>
        <v>17</v>
      </c>
      <c r="G543" s="18">
        <v>40000</v>
      </c>
      <c r="H543" s="18"/>
      <c r="I543" s="18"/>
      <c r="J543" s="1338"/>
      <c r="K543" s="18"/>
      <c r="L543" s="1670">
        <f t="shared" ref="L543" si="340">+G543+H543+I543-J543-K543</f>
        <v>40000</v>
      </c>
      <c r="M543" s="48"/>
      <c r="N543" s="189"/>
      <c r="O543" s="48"/>
      <c r="P543" s="1291"/>
      <c r="Q543" s="666" t="s">
        <v>1234</v>
      </c>
      <c r="R543" s="785"/>
      <c r="S543" s="796"/>
      <c r="T543" s="787" t="str">
        <f t="shared" si="339"/>
        <v>Provisoy (VN)A546259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30"/>
      <c r="B544" s="2115"/>
      <c r="C544" s="110" t="s">
        <v>1874</v>
      </c>
      <c r="D544" s="866" t="s">
        <v>10</v>
      </c>
      <c r="E544" s="933">
        <v>46260</v>
      </c>
      <c r="F544" s="1237">
        <f t="shared" si="337"/>
        <v>16</v>
      </c>
      <c r="G544" s="18">
        <v>20000</v>
      </c>
      <c r="H544" s="18"/>
      <c r="I544" s="18"/>
      <c r="J544" s="1338"/>
      <c r="K544" s="18"/>
      <c r="L544" s="1670">
        <f t="shared" si="338"/>
        <v>20000</v>
      </c>
      <c r="M544" s="48"/>
      <c r="N544" s="189"/>
      <c r="O544" s="48"/>
      <c r="P544" s="1291"/>
      <c r="Q544" s="808"/>
      <c r="R544" s="785"/>
      <c r="S544" s="796"/>
      <c r="T544" s="787" t="str">
        <f t="shared" si="339"/>
        <v>Provisoy (VN)A18.346260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30"/>
      <c r="B545" s="2116"/>
      <c r="C545" s="110" t="s">
        <v>1934</v>
      </c>
      <c r="D545" s="866" t="s">
        <v>10</v>
      </c>
      <c r="E545" s="933">
        <v>46261</v>
      </c>
      <c r="F545" s="1237">
        <f t="shared" si="337"/>
        <v>15</v>
      </c>
      <c r="G545" s="18">
        <v>40000</v>
      </c>
      <c r="H545" s="18"/>
      <c r="I545" s="18"/>
      <c r="J545" s="1338"/>
      <c r="K545" s="18"/>
      <c r="L545" s="1670">
        <f t="shared" si="338"/>
        <v>40000</v>
      </c>
      <c r="M545" s="48"/>
      <c r="N545" s="189"/>
      <c r="O545" s="48"/>
      <c r="P545" s="1291"/>
      <c r="Q545" s="808"/>
      <c r="R545" s="785"/>
      <c r="S545" s="796"/>
      <c r="T545" s="787" t="str">
        <f t="shared" si="339"/>
        <v>Provisoy (VN)B18.246261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30"/>
      <c r="B546" s="2116"/>
      <c r="C546" s="110" t="s">
        <v>1774</v>
      </c>
      <c r="D546" s="866" t="s">
        <v>10</v>
      </c>
      <c r="E546" s="933">
        <v>46262</v>
      </c>
      <c r="F546" s="1237">
        <f t="shared" si="337"/>
        <v>14</v>
      </c>
      <c r="G546" s="18">
        <v>40000</v>
      </c>
      <c r="H546" s="18"/>
      <c r="I546" s="18"/>
      <c r="J546" s="1338"/>
      <c r="K546" s="18"/>
      <c r="L546" s="1670">
        <f t="shared" ref="L546:L554" si="341">+G546+H546+I546-J546-K546</f>
        <v>40000</v>
      </c>
      <c r="M546" s="48"/>
      <c r="N546" s="189"/>
      <c r="O546" s="48"/>
      <c r="P546" s="1291"/>
      <c r="Q546" s="808"/>
      <c r="R546" s="785"/>
      <c r="S546" s="796"/>
      <c r="T546" s="787" t="str">
        <f t="shared" si="339"/>
        <v>Provisoy (VN)B17.146262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30"/>
      <c r="B547" s="2116"/>
      <c r="C547" s="110" t="s">
        <v>1657</v>
      </c>
      <c r="D547" s="866" t="s">
        <v>10</v>
      </c>
      <c r="E547" s="933">
        <v>46273</v>
      </c>
      <c r="F547" s="1237">
        <f t="shared" ref="F547" si="342">$L$7-E547</f>
        <v>3</v>
      </c>
      <c r="G547" s="18">
        <v>40000</v>
      </c>
      <c r="H547" s="18"/>
      <c r="I547" s="18"/>
      <c r="J547" s="1338"/>
      <c r="K547" s="18"/>
      <c r="L547" s="1670">
        <f t="shared" si="341"/>
        <v>40000</v>
      </c>
      <c r="M547" s="48"/>
      <c r="N547" s="189"/>
      <c r="O547" s="48"/>
      <c r="P547" s="1291"/>
      <c r="Q547" s="808"/>
      <c r="R547" s="785"/>
      <c r="S547" s="796"/>
      <c r="T547" s="787" t="str">
        <f t="shared" si="339"/>
        <v>Provisoy (VN)B19.146273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30"/>
      <c r="B548" s="2116"/>
      <c r="C548" s="110"/>
      <c r="D548" s="866" t="s">
        <v>10</v>
      </c>
      <c r="E548" s="933">
        <v>46273</v>
      </c>
      <c r="F548" s="1237">
        <f t="shared" si="337"/>
        <v>3</v>
      </c>
      <c r="G548" s="18"/>
      <c r="H548" s="18"/>
      <c r="I548" s="18"/>
      <c r="J548" s="1338"/>
      <c r="K548" s="18"/>
      <c r="L548" s="1670">
        <f t="shared" si="341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39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30"/>
      <c r="B549" s="2116"/>
      <c r="C549" s="110"/>
      <c r="D549" s="866" t="s">
        <v>10</v>
      </c>
      <c r="E549" s="933">
        <v>46262</v>
      </c>
      <c r="F549" s="1237">
        <f t="shared" ref="F549" si="343">$L$7-E549</f>
        <v>14</v>
      </c>
      <c r="G549" s="18">
        <v>0</v>
      </c>
      <c r="H549" s="18"/>
      <c r="I549" s="18"/>
      <c r="J549" s="1338"/>
      <c r="K549" s="18"/>
      <c r="L549" s="1670">
        <f t="shared" si="341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39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30"/>
      <c r="B550" s="2116"/>
      <c r="C550" s="110"/>
      <c r="D550" s="866" t="s">
        <v>10</v>
      </c>
      <c r="E550" s="933">
        <v>46262</v>
      </c>
      <c r="F550" s="1237">
        <f t="shared" ref="F550" si="344">$L$7-E550</f>
        <v>14</v>
      </c>
      <c r="G550" s="18">
        <v>0</v>
      </c>
      <c r="H550" s="18"/>
      <c r="I550" s="18"/>
      <c r="J550" s="1338"/>
      <c r="K550" s="18"/>
      <c r="L550" s="1670">
        <f t="shared" ref="L550" si="345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39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30"/>
      <c r="B551" s="2116"/>
      <c r="C551" s="110"/>
      <c r="D551" s="866" t="s">
        <v>10</v>
      </c>
      <c r="E551" s="933">
        <v>46262</v>
      </c>
      <c r="F551" s="1237">
        <f t="shared" ref="F551:F552" si="346">$L$7-E551</f>
        <v>14</v>
      </c>
      <c r="G551" s="18">
        <v>0</v>
      </c>
      <c r="H551" s="18"/>
      <c r="I551" s="18"/>
      <c r="J551" s="1338"/>
      <c r="K551" s="18"/>
      <c r="L551" s="1670">
        <f t="shared" si="341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39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30"/>
      <c r="B552" s="2116"/>
      <c r="C552" s="110"/>
      <c r="D552" s="866" t="s">
        <v>10</v>
      </c>
      <c r="E552" s="933">
        <v>45896</v>
      </c>
      <c r="F552" s="1237">
        <f t="shared" si="346"/>
        <v>380</v>
      </c>
      <c r="G552" s="18">
        <v>0</v>
      </c>
      <c r="H552" s="18"/>
      <c r="I552" s="18"/>
      <c r="J552" s="1338"/>
      <c r="K552" s="18"/>
      <c r="L552" s="1670">
        <f t="shared" si="341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30"/>
      <c r="B553" s="2116"/>
      <c r="C553" s="110"/>
      <c r="D553" s="866" t="s">
        <v>10</v>
      </c>
      <c r="E553" s="933">
        <v>45896</v>
      </c>
      <c r="F553" s="1237">
        <f t="shared" ref="F553" si="347">$L$7-E553</f>
        <v>380</v>
      </c>
      <c r="G553" s="18">
        <v>0</v>
      </c>
      <c r="H553" s="18"/>
      <c r="I553" s="18"/>
      <c r="J553" s="1338"/>
      <c r="K553" s="18"/>
      <c r="L553" s="1670">
        <f t="shared" si="341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30"/>
      <c r="B554" s="2116"/>
      <c r="C554" s="110"/>
      <c r="D554" s="866" t="s">
        <v>10</v>
      </c>
      <c r="E554" s="933">
        <v>45896</v>
      </c>
      <c r="F554" s="1237">
        <f t="shared" ref="F554" si="348">$L$7-E554</f>
        <v>380</v>
      </c>
      <c r="G554" s="18">
        <v>0</v>
      </c>
      <c r="H554" s="18"/>
      <c r="I554" s="18"/>
      <c r="J554" s="1338"/>
      <c r="K554" s="18"/>
      <c r="L554" s="1670">
        <f t="shared" si="341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30"/>
      <c r="B555" s="2116"/>
      <c r="C555" s="110"/>
      <c r="D555" s="866" t="s">
        <v>10</v>
      </c>
      <c r="E555" s="933">
        <v>45896</v>
      </c>
      <c r="F555" s="1237">
        <f t="shared" ref="F555" si="349">$L$7-E555</f>
        <v>380</v>
      </c>
      <c r="G555" s="18">
        <v>0</v>
      </c>
      <c r="H555" s="18"/>
      <c r="I555" s="18"/>
      <c r="J555" s="1338"/>
      <c r="K555" s="18"/>
      <c r="L555" s="1670">
        <f t="shared" ref="L555" si="350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30"/>
      <c r="B556" s="2033"/>
      <c r="C556" s="61" t="s">
        <v>1609</v>
      </c>
      <c r="D556" s="863" t="s">
        <v>10</v>
      </c>
      <c r="E556" s="934">
        <v>46255</v>
      </c>
      <c r="F556" s="75">
        <f t="shared" ref="F556" si="351">$L$7-E556</f>
        <v>21</v>
      </c>
      <c r="G556" s="28">
        <v>0</v>
      </c>
      <c r="H556" s="28"/>
      <c r="I556" s="28">
        <f>SUM(K539:K544)</f>
        <v>15000</v>
      </c>
      <c r="J556" s="1295">
        <f>usage!I50</f>
        <v>1439</v>
      </c>
      <c r="K556" s="28"/>
      <c r="L556" s="531">
        <f t="shared" si="338"/>
        <v>13561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2">G556-W556</f>
        <v>0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27" t="s">
        <v>1235</v>
      </c>
      <c r="B557" s="2028"/>
      <c r="C557" s="2135" t="s">
        <v>493</v>
      </c>
      <c r="D557" s="2135"/>
      <c r="E557" s="2135"/>
      <c r="F557" s="2136"/>
      <c r="G557" s="1296">
        <v>227500</v>
      </c>
      <c r="H557" s="1296">
        <f>+SUM(H539:H556)</f>
        <v>0</v>
      </c>
      <c r="I557" s="1296">
        <f t="shared" ref="I557:L557" si="353">+SUM(I539:I556)</f>
        <v>15000</v>
      </c>
      <c r="J557" s="1296">
        <f t="shared" si="353"/>
        <v>1439</v>
      </c>
      <c r="K557" s="1296">
        <f t="shared" si="353"/>
        <v>15000</v>
      </c>
      <c r="L557" s="1296">
        <f t="shared" si="353"/>
        <v>226061</v>
      </c>
      <c r="M557" s="59">
        <f>IFERROR((R557/$S$2),"")</f>
        <v>9768.8888888888887</v>
      </c>
      <c r="N557" s="366">
        <f>IFERROR(L557/M557,0)</f>
        <v>23.14091219290264</v>
      </c>
      <c r="O557" s="59">
        <f>IFERROR(SUMIF(ETM!$A:$A,$Q557,ETM!$E:$E),"")</f>
        <v>7500</v>
      </c>
      <c r="P557" s="855">
        <f>IFERROR(L557/O557,0)</f>
        <v>30.141466666666666</v>
      </c>
      <c r="Q557" s="795" t="s">
        <v>1244</v>
      </c>
      <c r="R557" s="785">
        <f>IFERROR(VLOOKUP($Q557,'391'!$P:$W,8,0),"")-R568</f>
        <v>43960</v>
      </c>
      <c r="S557" s="796"/>
      <c r="T557" s="797"/>
      <c r="U557" s="797"/>
      <c r="V557" s="797"/>
      <c r="W557" s="802">
        <f>IFERROR(VLOOKUP($Q557,'391'!$P:$AG,15,0),0)</f>
        <v>281666</v>
      </c>
      <c r="X557" s="799">
        <f t="shared" si="352"/>
        <v>-54166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91" t="str">
        <f>IF(L560=0,"",MAX($A$16:A557)+1)</f>
        <v/>
      </c>
      <c r="B558" s="2121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4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2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93"/>
      <c r="B559" s="2093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4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2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5">+SUM(I558:I559)</f>
        <v>0</v>
      </c>
      <c r="J560" s="1336">
        <f t="shared" si="355"/>
        <v>0</v>
      </c>
      <c r="K560" s="1336">
        <f t="shared" ref="K560" si="356">+SUM(K558:K559)</f>
        <v>0</v>
      </c>
      <c r="L560" s="531">
        <f t="shared" si="354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2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91" t="str">
        <f>IF(L564=0,"",MAX($A$16:A560)+1)</f>
        <v/>
      </c>
      <c r="B561" s="2083" t="s">
        <v>1325</v>
      </c>
      <c r="C561" s="574" t="s">
        <v>247</v>
      </c>
      <c r="D561" s="881" t="s">
        <v>10</v>
      </c>
      <c r="E561" s="882">
        <v>45135</v>
      </c>
      <c r="F561" s="75">
        <f>$L$7-E561</f>
        <v>1141</v>
      </c>
      <c r="G561" s="300">
        <v>0</v>
      </c>
      <c r="H561" s="300"/>
      <c r="I561" s="300"/>
      <c r="J561" s="1300"/>
      <c r="K561" s="300"/>
      <c r="L561" s="531">
        <f t="shared" si="354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2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129"/>
      <c r="B562" s="2090"/>
      <c r="C562" s="574"/>
      <c r="D562" s="881" t="s">
        <v>10</v>
      </c>
      <c r="E562" s="882">
        <v>45135</v>
      </c>
      <c r="F562" s="75">
        <f>$L$7-E562</f>
        <v>1141</v>
      </c>
      <c r="G562" s="300">
        <v>0</v>
      </c>
      <c r="H562" s="300"/>
      <c r="I562" s="300"/>
      <c r="J562" s="1300"/>
      <c r="K562" s="300"/>
      <c r="L562" s="531">
        <f t="shared" si="354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2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93"/>
      <c r="B563" s="2076"/>
      <c r="C563" s="138" t="s">
        <v>76</v>
      </c>
      <c r="D563" s="884" t="s">
        <v>10</v>
      </c>
      <c r="E563" s="882">
        <v>45135</v>
      </c>
      <c r="F563" s="75">
        <f>$L$7-E563</f>
        <v>1141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4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2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1326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57">+SUM(I561:I563)</f>
        <v>0</v>
      </c>
      <c r="J564" s="1336">
        <f t="shared" si="357"/>
        <v>0</v>
      </c>
      <c r="K564" s="1336">
        <f t="shared" si="357"/>
        <v>0</v>
      </c>
      <c r="L564" s="531">
        <f t="shared" si="354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1329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2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91">
        <f>IF(L568=0,"",MAX($A$16:A564)+1)</f>
        <v>28</v>
      </c>
      <c r="B565" s="1864" t="s">
        <v>1970</v>
      </c>
      <c r="C565" s="574" t="s">
        <v>2213</v>
      </c>
      <c r="D565" s="881" t="s">
        <v>10</v>
      </c>
      <c r="E565" s="882">
        <v>46259</v>
      </c>
      <c r="F565" s="75">
        <f>$L$7-E565</f>
        <v>17</v>
      </c>
      <c r="G565" s="300">
        <v>17500</v>
      </c>
      <c r="H565" s="300"/>
      <c r="I565" s="300"/>
      <c r="J565" s="1300"/>
      <c r="K565" s="12">
        <f>IFERROR(SUMIF(INTAKE!$A:$A,$T565,INTAKE!$P:$P),0)</f>
        <v>10000</v>
      </c>
      <c r="L565" s="1670">
        <f t="shared" si="354"/>
        <v>7500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Nam)C746259</v>
      </c>
      <c r="U565" s="797"/>
      <c r="V565" s="797"/>
      <c r="W565" s="802">
        <f>IFERROR(VLOOKUP($Q565,'391'!$P:$AG,15,0),0)</f>
        <v>0</v>
      </c>
      <c r="X565" s="799">
        <f t="shared" si="352"/>
        <v>17500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129"/>
      <c r="B566" s="1864" t="s">
        <v>1970</v>
      </c>
      <c r="C566" s="574"/>
      <c r="D566" s="881" t="s">
        <v>10</v>
      </c>
      <c r="E566" s="882">
        <v>46259</v>
      </c>
      <c r="F566" s="75">
        <f>$L$7-E566</f>
        <v>17</v>
      </c>
      <c r="G566" s="300">
        <v>0</v>
      </c>
      <c r="H566" s="300"/>
      <c r="I566" s="300"/>
      <c r="J566" s="1300"/>
      <c r="K566" s="12">
        <f>IFERROR(SUMIF(INTAKE!$A:$A,$T566,INTAKE!$P:$P),0)</f>
        <v>0</v>
      </c>
      <c r="L566" s="1670">
        <f t="shared" si="354"/>
        <v>0</v>
      </c>
      <c r="M566" s="48"/>
      <c r="N566" s="163"/>
      <c r="O566" s="48"/>
      <c r="P566" s="1993"/>
      <c r="Q566" s="795"/>
      <c r="R566" s="785">
        <f>IFERROR(VLOOKUP($Q566,'391'!$P:$W,8,0),"")</f>
        <v>0</v>
      </c>
      <c r="S566" s="796"/>
      <c r="T566" s="787" t="str">
        <f t="shared" ref="T566:T567" si="358">$Q$568&amp;C566&amp;E566</f>
        <v>Nextide (ViÖt Nam)46259</v>
      </c>
      <c r="U566" s="797"/>
      <c r="V566" s="797"/>
      <c r="W566" s="802">
        <f>IFERROR(VLOOKUP($Q566,'391'!$P:$AG,15,0),0)</f>
        <v>0</v>
      </c>
      <c r="X566" s="799">
        <f t="shared" si="352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93"/>
      <c r="B567" s="1992" t="s">
        <v>1931</v>
      </c>
      <c r="C567" s="138" t="s">
        <v>2441</v>
      </c>
      <c r="D567" s="884" t="s">
        <v>10</v>
      </c>
      <c r="E567" s="882">
        <v>46259</v>
      </c>
      <c r="F567" s="75">
        <f>$L$7-E567</f>
        <v>17</v>
      </c>
      <c r="G567" s="313">
        <v>22503</v>
      </c>
      <c r="H567" s="28"/>
      <c r="I567" s="28">
        <f>+K565</f>
        <v>10000</v>
      </c>
      <c r="J567" s="1295">
        <f>usage!I68</f>
        <v>488</v>
      </c>
      <c r="K567" s="28"/>
      <c r="L567" s="531">
        <f t="shared" si="354"/>
        <v>32015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58"/>
        <v>Nextide (ViÖt Nam)FM 5846259</v>
      </c>
      <c r="U567" s="797"/>
      <c r="V567" s="797"/>
      <c r="W567" s="802">
        <f>IFERROR(VLOOKUP($Q567,'391'!$P:$AG,15,0),0)</f>
        <v>0</v>
      </c>
      <c r="X567" s="799">
        <f t="shared" si="352"/>
        <v>22503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1971</v>
      </c>
      <c r="C568" s="575"/>
      <c r="D568" s="900"/>
      <c r="E568" s="901"/>
      <c r="F568" s="902"/>
      <c r="G568" s="1336">
        <v>40003</v>
      </c>
      <c r="H568" s="1336">
        <f>+SUM(H565:H567)</f>
        <v>0</v>
      </c>
      <c r="I568" s="1336">
        <f t="shared" ref="I568:J568" si="359">+SUM(I565:I567)</f>
        <v>10000</v>
      </c>
      <c r="J568" s="1336">
        <f t="shared" si="359"/>
        <v>488</v>
      </c>
      <c r="K568" s="1336">
        <f>+SUM(K565:K567)</f>
        <v>10000</v>
      </c>
      <c r="L568" s="1336">
        <f>+SUM(L565:L567)</f>
        <v>39515</v>
      </c>
      <c r="M568" s="59">
        <f>IFERROR((R568/$S$2),"")</f>
        <v>1428.2222222222222</v>
      </c>
      <c r="N568" s="366">
        <f>IFERROR(L568/M568,0)</f>
        <v>27.667263108759919</v>
      </c>
      <c r="O568" s="59">
        <f>IFERROR(SUMIF(ETM!$A:$A,$Q568,ETM!$E:$E),"")</f>
        <v>2266.6666666666665</v>
      </c>
      <c r="P568" s="855">
        <f>IFERROR(L568/O568,0)</f>
        <v>17.433088235294118</v>
      </c>
      <c r="Q568" s="795" t="s">
        <v>1964</v>
      </c>
      <c r="R568" s="785">
        <f>IFERROR(VLOOKUP($Q568,'391'!$S:$Z,8,0),"")</f>
        <v>6427</v>
      </c>
      <c r="S568" s="796"/>
      <c r="T568" s="797"/>
      <c r="U568" s="797"/>
      <c r="V568" s="797"/>
      <c r="W568" s="802">
        <f>IFERROR(VLOOKUP($Q568,'391'!$P:$AG,15,0),0)</f>
        <v>0</v>
      </c>
      <c r="X568" s="799">
        <f t="shared" si="352"/>
        <v>40003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81">
        <f>IF(L575=0,"",MAX($A$16:A568)+1)</f>
        <v>29</v>
      </c>
      <c r="B569" s="2051" t="s">
        <v>91</v>
      </c>
      <c r="C569" s="160"/>
      <c r="D569" s="936" t="s">
        <v>10</v>
      </c>
      <c r="E569" s="937">
        <v>45906</v>
      </c>
      <c r="F569" s="71">
        <f t="shared" ref="F569:F570" si="360">$L$7-E569</f>
        <v>370</v>
      </c>
      <c r="G569" s="311">
        <v>0</v>
      </c>
      <c r="H569" s="305"/>
      <c r="I569" s="305"/>
      <c r="J569" s="1335"/>
      <c r="K569" s="1846"/>
      <c r="L569" s="1670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2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78"/>
      <c r="B570" s="2073"/>
      <c r="C570" s="160"/>
      <c r="D570" s="936" t="s">
        <v>10</v>
      </c>
      <c r="E570" s="937">
        <v>45918</v>
      </c>
      <c r="F570" s="71">
        <f t="shared" si="360"/>
        <v>358</v>
      </c>
      <c r="G570" s="311">
        <v>0</v>
      </c>
      <c r="H570" s="305"/>
      <c r="I570" s="305"/>
      <c r="J570" s="1335"/>
      <c r="K570" s="1865"/>
      <c r="L570" s="1670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2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78"/>
      <c r="B571" s="2073"/>
      <c r="C571" s="160"/>
      <c r="D571" s="936" t="s">
        <v>10</v>
      </c>
      <c r="E571" s="937">
        <v>46112</v>
      </c>
      <c r="F571" s="71">
        <f t="shared" ref="F571:F572" si="361">$L$7-E571</f>
        <v>164</v>
      </c>
      <c r="G571" s="1882">
        <v>0</v>
      </c>
      <c r="H571" s="1883"/>
      <c r="I571" s="1884"/>
      <c r="J571" s="1885"/>
      <c r="K571" s="12">
        <f>IFERROR(SUMIF(INTAKE!$A:$A,$T571,INTAKE!$P:$P),0)</f>
        <v>0</v>
      </c>
      <c r="L571" s="1886">
        <f t="shared" ref="L571" si="362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2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78"/>
      <c r="B572" s="2073"/>
      <c r="C572" s="160" t="s">
        <v>1884</v>
      </c>
      <c r="D572" s="936" t="s">
        <v>10</v>
      </c>
      <c r="E572" s="937">
        <v>46270</v>
      </c>
      <c r="F572" s="71">
        <f t="shared" si="361"/>
        <v>6</v>
      </c>
      <c r="G572" s="1882">
        <v>14229</v>
      </c>
      <c r="H572" s="1883"/>
      <c r="I572" s="1884"/>
      <c r="J572" s="1885"/>
      <c r="K572" s="12">
        <f>IFERROR(SUMIF(INTAKE!$A:$A,$T572,INTAKE!$P:$P),0)</f>
        <v>6324</v>
      </c>
      <c r="L572" s="1886">
        <f t="shared" si="354"/>
        <v>7905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SaltB12.246270</v>
      </c>
      <c r="U572" s="787"/>
      <c r="V572" s="787"/>
      <c r="W572" s="802">
        <f>IFERROR(VLOOKUP($Q572,'391'!$P:$AG,15,0),0)</f>
        <v>0</v>
      </c>
      <c r="X572" s="799">
        <f t="shared" si="352"/>
        <v>14229</v>
      </c>
      <c r="Y572" s="787"/>
      <c r="Z572" s="791"/>
      <c r="AA572" s="787"/>
      <c r="AB572" s="787"/>
      <c r="AC572" s="679"/>
    </row>
    <row r="573" spans="1:45" ht="30" customHeight="1" x14ac:dyDescent="0.25">
      <c r="A573" s="2078"/>
      <c r="B573" s="2073"/>
      <c r="C573" s="160" t="s">
        <v>1884</v>
      </c>
      <c r="D573" s="936" t="s">
        <v>10</v>
      </c>
      <c r="E573" s="937">
        <v>46276</v>
      </c>
      <c r="F573" s="71">
        <f t="shared" ref="F573:F574" si="363">$L$7-E573</f>
        <v>0</v>
      </c>
      <c r="G573" s="1882">
        <v>0</v>
      </c>
      <c r="H573" s="1883">
        <v>31023</v>
      </c>
      <c r="I573" s="1884"/>
      <c r="J573" s="1885"/>
      <c r="K573" s="12">
        <f>IFERROR(SUMIF(INTAKE!$A:$A,$T573,INTAKE!$P:$P),0)</f>
        <v>0</v>
      </c>
      <c r="L573" s="1886">
        <f t="shared" si="354"/>
        <v>31023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SaltB12.246276</v>
      </c>
      <c r="U573" s="787"/>
      <c r="V573" s="787"/>
      <c r="W573" s="802">
        <f>IFERROR(VLOOKUP($Q573,'391'!$P:$AG,15,0),0)</f>
        <v>0</v>
      </c>
      <c r="X573" s="799">
        <f t="shared" si="352"/>
        <v>0</v>
      </c>
      <c r="Y573" s="787"/>
      <c r="Z573" s="791"/>
      <c r="AA573" s="787"/>
      <c r="AB573" s="787"/>
      <c r="AC573" s="679"/>
    </row>
    <row r="574" spans="1:45" ht="30" customHeight="1" x14ac:dyDescent="0.25">
      <c r="A574" s="2078"/>
      <c r="B574" s="2052"/>
      <c r="C574" s="97" t="s">
        <v>1843</v>
      </c>
      <c r="D574" s="884" t="s">
        <v>10</v>
      </c>
      <c r="E574" s="885">
        <v>46270</v>
      </c>
      <c r="F574" s="938">
        <f t="shared" si="363"/>
        <v>6</v>
      </c>
      <c r="G574" s="1888">
        <v>7802.0000000000255</v>
      </c>
      <c r="H574" s="1888"/>
      <c r="I574" s="1888">
        <f>+SUM(K569:K573)</f>
        <v>6324</v>
      </c>
      <c r="J574" s="1889">
        <f>usage!I53</f>
        <v>6074</v>
      </c>
      <c r="K574" s="1890"/>
      <c r="L574" s="1887">
        <f t="shared" si="354"/>
        <v>8052.0000000000255</v>
      </c>
      <c r="M574" s="48"/>
      <c r="N574" s="249"/>
      <c r="O574" s="48"/>
      <c r="P574" s="750"/>
      <c r="Q574" s="795" t="s">
        <v>1585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2"/>
        <v>7802.0000000000255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27" t="s">
        <v>115</v>
      </c>
      <c r="B575" s="2028"/>
      <c r="C575" s="88"/>
      <c r="D575" s="864"/>
      <c r="E575" s="939"/>
      <c r="F575" s="865"/>
      <c r="G575" s="1296">
        <v>22031.000000000025</v>
      </c>
      <c r="H575" s="1296">
        <f>SUM(H569:H574)</f>
        <v>31023</v>
      </c>
      <c r="I575" s="1296">
        <f>SUM(I569:I574)</f>
        <v>6324</v>
      </c>
      <c r="J575" s="1296">
        <f>SUM(J569:J574)</f>
        <v>6074</v>
      </c>
      <c r="K575" s="1296">
        <f>SUM(K569:K574)</f>
        <v>6324</v>
      </c>
      <c r="L575" s="1296">
        <f>SUM(L569:L574)</f>
        <v>46980.000000000029</v>
      </c>
      <c r="M575" s="59">
        <f>IFERROR((R575/$S$2),"")</f>
        <v>5458.666666666667</v>
      </c>
      <c r="N575" s="854">
        <f>(L575/M575)</f>
        <v>8.6064973131411868</v>
      </c>
      <c r="O575" s="59">
        <f>IFERROR(SUMIF(ETM!$A:$A,$Q575,ETM!$E:$E),"")</f>
        <v>5327.5</v>
      </c>
      <c r="P575" s="880">
        <f>(L575/O575)</f>
        <v>8.8183951196621351</v>
      </c>
      <c r="Q575" s="795" t="s">
        <v>825</v>
      </c>
      <c r="R575" s="785">
        <f>IFERROR(VLOOKUP($Q575,'391'!$P:$W,8,0),"")</f>
        <v>24564</v>
      </c>
      <c r="S575" s="796"/>
      <c r="T575" s="797"/>
      <c r="U575" s="797"/>
      <c r="V575" s="797"/>
      <c r="W575" s="802">
        <f>IFERROR(VLOOKUP($Q575,'391'!$P:$AG,15,0),0)</f>
        <v>45080</v>
      </c>
      <c r="X575" s="799">
        <f t="shared" si="352"/>
        <v>-23048.999999999975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71" t="str">
        <f>IF(L579=0,"",MAX($A$16:A575)+1)</f>
        <v/>
      </c>
      <c r="B576" s="2032" t="s">
        <v>1230</v>
      </c>
      <c r="C576" s="117" t="s">
        <v>481</v>
      </c>
      <c r="D576" s="940" t="s">
        <v>10</v>
      </c>
      <c r="E576" s="941">
        <v>44916</v>
      </c>
      <c r="F576" s="942">
        <f>$L$7-E576</f>
        <v>1360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4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2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86"/>
      <c r="B577" s="2115"/>
      <c r="C577" s="109"/>
      <c r="D577" s="850" t="s">
        <v>10</v>
      </c>
      <c r="E577" s="851"/>
      <c r="F577" s="942">
        <f>$L$7-E577</f>
        <v>46276</v>
      </c>
      <c r="G577" s="36">
        <v>0</v>
      </c>
      <c r="H577" s="36"/>
      <c r="I577" s="36"/>
      <c r="J577" s="1294"/>
      <c r="K577" s="36"/>
      <c r="L577" s="531">
        <f t="shared" si="364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2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072"/>
      <c r="B578" s="2034"/>
      <c r="C578" s="61" t="s">
        <v>158</v>
      </c>
      <c r="D578" s="850" t="s">
        <v>10</v>
      </c>
      <c r="E578" s="851">
        <v>44916</v>
      </c>
      <c r="F578" s="39">
        <f>$L$7-E578</f>
        <v>1360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4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2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27" t="s">
        <v>1231</v>
      </c>
      <c r="B579" s="2028"/>
      <c r="C579" s="88"/>
      <c r="D579" s="864"/>
      <c r="E579" s="864"/>
      <c r="F579" s="865"/>
      <c r="G579" s="1296">
        <v>0</v>
      </c>
      <c r="H579" s="1296">
        <f t="shared" ref="H579:K579" si="365">+SUM(H576:H578)</f>
        <v>0</v>
      </c>
      <c r="I579" s="1296">
        <f t="shared" si="365"/>
        <v>0</v>
      </c>
      <c r="J579" s="1296">
        <f t="shared" si="365"/>
        <v>0</v>
      </c>
      <c r="K579" s="1296">
        <f t="shared" si="365"/>
        <v>0</v>
      </c>
      <c r="L579" s="531">
        <f t="shared" si="364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1233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2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71" t="str">
        <f>IF(L583=0,"",MAX($A$16:A579)+1)</f>
        <v/>
      </c>
      <c r="B580" s="2032" t="s">
        <v>1253</v>
      </c>
      <c r="C580" s="160" t="s">
        <v>1190</v>
      </c>
      <c r="D580" s="936" t="s">
        <v>10</v>
      </c>
      <c r="E580" s="937">
        <v>44959</v>
      </c>
      <c r="F580" s="71">
        <f>$L$7-E580</f>
        <v>1317</v>
      </c>
      <c r="G580" s="311">
        <v>0</v>
      </c>
      <c r="H580" s="314"/>
      <c r="I580" s="314"/>
      <c r="J580" s="1359"/>
      <c r="K580" s="308"/>
      <c r="L580" s="531">
        <f t="shared" si="364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2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86"/>
      <c r="B581" s="2115"/>
      <c r="C581" s="109"/>
      <c r="D581" s="850" t="s">
        <v>10</v>
      </c>
      <c r="E581" s="851"/>
      <c r="F581" s="942">
        <f>$L$7-E581</f>
        <v>46276</v>
      </c>
      <c r="G581" s="36">
        <v>0</v>
      </c>
      <c r="H581" s="36"/>
      <c r="I581" s="36"/>
      <c r="J581" s="1294"/>
      <c r="K581" s="36"/>
      <c r="L581" s="531">
        <f t="shared" si="364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2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072"/>
      <c r="B582" s="2034"/>
      <c r="C582" s="61" t="s">
        <v>158</v>
      </c>
      <c r="D582" s="850" t="s">
        <v>10</v>
      </c>
      <c r="E582" s="851">
        <v>44959</v>
      </c>
      <c r="F582" s="39">
        <f>$L$7-E582</f>
        <v>1317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4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2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27" t="s">
        <v>1254</v>
      </c>
      <c r="B583" s="2028"/>
      <c r="C583" s="88"/>
      <c r="D583" s="864"/>
      <c r="E583" s="864"/>
      <c r="F583" s="865"/>
      <c r="G583" s="1296">
        <v>0</v>
      </c>
      <c r="H583" s="1296">
        <f t="shared" ref="H583:K583" si="366">+SUM(H580:H582)</f>
        <v>0</v>
      </c>
      <c r="I583" s="1296">
        <f t="shared" si="366"/>
        <v>0</v>
      </c>
      <c r="J583" s="1296">
        <f t="shared" si="366"/>
        <v>0</v>
      </c>
      <c r="K583" s="1296">
        <f t="shared" si="366"/>
        <v>0</v>
      </c>
      <c r="L583" s="531">
        <f t="shared" si="364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1259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2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71" t="str">
        <f>IF(L587=0,"",MAX($A$16:A583)+1)</f>
        <v/>
      </c>
      <c r="B584" s="2032" t="s">
        <v>1280</v>
      </c>
      <c r="C584" s="1249" t="s">
        <v>1303</v>
      </c>
      <c r="D584" s="1250" t="s">
        <v>10</v>
      </c>
      <c r="E584" s="1251">
        <v>45146</v>
      </c>
      <c r="F584" s="1252">
        <f>$L$7-E584</f>
        <v>1130</v>
      </c>
      <c r="G584" s="1253">
        <v>0</v>
      </c>
      <c r="H584" s="1253"/>
      <c r="I584" s="1253"/>
      <c r="J584" s="1361"/>
      <c r="K584" s="247"/>
      <c r="L584" s="531">
        <f t="shared" si="364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2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86"/>
      <c r="B585" s="2115"/>
      <c r="C585" s="109"/>
      <c r="D585" s="850" t="s">
        <v>10</v>
      </c>
      <c r="E585" s="851"/>
      <c r="F585" s="942">
        <f>$L$7-E585</f>
        <v>46276</v>
      </c>
      <c r="G585" s="36">
        <v>0</v>
      </c>
      <c r="H585" s="36"/>
      <c r="I585" s="36"/>
      <c r="J585" s="1294"/>
      <c r="K585" s="36"/>
      <c r="L585" s="531">
        <f t="shared" si="364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2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072"/>
      <c r="B586" s="2034"/>
      <c r="C586" s="61" t="s">
        <v>1300</v>
      </c>
      <c r="D586" s="850" t="s">
        <v>10</v>
      </c>
      <c r="E586" s="851">
        <v>45146</v>
      </c>
      <c r="F586" s="39">
        <f>$L$7-E586</f>
        <v>1130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4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67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27" t="s">
        <v>1281</v>
      </c>
      <c r="B587" s="2028"/>
      <c r="C587" s="88"/>
      <c r="D587" s="864"/>
      <c r="E587" s="864"/>
      <c r="F587" s="865"/>
      <c r="G587" s="1296">
        <v>0</v>
      </c>
      <c r="H587" s="1296">
        <f t="shared" ref="H587:K587" si="368">+SUM(H584:H586)</f>
        <v>0</v>
      </c>
      <c r="I587" s="1296">
        <f t="shared" si="368"/>
        <v>0</v>
      </c>
      <c r="J587" s="1296">
        <f t="shared" si="368"/>
        <v>0</v>
      </c>
      <c r="K587" s="1296">
        <f t="shared" si="368"/>
        <v>0</v>
      </c>
      <c r="L587" s="531">
        <f t="shared" si="364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1282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67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71" t="str">
        <f>IF(L591=0,"",MAX($A$16:A587)+1)</f>
        <v/>
      </c>
      <c r="B588" s="2032" t="s">
        <v>1284</v>
      </c>
      <c r="C588" s="160" t="s">
        <v>624</v>
      </c>
      <c r="D588" s="936" t="s">
        <v>10</v>
      </c>
      <c r="E588" s="937">
        <v>45009</v>
      </c>
      <c r="F588" s="71">
        <f>$L$7-E588</f>
        <v>1267</v>
      </c>
      <c r="G588" s="311">
        <v>0</v>
      </c>
      <c r="H588" s="314"/>
      <c r="I588" s="314"/>
      <c r="J588" s="1359"/>
      <c r="K588" s="308"/>
      <c r="L588" s="531">
        <f t="shared" si="364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67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86"/>
      <c r="B589" s="2115"/>
      <c r="C589" s="109"/>
      <c r="D589" s="850" t="s">
        <v>10</v>
      </c>
      <c r="E589" s="851"/>
      <c r="F589" s="942">
        <f>$L$7-E589</f>
        <v>46276</v>
      </c>
      <c r="G589" s="36">
        <v>0</v>
      </c>
      <c r="H589" s="36"/>
      <c r="I589" s="36"/>
      <c r="J589" s="1294"/>
      <c r="K589" s="36"/>
      <c r="L589" s="531">
        <f t="shared" si="364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67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072"/>
      <c r="B590" s="2034"/>
      <c r="C590" s="61" t="s">
        <v>158</v>
      </c>
      <c r="D590" s="850" t="s">
        <v>10</v>
      </c>
      <c r="E590" s="851">
        <v>45009</v>
      </c>
      <c r="F590" s="39">
        <f>$L$7-E590</f>
        <v>1267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4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67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27" t="s">
        <v>1285</v>
      </c>
      <c r="B591" s="2028"/>
      <c r="C591" s="88"/>
      <c r="D591" s="864"/>
      <c r="E591" s="864"/>
      <c r="F591" s="865"/>
      <c r="G591" s="1296">
        <v>0</v>
      </c>
      <c r="H591" s="1296">
        <f t="shared" ref="H591:K591" si="369">+SUM(H588:H590)</f>
        <v>0</v>
      </c>
      <c r="I591" s="1296">
        <f t="shared" si="369"/>
        <v>0</v>
      </c>
      <c r="J591" s="1296">
        <f t="shared" si="369"/>
        <v>0</v>
      </c>
      <c r="K591" s="1296">
        <f t="shared" si="369"/>
        <v>0</v>
      </c>
      <c r="L591" s="531">
        <f t="shared" si="364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1288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67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71" t="str">
        <f>IF(L595=0,"",MAX($A$16:A591)+1)</f>
        <v/>
      </c>
      <c r="B592" s="2032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1949</v>
      </c>
      <c r="G592" s="314">
        <v>0</v>
      </c>
      <c r="H592" s="314"/>
      <c r="I592" s="314"/>
      <c r="J592" s="1359"/>
      <c r="K592" s="308"/>
      <c r="L592" s="531">
        <f t="shared" si="364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7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86"/>
      <c r="B593" s="2115"/>
      <c r="C593" s="109"/>
      <c r="D593" s="850" t="s">
        <v>10</v>
      </c>
      <c r="E593" s="851"/>
      <c r="F593" s="942">
        <f>$L$7-E593</f>
        <v>46276</v>
      </c>
      <c r="G593" s="36">
        <v>0</v>
      </c>
      <c r="H593" s="36"/>
      <c r="I593" s="36"/>
      <c r="J593" s="1294"/>
      <c r="K593" s="36"/>
      <c r="L593" s="531">
        <f t="shared" si="364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7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072"/>
      <c r="B594" s="2034"/>
      <c r="C594" s="61" t="s">
        <v>158</v>
      </c>
      <c r="D594" s="850" t="s">
        <v>10</v>
      </c>
      <c r="E594" s="886">
        <v>44327</v>
      </c>
      <c r="F594" s="39">
        <f>$L$7-E594</f>
        <v>1949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4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67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27" t="s">
        <v>933</v>
      </c>
      <c r="B595" s="2028"/>
      <c r="C595" s="88"/>
      <c r="D595" s="864"/>
      <c r="E595" s="864"/>
      <c r="F595" s="865"/>
      <c r="G595" s="1296">
        <v>0</v>
      </c>
      <c r="H595" s="1296">
        <f t="shared" ref="H595:K595" si="370">+H594+H592</f>
        <v>0</v>
      </c>
      <c r="I595" s="1296">
        <f t="shared" si="370"/>
        <v>0</v>
      </c>
      <c r="J595" s="1296">
        <f t="shared" si="370"/>
        <v>0</v>
      </c>
      <c r="K595" s="1296">
        <f t="shared" si="370"/>
        <v>0</v>
      </c>
      <c r="L595" s="531">
        <f t="shared" si="364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67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71">
        <f>IF(L599=0,"",MAX($A$16:A595)+1)</f>
        <v>30</v>
      </c>
      <c r="B596" s="2051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4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7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86"/>
      <c r="B597" s="2073"/>
      <c r="C597" s="109" t="s">
        <v>124</v>
      </c>
      <c r="D597" s="850" t="s">
        <v>10</v>
      </c>
      <c r="E597" s="851">
        <v>46191</v>
      </c>
      <c r="F597" s="41">
        <f>$L$7-E597</f>
        <v>85</v>
      </c>
      <c r="G597" s="36">
        <v>188290</v>
      </c>
      <c r="H597" s="314">
        <v>33430</v>
      </c>
      <c r="I597" s="36"/>
      <c r="J597" s="1294">
        <f>usage!I55</f>
        <v>4058</v>
      </c>
      <c r="K597" s="36"/>
      <c r="L597" s="531">
        <f t="shared" si="364"/>
        <v>217662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7"/>
        <v>188290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072"/>
      <c r="B598" s="2052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4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67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27" t="s">
        <v>116</v>
      </c>
      <c r="B599" s="2028"/>
      <c r="C599" s="88"/>
      <c r="D599" s="864"/>
      <c r="E599" s="864"/>
      <c r="F599" s="865"/>
      <c r="G599" s="1296">
        <v>188290</v>
      </c>
      <c r="H599" s="1296">
        <f t="shared" ref="H599:I599" si="371">H597</f>
        <v>33430</v>
      </c>
      <c r="I599" s="1296">
        <f t="shared" si="371"/>
        <v>0</v>
      </c>
      <c r="J599" s="1296">
        <f t="shared" ref="J599:L599" si="372">J597</f>
        <v>4058</v>
      </c>
      <c r="K599" s="1296">
        <f t="shared" si="372"/>
        <v>0</v>
      </c>
      <c r="L599" s="1296">
        <f t="shared" si="372"/>
        <v>217662</v>
      </c>
      <c r="M599" s="59">
        <f>IFERROR((R599/$S$2),"")</f>
        <v>6274</v>
      </c>
      <c r="N599" s="854">
        <f>IFERROR(L599/M599,0)</f>
        <v>34.692700031877592</v>
      </c>
      <c r="O599" s="59">
        <f>IFERROR(SUMIF(ETM!$A:$A,$Q599,ETM!$E:$E),"")</f>
        <v>6326.0000000000009</v>
      </c>
      <c r="P599" s="855">
        <f>IFERROR(L599/O599,0)</f>
        <v>34.407524502055004</v>
      </c>
      <c r="Q599" s="666" t="s">
        <v>1690</v>
      </c>
      <c r="R599" s="785">
        <f>IFERROR(VLOOKUP($Q599,'391'!$P:$W,8,0),"")</f>
        <v>28233</v>
      </c>
      <c r="S599" s="796"/>
      <c r="T599" s="797"/>
      <c r="U599" s="797"/>
      <c r="V599" s="797"/>
      <c r="W599" s="802">
        <f>IFERROR(VLOOKUP($Q599,'391'!$P:$AG,15,0),0)</f>
        <v>212905</v>
      </c>
      <c r="X599" s="799">
        <f t="shared" si="367"/>
        <v>-24615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31">
        <f>IF(L602=0,"",MAX($A$16:A599)+1)</f>
        <v>31</v>
      </c>
      <c r="B600" s="2051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143</v>
      </c>
      <c r="G600" s="345">
        <v>16125</v>
      </c>
      <c r="H600" s="1710"/>
      <c r="I600" s="345"/>
      <c r="J600" s="1309">
        <f>usage!I56</f>
        <v>241</v>
      </c>
      <c r="K600" s="345"/>
      <c r="L600" s="531">
        <f>+G600+H600+I600-J600-K600</f>
        <v>15884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67"/>
        <v>16125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32"/>
      <c r="B601" s="2052"/>
      <c r="C601" s="138"/>
      <c r="D601" s="946" t="s">
        <v>10</v>
      </c>
      <c r="E601" s="947">
        <v>41844</v>
      </c>
      <c r="F601" s="39">
        <f>$L$7-E601</f>
        <v>4432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67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27" t="s">
        <v>1130</v>
      </c>
      <c r="B602" s="2028"/>
      <c r="C602" s="88"/>
      <c r="D602" s="864"/>
      <c r="E602" s="864"/>
      <c r="F602" s="865"/>
      <c r="G602" s="1296">
        <v>16125</v>
      </c>
      <c r="H602" s="1296">
        <f t="shared" ref="H602:I602" si="373">H600</f>
        <v>0</v>
      </c>
      <c r="I602" s="1296">
        <f t="shared" si="373"/>
        <v>0</v>
      </c>
      <c r="J602" s="1296">
        <f t="shared" ref="J602:L602" si="374">J600</f>
        <v>241</v>
      </c>
      <c r="K602" s="1296">
        <f t="shared" si="374"/>
        <v>0</v>
      </c>
      <c r="L602" s="1296">
        <f t="shared" si="374"/>
        <v>15884</v>
      </c>
      <c r="M602" s="59">
        <f>IFERROR((R602/$S$2),"")</f>
        <v>1539.7777777777778</v>
      </c>
      <c r="N602" s="366">
        <f>(L602/M602)</f>
        <v>10.315774282003174</v>
      </c>
      <c r="O602" s="59">
        <f>IFERROR(SUMIF(ETM!$A:$A,$Q602,ETM!$E:$E),"")</f>
        <v>1226.6666666666667</v>
      </c>
      <c r="P602" s="880">
        <f>(L602/O602)</f>
        <v>12.94891304347826</v>
      </c>
      <c r="Q602" s="795" t="s">
        <v>830</v>
      </c>
      <c r="R602" s="785">
        <f>IFERROR(VLOOKUP($Q602,'391'!$P:$W,8,0),"")</f>
        <v>6929</v>
      </c>
      <c r="S602" s="796"/>
      <c r="T602" s="797"/>
      <c r="U602" s="797"/>
      <c r="V602" s="797"/>
      <c r="W602" s="802">
        <f>IFERROR(VLOOKUP($Q602,'391'!$P:$AG,15,0),0)</f>
        <v>11995</v>
      </c>
      <c r="X602" s="799">
        <f t="shared" si="367"/>
        <v>4130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29">
        <f>IF(L608=0,"",MAX($A$16:A602)+1)</f>
        <v>32</v>
      </c>
      <c r="B603" s="2074" t="s">
        <v>92</v>
      </c>
      <c r="C603" s="118" t="s">
        <v>77</v>
      </c>
      <c r="D603" s="910" t="s">
        <v>10</v>
      </c>
      <c r="E603" s="890">
        <v>46272</v>
      </c>
      <c r="F603" s="948">
        <f>$L$7-E603</f>
        <v>4</v>
      </c>
      <c r="G603" s="315">
        <v>0</v>
      </c>
      <c r="H603" s="314"/>
      <c r="I603" s="315"/>
      <c r="J603" s="1726"/>
      <c r="K603" s="1326"/>
      <c r="L603" s="531">
        <f>+G603+H603+I603-J603-K603</f>
        <v>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67"/>
        <v>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30"/>
      <c r="B604" s="2075"/>
      <c r="C604" s="118" t="s">
        <v>78</v>
      </c>
      <c r="D604" s="852" t="s">
        <v>10</v>
      </c>
      <c r="E604" s="853">
        <v>46129</v>
      </c>
      <c r="F604" s="948">
        <f>$L$7-E604</f>
        <v>147</v>
      </c>
      <c r="G604" s="296">
        <v>189031</v>
      </c>
      <c r="H604" s="1862"/>
      <c r="I604" s="315"/>
      <c r="J604" s="1726">
        <f>usage!I57</f>
        <v>15979</v>
      </c>
      <c r="K604" s="1257"/>
      <c r="L604" s="531">
        <f>+G604+H604+I604-J604-K604</f>
        <v>173052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67"/>
        <v>189031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30"/>
      <c r="B605" s="2075"/>
      <c r="C605" s="118" t="s">
        <v>127</v>
      </c>
      <c r="D605" s="852" t="s">
        <v>10</v>
      </c>
      <c r="E605" s="853">
        <v>43183</v>
      </c>
      <c r="F605" s="856">
        <f>$L$7-E605</f>
        <v>3093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67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30"/>
      <c r="B606" s="2075"/>
      <c r="C606" s="118" t="s">
        <v>209</v>
      </c>
      <c r="D606" s="852" t="s">
        <v>10</v>
      </c>
      <c r="E606" s="853">
        <v>43183</v>
      </c>
      <c r="F606" s="856">
        <f>$L$7-E606</f>
        <v>3093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7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31"/>
      <c r="B607" s="2076"/>
      <c r="C607" s="118"/>
      <c r="D607" s="852" t="s">
        <v>10</v>
      </c>
      <c r="E607" s="853">
        <v>43047</v>
      </c>
      <c r="F607" s="856">
        <f>$L$7-E607</f>
        <v>3229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7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27" t="s">
        <v>950</v>
      </c>
      <c r="B608" s="2028"/>
      <c r="C608" s="88"/>
      <c r="D608" s="864"/>
      <c r="E608" s="864"/>
      <c r="F608" s="865"/>
      <c r="G608" s="1296">
        <v>189031</v>
      </c>
      <c r="H608" s="1296">
        <f>+SUM(H603:H607)</f>
        <v>0</v>
      </c>
      <c r="I608" s="1296">
        <f t="shared" ref="I608:L608" si="375">+SUM(I603:I607)</f>
        <v>0</v>
      </c>
      <c r="J608" s="1296">
        <f t="shared" si="375"/>
        <v>15979</v>
      </c>
      <c r="K608" s="1296">
        <f t="shared" si="375"/>
        <v>0</v>
      </c>
      <c r="L608" s="1296">
        <f t="shared" si="375"/>
        <v>173052</v>
      </c>
      <c r="M608" s="59">
        <f>IFERROR((R608/$S$2),"")</f>
        <v>14128.222222222223</v>
      </c>
      <c r="N608" s="366">
        <f>(L608/M608)</f>
        <v>12.248674835239159</v>
      </c>
      <c r="O608" s="59">
        <f>IFERROR(SUMIF(ETM!$A:$A,$Q608,ETM!$E:$E),"")</f>
        <v>13715.833333333334</v>
      </c>
      <c r="P608" s="855">
        <f>(L608/O608)</f>
        <v>12.6169512121028</v>
      </c>
      <c r="Q608" s="795" t="s">
        <v>810</v>
      </c>
      <c r="R608" s="785">
        <f>IFERROR(VLOOKUP($Q608,'391'!$P:$W,8,0),"")</f>
        <v>63577</v>
      </c>
      <c r="S608" s="796"/>
      <c r="T608" s="797"/>
      <c r="U608" s="797"/>
      <c r="V608" s="797"/>
      <c r="W608" s="802">
        <f>IFERROR(VLOOKUP($Q608,'391'!$P:$AG,15,0),0)</f>
        <v>180281</v>
      </c>
      <c r="X608" s="799">
        <f t="shared" si="367"/>
        <v>8750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48</v>
      </c>
      <c r="G609" s="314">
        <v>373858.07</v>
      </c>
      <c r="H609" s="314">
        <v>33880</v>
      </c>
      <c r="I609" s="314"/>
      <c r="J609" s="1359">
        <f>usage!I58</f>
        <v>25299.67</v>
      </c>
      <c r="K609" s="308"/>
      <c r="L609" s="531">
        <f>+G609+H609+I609-J609-K609</f>
        <v>382438.40000000002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7"/>
        <v>373858.07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22" t="s">
        <v>118</v>
      </c>
      <c r="B610" s="2123"/>
      <c r="C610" s="949"/>
      <c r="D610" s="950"/>
      <c r="E610" s="951"/>
      <c r="F610" s="952"/>
      <c r="G610" s="1296">
        <v>373858.07</v>
      </c>
      <c r="H610" s="1296">
        <f>+H609</f>
        <v>33880</v>
      </c>
      <c r="I610" s="1296">
        <f t="shared" ref="I610:L610" si="376">+I609</f>
        <v>0</v>
      </c>
      <c r="J610" s="1296">
        <f t="shared" si="376"/>
        <v>25299.67</v>
      </c>
      <c r="K610" s="1296">
        <f t="shared" si="376"/>
        <v>0</v>
      </c>
      <c r="L610" s="1296">
        <f t="shared" si="376"/>
        <v>382438.40000000002</v>
      </c>
      <c r="M610" s="59">
        <f>IFERROR((R610/$S$2),"")</f>
        <v>32025.555555555555</v>
      </c>
      <c r="N610" s="854">
        <f>(L610/M610)</f>
        <v>11.94166325503938</v>
      </c>
      <c r="O610" s="59">
        <f>IFERROR(SUMIF(ETM!$A:$A,$Q610,ETM!$E:$E),"")</f>
        <v>28414.666666666664</v>
      </c>
      <c r="P610" s="855">
        <f>(L610/O610)</f>
        <v>13.459190089625078</v>
      </c>
      <c r="Q610" s="795" t="s">
        <v>816</v>
      </c>
      <c r="R610" s="785">
        <f>IFERROR(VLOOKUP($Q610,'391'!$P:$W,8,0),"")</f>
        <v>144115</v>
      </c>
      <c r="S610" s="786"/>
      <c r="T610" s="810"/>
      <c r="U610" s="810"/>
      <c r="V610" s="810"/>
      <c r="W610" s="802">
        <f>IFERROR(VLOOKUP($Q610,'391'!$P:$AG,15,0),0)</f>
        <v>269788</v>
      </c>
      <c r="X610" s="799">
        <f t="shared" si="367"/>
        <v>104070.07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33" t="s">
        <v>9</v>
      </c>
      <c r="B611" s="2134"/>
      <c r="C611" s="2134"/>
      <c r="D611" s="2134"/>
      <c r="E611" s="2134"/>
      <c r="F611" s="636"/>
      <c r="G611" s="1363">
        <f t="shared" ref="G611:L611" si="377">G391+G401+G423+G439+G445+G454+G465+G489+G509+G517+G522+G538+G557+G560+G575+G579+G595+G599+G602+G608+G610+G583+G587+G591+G564+G568</f>
        <v>1949669.07</v>
      </c>
      <c r="H611" s="1363">
        <f t="shared" si="377"/>
        <v>155633</v>
      </c>
      <c r="I611" s="1363">
        <f t="shared" si="377"/>
        <v>84454</v>
      </c>
      <c r="J611" s="1363">
        <f t="shared" si="377"/>
        <v>109563.67</v>
      </c>
      <c r="K611" s="1363">
        <f t="shared" si="377"/>
        <v>84454</v>
      </c>
      <c r="L611" s="1363">
        <f t="shared" si="377"/>
        <v>1995738.4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9141212</v>
      </c>
      <c r="S611" s="796">
        <v>10737806</v>
      </c>
      <c r="T611" s="799">
        <f>+R611-S611</f>
        <v>-1596594</v>
      </c>
      <c r="U611" s="797"/>
      <c r="V611" s="797"/>
      <c r="W611" s="785">
        <f>IFERROR(VLOOKUP($Q611,'391'!$S:$AG,15,0),0)</f>
        <v>0</v>
      </c>
      <c r="X611" s="799">
        <f t="shared" si="367"/>
        <v>1949669.07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12" t="s">
        <v>1477</v>
      </c>
      <c r="B612" s="2113"/>
      <c r="C612" s="2113"/>
      <c r="D612" s="2113"/>
      <c r="E612" s="2113"/>
      <c r="F612" s="2114"/>
      <c r="G612" s="1364">
        <f t="shared" ref="G612:L612" si="378">G611+G378+G194</f>
        <v>27957541.93</v>
      </c>
      <c r="H612" s="1364">
        <f t="shared" si="378"/>
        <v>648573</v>
      </c>
      <c r="I612" s="1364">
        <f t="shared" si="378"/>
        <v>3383916</v>
      </c>
      <c r="J612" s="1364">
        <f t="shared" si="378"/>
        <v>2034162.42</v>
      </c>
      <c r="K612" s="1364">
        <f t="shared" si="378"/>
        <v>2964846</v>
      </c>
      <c r="L612" s="1364">
        <f t="shared" si="378"/>
        <v>26991022.509999998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67"/>
        <v>27957541.93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085">
        <f>IF(L622=0,"",MAX($A$16:A610)+1)</f>
        <v>34</v>
      </c>
      <c r="B613" s="2079" t="s">
        <v>93</v>
      </c>
      <c r="C613" s="135" t="s">
        <v>59</v>
      </c>
      <c r="D613" s="852" t="s">
        <v>10</v>
      </c>
      <c r="E613" s="853">
        <v>46248</v>
      </c>
      <c r="F613" s="73">
        <f t="shared" ref="F613:F614" si="379">$L$7-E613</f>
        <v>28</v>
      </c>
      <c r="G613" s="58">
        <v>14716.23</v>
      </c>
      <c r="H613" s="1246"/>
      <c r="I613" s="58"/>
      <c r="J613" s="1365">
        <f>usage!I76-J614</f>
        <v>2430.1799999999998</v>
      </c>
      <c r="K613" s="12"/>
      <c r="L613" s="58">
        <f t="shared" ref="L613:L621" si="380">+G613+H613+I613-J613-K613</f>
        <v>12286.05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DL46248</v>
      </c>
      <c r="U613" s="787"/>
      <c r="V613" s="787"/>
      <c r="W613" s="785">
        <f>IFERROR(VLOOKUP($Q613,'391'!$S:$AG,15,0),0)</f>
        <v>0</v>
      </c>
      <c r="X613" s="1090">
        <f t="shared" si="367"/>
        <v>14716.23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78"/>
      <c r="B614" s="2075"/>
      <c r="C614" s="135" t="s">
        <v>59</v>
      </c>
      <c r="D614" s="852" t="s">
        <v>10</v>
      </c>
      <c r="E614" s="853">
        <v>46263</v>
      </c>
      <c r="F614" s="73">
        <f t="shared" si="379"/>
        <v>13</v>
      </c>
      <c r="G614" s="58">
        <v>23400</v>
      </c>
      <c r="H614" s="1770"/>
      <c r="I614" s="58"/>
      <c r="J614" s="1365"/>
      <c r="K614" s="12"/>
      <c r="L614" s="1534">
        <f t="shared" si="380"/>
        <v>23400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DL46263</v>
      </c>
      <c r="U614" s="787"/>
      <c r="V614" s="787"/>
      <c r="W614" s="785">
        <f>IFERROR(VLOOKUP($Q614,'391'!$S:$AG,15,0),0)</f>
        <v>0</v>
      </c>
      <c r="X614" s="1090">
        <f t="shared" si="367"/>
        <v>23400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 x14ac:dyDescent="0.25">
      <c r="A615" s="2078"/>
      <c r="B615" s="2075"/>
      <c r="C615" s="135"/>
      <c r="D615" s="852" t="s">
        <v>10</v>
      </c>
      <c r="E615" s="853">
        <v>46263</v>
      </c>
      <c r="F615" s="73">
        <f t="shared" ref="F615:F621" si="381">$L$7-E615</f>
        <v>13</v>
      </c>
      <c r="G615" s="58">
        <v>0</v>
      </c>
      <c r="H615" s="296"/>
      <c r="I615" s="58"/>
      <c r="J615" s="1366"/>
      <c r="K615" s="12"/>
      <c r="L615" s="1534">
        <f t="shared" si="380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67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78"/>
      <c r="B616" s="2080"/>
      <c r="C616" s="135" t="s">
        <v>59</v>
      </c>
      <c r="D616" s="852" t="s">
        <v>10</v>
      </c>
      <c r="E616" s="853">
        <v>44827</v>
      </c>
      <c r="F616" s="73">
        <f t="shared" si="381"/>
        <v>1449</v>
      </c>
      <c r="G616" s="58">
        <v>0</v>
      </c>
      <c r="H616" s="58"/>
      <c r="I616" s="56"/>
      <c r="J616" s="1366"/>
      <c r="K616" s="12"/>
      <c r="L616" s="1534">
        <f t="shared" si="380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67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78"/>
      <c r="B617" s="2075"/>
      <c r="C617" s="129"/>
      <c r="D617" s="866" t="s">
        <v>10</v>
      </c>
      <c r="E617" s="867">
        <v>45476</v>
      </c>
      <c r="F617" s="75">
        <f t="shared" si="381"/>
        <v>800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3">
        <f t="shared" si="380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67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8"/>
      <c r="B618" s="2075"/>
      <c r="C618" s="129"/>
      <c r="D618" s="866" t="s">
        <v>10</v>
      </c>
      <c r="E618" s="867">
        <v>45464</v>
      </c>
      <c r="F618" s="75">
        <f t="shared" si="381"/>
        <v>812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4">
        <f t="shared" si="380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2">G618-W618</f>
        <v>0</v>
      </c>
      <c r="Y618" s="1057">
        <f>+G618+G621-W621</f>
        <v>38.999999999998636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8"/>
      <c r="B619" s="2075"/>
      <c r="C619" s="129" t="s">
        <v>1896</v>
      </c>
      <c r="D619" s="866" t="s">
        <v>10</v>
      </c>
      <c r="E619" s="867">
        <v>46112</v>
      </c>
      <c r="F619" s="75">
        <f t="shared" si="381"/>
        <v>164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3">
        <f t="shared" si="380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2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78"/>
      <c r="B620" s="2075"/>
      <c r="C620" s="129"/>
      <c r="D620" s="866" t="s">
        <v>10</v>
      </c>
      <c r="E620" s="867">
        <v>43846</v>
      </c>
      <c r="F620" s="75">
        <f t="shared" si="381"/>
        <v>2430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4">
        <f t="shared" si="380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2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082"/>
      <c r="B621" s="2076"/>
      <c r="C621" s="135" t="s">
        <v>158</v>
      </c>
      <c r="D621" s="852" t="s">
        <v>10</v>
      </c>
      <c r="E621" s="853">
        <v>46112</v>
      </c>
      <c r="F621" s="73">
        <f t="shared" si="381"/>
        <v>164</v>
      </c>
      <c r="G621" s="58">
        <v>38.999999999998636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4">
        <f t="shared" si="380"/>
        <v>38.999999999998636</v>
      </c>
      <c r="M621" s="309"/>
      <c r="N621" s="67"/>
      <c r="O621" s="1457"/>
      <c r="P621" s="752"/>
      <c r="Q621" s="795" t="s">
        <v>1225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2"/>
        <v>38.999999999998636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56" t="s">
        <v>14</v>
      </c>
      <c r="B622" s="2057"/>
      <c r="C622" s="88"/>
      <c r="D622" s="864"/>
      <c r="E622" s="864"/>
      <c r="F622" s="865"/>
      <c r="G622" s="1297">
        <v>38155.229999999996</v>
      </c>
      <c r="H622" s="1297">
        <f>SUM(H613:H621)</f>
        <v>0</v>
      </c>
      <c r="I622" s="1297">
        <f>SUM(I613:I621)</f>
        <v>0</v>
      </c>
      <c r="J622" s="1297">
        <f t="shared" ref="J622:L622" si="383">SUM(J613:J621)</f>
        <v>2430.1799999999998</v>
      </c>
      <c r="K622" s="1297">
        <f t="shared" si="383"/>
        <v>0</v>
      </c>
      <c r="L622" s="1297">
        <f t="shared" si="383"/>
        <v>35725.050000000003</v>
      </c>
      <c r="M622" s="59">
        <f>IFERROR((R622/$S$2),"")</f>
        <v>2238.3044444444445</v>
      </c>
      <c r="N622" s="366">
        <f>(L622/M622)</f>
        <v>15.960764447692053</v>
      </c>
      <c r="O622" s="59">
        <f>IFERROR(SUMIF(ETM!$A:$A,$Q622,ETM!$E:$E),"")</f>
        <v>2093.5</v>
      </c>
      <c r="P622" s="880">
        <f>(L622/O622)</f>
        <v>17.064748029615476</v>
      </c>
      <c r="Q622" s="814" t="s">
        <v>652</v>
      </c>
      <c r="R622" s="785">
        <f>IFERROR(VLOOKUP($Q622,'391'!$S:$Z,8,0),"")</f>
        <v>10072.370000000001</v>
      </c>
      <c r="S622" s="796"/>
      <c r="T622" s="797"/>
      <c r="U622" s="797"/>
      <c r="V622" s="797"/>
      <c r="W622" s="785">
        <f>IFERROR(VLOOKUP($Q622,'391'!$S:$AG,15,0),0)</f>
        <v>49127.26</v>
      </c>
      <c r="X622" s="1231">
        <f>G622-W622-W621</f>
        <v>-10972.030000000006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78">
        <f>IF(L626=0,"",MAX($A$16:A620)+1)</f>
        <v>35</v>
      </c>
      <c r="B623" s="2080" t="s">
        <v>1818</v>
      </c>
      <c r="C623" s="129" t="s">
        <v>1745</v>
      </c>
      <c r="D623" s="866" t="s">
        <v>10</v>
      </c>
      <c r="E623" s="867">
        <v>46153</v>
      </c>
      <c r="F623" s="75">
        <f t="shared" ref="F623" si="384">$L$7-E623</f>
        <v>123</v>
      </c>
      <c r="G623" s="11">
        <v>20400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85">+G623+H623+I623-J623-K623</f>
        <v>20400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86">G623-W623</f>
        <v>20400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78"/>
      <c r="B624" s="2075"/>
      <c r="C624" s="129"/>
      <c r="D624" s="866" t="s">
        <v>10</v>
      </c>
      <c r="E624" s="867">
        <v>46153</v>
      </c>
      <c r="F624" s="75">
        <f t="shared" ref="F624:F625" si="387">$L$7-E624</f>
        <v>123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3">
        <f t="shared" si="385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86"/>
        <v>0</v>
      </c>
      <c r="Y624" s="1057">
        <f>+G624+G625-W625</f>
        <v>2361.7000000000007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082"/>
      <c r="B625" s="2076"/>
      <c r="C625" s="135" t="s">
        <v>158</v>
      </c>
      <c r="D625" s="852" t="s">
        <v>10</v>
      </c>
      <c r="E625" s="853">
        <v>46153</v>
      </c>
      <c r="F625" s="73">
        <f t="shared" si="387"/>
        <v>123</v>
      </c>
      <c r="G625" s="58">
        <v>2361.7000000000007</v>
      </c>
      <c r="H625" s="58"/>
      <c r="I625" s="56">
        <f>+K623+K624</f>
        <v>0</v>
      </c>
      <c r="J625" s="1366">
        <f>usage!I217</f>
        <v>305.3</v>
      </c>
      <c r="K625" s="12">
        <f>IFERROR(SUMIF(INTAKE!$A:$A,$T625,INTAKE!$P:$P),0)</f>
        <v>0</v>
      </c>
      <c r="L625" s="1534">
        <f t="shared" si="385"/>
        <v>2056.4000000000005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86"/>
        <v>2361.7000000000007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27" t="s">
        <v>1819</v>
      </c>
      <c r="B626" s="2028"/>
      <c r="C626" s="88"/>
      <c r="D626" s="864"/>
      <c r="E626" s="864"/>
      <c r="F626" s="865"/>
      <c r="G626" s="1297">
        <v>22761.7</v>
      </c>
      <c r="H626" s="1297">
        <f>SUM(H623:H625)</f>
        <v>0</v>
      </c>
      <c r="I626" s="1297">
        <f>SUM(I623:I625)</f>
        <v>0</v>
      </c>
      <c r="J626" s="1297">
        <f>SUM(J623:J625)</f>
        <v>305.3</v>
      </c>
      <c r="K626" s="1297">
        <f>SUM(K623:K625)</f>
        <v>0</v>
      </c>
      <c r="L626" s="1297">
        <f>SUM(L623:L625)</f>
        <v>22456.400000000001</v>
      </c>
      <c r="M626" s="59">
        <f>IFERROR((R626/$S$2),"")</f>
        <v>331.84444444444443</v>
      </c>
      <c r="N626" s="366">
        <f>IFERROR(L626/M626,0)</f>
        <v>67.671465880934846</v>
      </c>
      <c r="O626" s="59">
        <f>IFERROR(SUMIF(ETM!$A:$A,$Q626,ETM!$E:$E),"")</f>
        <v>270.83333333333331</v>
      </c>
      <c r="P626" s="880">
        <f>IFERROR(L626/O626,0)</f>
        <v>82.915938461538474</v>
      </c>
      <c r="Q626" s="814" t="s">
        <v>1818</v>
      </c>
      <c r="R626" s="785">
        <f>IFERROR(VLOOKUP($Q626,'391'!$S:$Z,8,0),"")</f>
        <v>1493.3</v>
      </c>
      <c r="S626" s="796"/>
      <c r="T626" s="797"/>
      <c r="U626" s="797"/>
      <c r="V626" s="797"/>
      <c r="W626" s="785">
        <f>IFERROR(VLOOKUP($Q626,'391'!$S:$AG,15,0),0)</f>
        <v>23775.7</v>
      </c>
      <c r="X626" s="1231">
        <f>G626-W626-W625</f>
        <v>-1014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05">
        <f>IF(L637=0,"",MAX($A$16:A622)+1)</f>
        <v>35</v>
      </c>
      <c r="B627" s="2074" t="s">
        <v>49</v>
      </c>
      <c r="C627" s="120" t="s">
        <v>1902</v>
      </c>
      <c r="D627" s="866" t="s">
        <v>10</v>
      </c>
      <c r="E627" s="867">
        <v>46263</v>
      </c>
      <c r="F627" s="75">
        <f t="shared" ref="F627" si="388">$L$7-E627</f>
        <v>13</v>
      </c>
      <c r="G627" s="64">
        <v>50175</v>
      </c>
      <c r="H627" s="12"/>
      <c r="I627" s="12"/>
      <c r="J627" s="1368"/>
      <c r="K627" s="12">
        <f>IFERROR(SUMIF(INTAKE!$A:$A,$T627,INTAKE!$P:$P),0)</f>
        <v>2675</v>
      </c>
      <c r="L627" s="1703">
        <f t="shared" ref="L627:L636" si="389">+G627+H627+I627-J627-K627</f>
        <v>47500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0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1">G627-W627</f>
        <v>50175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06"/>
      <c r="B628" s="2075"/>
      <c r="C628" s="120" t="s">
        <v>123</v>
      </c>
      <c r="D628" s="866" t="s">
        <v>10</v>
      </c>
      <c r="E628" s="867">
        <v>46276</v>
      </c>
      <c r="F628" s="75">
        <f t="shared" ref="F627:F628" si="392">$L$7-E628</f>
        <v>0</v>
      </c>
      <c r="G628" s="64"/>
      <c r="H628" s="12">
        <v>17500</v>
      </c>
      <c r="I628" s="12"/>
      <c r="J628" s="1368"/>
      <c r="K628" s="12">
        <f>IFERROR(SUMIF(INTAKE!$A:$A,$T628,INTAKE!$P:$P),0)</f>
        <v>0</v>
      </c>
      <c r="L628" s="1703">
        <f t="shared" si="389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0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1"/>
        <v>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06"/>
      <c r="B629" s="2075"/>
      <c r="C629" s="120" t="s">
        <v>1775</v>
      </c>
      <c r="D629" s="866" t="s">
        <v>10</v>
      </c>
      <c r="E629" s="867">
        <v>46276</v>
      </c>
      <c r="F629" s="75">
        <f t="shared" ref="F629" si="393">$L$7-E629</f>
        <v>0</v>
      </c>
      <c r="G629" s="64">
        <v>0</v>
      </c>
      <c r="H629" s="12">
        <v>17500</v>
      </c>
      <c r="I629" s="12"/>
      <c r="J629" s="1368"/>
      <c r="K629" s="12">
        <f>IFERROR(SUMIF(INTAKE!$A:$A,$T629,INTAKE!$P:$P),0)</f>
        <v>0</v>
      </c>
      <c r="L629" s="1703">
        <f t="shared" si="389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0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1"/>
        <v>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hidden="1" customHeight="1" x14ac:dyDescent="0.25">
      <c r="A630" s="2006"/>
      <c r="B630" s="2075"/>
      <c r="C630" s="120"/>
      <c r="D630" s="866" t="s">
        <v>10</v>
      </c>
      <c r="E630" s="867">
        <v>46263</v>
      </c>
      <c r="F630" s="75">
        <f t="shared" ref="F630" si="394">$L$7-E630</f>
        <v>13</v>
      </c>
      <c r="G630" s="64">
        <v>0</v>
      </c>
      <c r="H630" s="12"/>
      <c r="I630" s="12"/>
      <c r="J630" s="1368"/>
      <c r="K630" s="12">
        <f>IFERROR(SUMIF(INTAKE!$A:$A,$T630,INTAKE!$P:$P),0)</f>
        <v>0</v>
      </c>
      <c r="L630" s="1703">
        <f t="shared" si="389"/>
        <v>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0"/>
        <v>L-lysine Monohydrochloride (China)46263</v>
      </c>
      <c r="U630" s="787"/>
      <c r="V630" s="787"/>
      <c r="W630" s="785">
        <f>IFERROR(VLOOKUP($Q630,'391'!$S:$AG,15,0),0)</f>
        <v>0</v>
      </c>
      <c r="X630" s="1090">
        <f t="shared" si="391"/>
        <v>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06"/>
      <c r="B631" s="2075"/>
      <c r="C631" s="120"/>
      <c r="D631" s="866" t="s">
        <v>10</v>
      </c>
      <c r="E631" s="867">
        <v>46218</v>
      </c>
      <c r="F631" s="75">
        <f t="shared" ref="F631" si="395">$L$7-E631</f>
        <v>58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3">
        <f t="shared" si="389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0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1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06"/>
      <c r="B632" s="2075"/>
      <c r="C632" s="120"/>
      <c r="D632" s="866" t="s">
        <v>10</v>
      </c>
      <c r="E632" s="867">
        <v>46063</v>
      </c>
      <c r="F632" s="75">
        <f t="shared" ref="F632" si="396">$L$7-E632</f>
        <v>213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3">
        <f t="shared" si="389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0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1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06"/>
      <c r="B633" s="2075"/>
      <c r="C633" s="120"/>
      <c r="D633" s="866" t="s">
        <v>10</v>
      </c>
      <c r="E633" s="867">
        <v>46063</v>
      </c>
      <c r="F633" s="75">
        <f t="shared" ref="F633:F636" si="397">$L$7-E633</f>
        <v>213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3">
        <f t="shared" si="389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0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1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06"/>
      <c r="B634" s="2075"/>
      <c r="C634" s="120"/>
      <c r="D634" s="866" t="s">
        <v>10</v>
      </c>
      <c r="E634" s="867">
        <v>45366</v>
      </c>
      <c r="F634" s="75">
        <f t="shared" si="397"/>
        <v>910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4">
        <f t="shared" si="389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0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1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06"/>
      <c r="B635" s="2075"/>
      <c r="C635" s="120"/>
      <c r="D635" s="866" t="s">
        <v>10</v>
      </c>
      <c r="E635" s="867">
        <v>45366</v>
      </c>
      <c r="F635" s="75">
        <f t="shared" si="397"/>
        <v>910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4">
        <f t="shared" si="389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1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06"/>
      <c r="B636" s="2075"/>
      <c r="C636" s="107" t="s">
        <v>46</v>
      </c>
      <c r="D636" s="852" t="s">
        <v>10</v>
      </c>
      <c r="E636" s="853">
        <v>46263</v>
      </c>
      <c r="F636" s="73">
        <f t="shared" si="397"/>
        <v>13</v>
      </c>
      <c r="G636" s="58">
        <v>12018.340000000009</v>
      </c>
      <c r="H636" s="56"/>
      <c r="I636" s="56">
        <f>+SUM(K627:K634)</f>
        <v>2675</v>
      </c>
      <c r="J636" s="1369">
        <f>+usage!I78</f>
        <v>3449.75</v>
      </c>
      <c r="K636" s="12">
        <f>IFERROR(SUMIF(INTAKE!$A:$A,$T636,INTAKE!$P:$P),0)</f>
        <v>0</v>
      </c>
      <c r="L636" s="1534">
        <f t="shared" si="389"/>
        <v>11243.590000000009</v>
      </c>
      <c r="M636" s="172"/>
      <c r="N636" s="172"/>
      <c r="O636" s="172"/>
      <c r="P636" s="738"/>
      <c r="Q636" s="814" t="s">
        <v>1317</v>
      </c>
      <c r="R636" s="785">
        <f>IFERROR(VLOOKUP($Q636,'391'!$S:$Z,8,0),"")</f>
        <v>15867.9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78187.839999999997</v>
      </c>
      <c r="X636" s="1090">
        <f>G636-W636</f>
        <v>-66169.499999999985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27" t="s">
        <v>50</v>
      </c>
      <c r="B637" s="2028"/>
      <c r="C637" s="88"/>
      <c r="D637" s="864"/>
      <c r="E637" s="864"/>
      <c r="F637" s="865"/>
      <c r="G637" s="1297">
        <v>62193.340000000011</v>
      </c>
      <c r="H637" s="1297">
        <f t="shared" ref="H637:L637" si="398">+SUM(H627:H636)</f>
        <v>35000</v>
      </c>
      <c r="I637" s="1297">
        <f t="shared" si="398"/>
        <v>2675</v>
      </c>
      <c r="J637" s="1297">
        <f t="shared" si="398"/>
        <v>3449.75</v>
      </c>
      <c r="K637" s="1297">
        <f t="shared" si="398"/>
        <v>2675</v>
      </c>
      <c r="L637" s="1297">
        <f t="shared" si="398"/>
        <v>93743.590000000011</v>
      </c>
      <c r="M637" s="59">
        <f>IFERROR((S637/$S$2),"")</f>
        <v>3526.2</v>
      </c>
      <c r="N637" s="366">
        <f>(L637/M637)</f>
        <v>26.584876070557545</v>
      </c>
      <c r="O637" s="59">
        <f>IFERROR(SUMIF(ETM!$A:$A,$Q637,ETM!$E:$E),"")</f>
        <v>3234.5</v>
      </c>
      <c r="P637" s="855">
        <f>(L637/O637)</f>
        <v>28.982405317668885</v>
      </c>
      <c r="Q637" s="814" t="s">
        <v>653</v>
      </c>
      <c r="R637" s="785" t="str">
        <f>IFERROR(VLOOKUP($Q637,'391'!$S:$Z,8,0),"0")</f>
        <v>0</v>
      </c>
      <c r="S637" s="800">
        <f>+R637+R636</f>
        <v>15867.9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-15994.499999999985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058" t="str">
        <f>IF(L642=0,"",MAX($A$16:A637)+1)</f>
        <v/>
      </c>
      <c r="B638" s="2060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3717</v>
      </c>
      <c r="G638" s="1370">
        <v>0</v>
      </c>
      <c r="H638" s="1370"/>
      <c r="I638" s="1370"/>
      <c r="J638" s="1371"/>
      <c r="K638" s="1370"/>
      <c r="L638" s="1534">
        <f t="shared" ref="L638:L659" si="399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0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059"/>
      <c r="B639" s="2061"/>
      <c r="C639" s="121" t="s">
        <v>128</v>
      </c>
      <c r="D639" s="881" t="s">
        <v>10</v>
      </c>
      <c r="E639" s="882">
        <v>42559</v>
      </c>
      <c r="F639" s="71">
        <f>$L$7-E639</f>
        <v>3717</v>
      </c>
      <c r="G639" s="1370">
        <v>0</v>
      </c>
      <c r="H639" s="1370"/>
      <c r="I639" s="1370"/>
      <c r="J639" s="1371"/>
      <c r="K639" s="1370"/>
      <c r="L639" s="1534">
        <f t="shared" si="399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0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059"/>
      <c r="B640" s="2061"/>
      <c r="C640" s="121" t="s">
        <v>151</v>
      </c>
      <c r="D640" s="881" t="s">
        <v>10</v>
      </c>
      <c r="E640" s="882">
        <v>42472</v>
      </c>
      <c r="F640" s="71">
        <f>$L$7-E640</f>
        <v>3804</v>
      </c>
      <c r="G640" s="1370">
        <v>0</v>
      </c>
      <c r="H640" s="1370"/>
      <c r="I640" s="1370"/>
      <c r="J640" s="1371"/>
      <c r="K640" s="1370"/>
      <c r="L640" s="1534">
        <f t="shared" si="399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0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3959</v>
      </c>
      <c r="G641" s="1372">
        <v>0</v>
      </c>
      <c r="H641" s="1372"/>
      <c r="I641" s="1372"/>
      <c r="J641" s="1373"/>
      <c r="K641" s="1372"/>
      <c r="L641" s="1534">
        <f t="shared" si="399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0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27" t="s">
        <v>1385</v>
      </c>
      <c r="B642" s="2028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4">
        <f t="shared" si="399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0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53">
        <f>IF(L650=0,"",MAX($A$16:A642)+1)</f>
        <v>36</v>
      </c>
      <c r="B643" s="2062" t="s">
        <v>865</v>
      </c>
      <c r="C643" s="259"/>
      <c r="D643" s="881" t="s">
        <v>10</v>
      </c>
      <c r="E643" s="882">
        <v>45807</v>
      </c>
      <c r="F643" s="71">
        <f t="shared" ref="F643:F649" si="401">$L$7-E643</f>
        <v>469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3">
        <f t="shared" si="399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2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0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54"/>
      <c r="B644" s="2063"/>
      <c r="C644" s="259"/>
      <c r="D644" s="881" t="s">
        <v>10</v>
      </c>
      <c r="E644" s="882">
        <v>45868</v>
      </c>
      <c r="F644" s="71">
        <f t="shared" si="401"/>
        <v>408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3">
        <f t="shared" si="399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2"/>
        <v>Chlortetracyline45868</v>
      </c>
      <c r="U644" s="797"/>
      <c r="V644" s="797"/>
      <c r="W644" s="785">
        <f>IFERROR(VLOOKUP($Q644,'391'!$S:$AG,15,0),0)</f>
        <v>0</v>
      </c>
      <c r="X644" s="1090">
        <f t="shared" si="400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54"/>
      <c r="B645" s="2064"/>
      <c r="C645" s="259"/>
      <c r="D645" s="881" t="s">
        <v>10</v>
      </c>
      <c r="E645" s="882">
        <v>45908</v>
      </c>
      <c r="F645" s="71">
        <f t="shared" si="401"/>
        <v>368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3">
        <f t="shared" si="399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2"/>
        <v>Chlortetracyline45908</v>
      </c>
      <c r="U645" s="797"/>
      <c r="V645" s="797"/>
      <c r="W645" s="785">
        <f>IFERROR(VLOOKUP($Q645,'391'!$S:$AG,15,0),0)</f>
        <v>0</v>
      </c>
      <c r="X645" s="1090">
        <f t="shared" si="400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54"/>
      <c r="B646" s="2064"/>
      <c r="C646" s="259"/>
      <c r="D646" s="881" t="s">
        <v>10</v>
      </c>
      <c r="E646" s="882">
        <v>45996</v>
      </c>
      <c r="F646" s="71">
        <f t="shared" ref="F646:F647" si="403">$L$7-E646</f>
        <v>280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3">
        <f t="shared" si="399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2"/>
        <v>Chlortetracyline45996</v>
      </c>
      <c r="U646" s="797"/>
      <c r="V646" s="797"/>
      <c r="W646" s="785">
        <f>IFERROR(VLOOKUP($Q646,'391'!$S:$AG,15,0),0)</f>
        <v>0</v>
      </c>
      <c r="X646" s="1090">
        <f t="shared" si="400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54"/>
      <c r="B647" s="2064"/>
      <c r="C647" s="259" t="s">
        <v>1213</v>
      </c>
      <c r="D647" s="881" t="s">
        <v>10</v>
      </c>
      <c r="E647" s="882">
        <v>46216</v>
      </c>
      <c r="F647" s="71">
        <f t="shared" si="403"/>
        <v>60</v>
      </c>
      <c r="G647" s="1370">
        <v>50</v>
      </c>
      <c r="H647" s="1370"/>
      <c r="I647" s="1375"/>
      <c r="J647" s="1371"/>
      <c r="K647" s="12">
        <f>IFERROR(SUMIF(INTAKE!$A:$A,$T647,INTAKE!$P:$P),0)</f>
        <v>0</v>
      </c>
      <c r="L647" s="1703">
        <f t="shared" si="399"/>
        <v>50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2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0"/>
        <v>50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54"/>
      <c r="B648" s="2064"/>
      <c r="C648" s="259"/>
      <c r="D648" s="881" t="s">
        <v>10</v>
      </c>
      <c r="E648" s="882">
        <v>46216</v>
      </c>
      <c r="F648" s="71">
        <f t="shared" si="401"/>
        <v>60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2">
        <f t="shared" si="399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2"/>
        <v>Chlortetracyline46216</v>
      </c>
      <c r="U648" s="797"/>
      <c r="V648" s="797"/>
      <c r="W648" s="785">
        <f>IFERROR(VLOOKUP($Q648,'391'!$S:$AG,15,0),0)</f>
        <v>0</v>
      </c>
      <c r="X648" s="1090">
        <f t="shared" si="400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55"/>
      <c r="B649" s="2065"/>
      <c r="C649" s="107" t="s">
        <v>46</v>
      </c>
      <c r="D649" s="850" t="s">
        <v>10</v>
      </c>
      <c r="E649" s="851">
        <v>46216</v>
      </c>
      <c r="F649" s="70">
        <f t="shared" si="401"/>
        <v>60</v>
      </c>
      <c r="G649" s="1376">
        <v>81.399999999999991</v>
      </c>
      <c r="H649" s="1376"/>
      <c r="I649" s="1370">
        <f>+SUM(K643:K648)</f>
        <v>0</v>
      </c>
      <c r="J649" s="1377">
        <f>usage!I135</f>
        <v>44.74</v>
      </c>
      <c r="K649" s="1376">
        <f>IFERROR(SUMIF(INTAKE!$A:$A,$T649,INTAKE!$P:$P),0)</f>
        <v>0</v>
      </c>
      <c r="L649" s="1534">
        <f t="shared" si="399"/>
        <v>36.659999999999989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2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0"/>
        <v>81.399999999999991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27" t="s">
        <v>577</v>
      </c>
      <c r="B650" s="2028"/>
      <c r="C650" s="88"/>
      <c r="D650" s="900"/>
      <c r="E650" s="901"/>
      <c r="F650" s="902"/>
      <c r="G650" s="1297">
        <v>131.39999999999998</v>
      </c>
      <c r="H650" s="1344">
        <f>SUM(H643:H649)</f>
        <v>0</v>
      </c>
      <c r="I650" s="1344">
        <f>SUM(I643:I649)</f>
        <v>0</v>
      </c>
      <c r="J650" s="1344">
        <f t="shared" ref="J650:L650" si="404">SUM(J643:J649)</f>
        <v>44.74</v>
      </c>
      <c r="K650" s="1344">
        <f t="shared" si="404"/>
        <v>0</v>
      </c>
      <c r="L650" s="1297">
        <f t="shared" si="404"/>
        <v>86.66</v>
      </c>
      <c r="M650" s="59">
        <f>IFERROR((R650/$S$2),"")</f>
        <v>0</v>
      </c>
      <c r="N650" s="366">
        <f>IFERROR(L650/M650,0)</f>
        <v>0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0</v>
      </c>
      <c r="S650" s="796"/>
      <c r="T650" s="797"/>
      <c r="U650" s="797"/>
      <c r="V650" s="797"/>
      <c r="W650" s="785">
        <f>IFERROR(VLOOKUP($Q650,'391'!$S:$AG,15,0),0)</f>
        <v>131.4</v>
      </c>
      <c r="X650" s="1090">
        <f t="shared" si="400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54">
        <f>IF(L660=0,"",MAX($A$16:A650)+1)</f>
        <v>37</v>
      </c>
      <c r="B651" s="2063" t="s">
        <v>155</v>
      </c>
      <c r="C651" s="121" t="s">
        <v>578</v>
      </c>
      <c r="D651" s="881" t="s">
        <v>10</v>
      </c>
      <c r="E651" s="882">
        <v>46259</v>
      </c>
      <c r="F651" s="71">
        <f t="shared" ref="F651" si="405">$L$7-E651</f>
        <v>17</v>
      </c>
      <c r="G651" s="1370">
        <v>7500</v>
      </c>
      <c r="H651" s="1370"/>
      <c r="I651" s="64"/>
      <c r="J651" s="1367"/>
      <c r="K651" s="64">
        <f>IFERROR(SUMIF(INTAKE!$A:$A,$T651,INTAKE!$P:$P),0)</f>
        <v>5000</v>
      </c>
      <c r="L651" s="1703">
        <f t="shared" si="399"/>
        <v>2500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06">$Q$660&amp;C651&amp;E651</f>
        <v>L-Lysine Sulphat 70%B14.446259</v>
      </c>
      <c r="U651" s="797"/>
      <c r="V651" s="797"/>
      <c r="W651" s="785">
        <f>IFERROR(VLOOKUP($Q651,'391'!$S:$AG,15,0),0)</f>
        <v>0</v>
      </c>
      <c r="X651" s="1090">
        <f t="shared" si="400"/>
        <v>7500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54"/>
      <c r="B652" s="2063"/>
      <c r="C652" s="121" t="s">
        <v>2221</v>
      </c>
      <c r="D652" s="881" t="s">
        <v>10</v>
      </c>
      <c r="E652" s="882">
        <v>46274</v>
      </c>
      <c r="F652" s="71">
        <f t="shared" ref="F652" si="407">$L$7-E652</f>
        <v>2</v>
      </c>
      <c r="G652" s="1370">
        <v>27000</v>
      </c>
      <c r="H652" s="1370"/>
      <c r="I652" s="64"/>
      <c r="J652" s="1367"/>
      <c r="K652" s="64">
        <f>IFERROR(SUMIF(INTAKE!$A:$A,$T652,INTAKE!$P:$P),0)</f>
        <v>0</v>
      </c>
      <c r="L652" s="1703">
        <f t="shared" si="399"/>
        <v>27000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06"/>
        <v>L-Lysine Sulphat 70%A22.246274</v>
      </c>
      <c r="U652" s="797"/>
      <c r="V652" s="797"/>
      <c r="W652" s="785">
        <f>IFERROR(VLOOKUP($Q652,'391'!$S:$AG,15,0),0)</f>
        <v>0</v>
      </c>
      <c r="X652" s="1090">
        <f t="shared" si="400"/>
        <v>27000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customHeight="1" x14ac:dyDescent="0.25">
      <c r="A653" s="2054"/>
      <c r="B653" s="2063"/>
      <c r="C653" s="121" t="s">
        <v>1598</v>
      </c>
      <c r="D653" s="881" t="s">
        <v>10</v>
      </c>
      <c r="E653" s="882">
        <v>46275</v>
      </c>
      <c r="F653" s="71">
        <f t="shared" ref="F653" si="408">$L$7-E653</f>
        <v>1</v>
      </c>
      <c r="G653" s="1370">
        <v>17500</v>
      </c>
      <c r="H653" s="1370"/>
      <c r="I653" s="64"/>
      <c r="J653" s="1367"/>
      <c r="K653" s="64">
        <f>IFERROR(SUMIF(INTAKE!$A:$A,$T653,INTAKE!$P:$P),0)</f>
        <v>0</v>
      </c>
      <c r="L653" s="1703">
        <f t="shared" si="399"/>
        <v>17500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06"/>
        <v>L-Lysine Sulphat 70%A18.446275</v>
      </c>
      <c r="U653" s="797"/>
      <c r="V653" s="797"/>
      <c r="W653" s="785">
        <f>IFERROR(VLOOKUP($Q653,'391'!$S:$AG,15,0),0)</f>
        <v>0</v>
      </c>
      <c r="X653" s="1090">
        <f t="shared" si="400"/>
        <v>17500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customHeight="1" x14ac:dyDescent="0.25">
      <c r="A654" s="2054"/>
      <c r="B654" s="2063"/>
      <c r="C654" s="121" t="s">
        <v>324</v>
      </c>
      <c r="D654" s="881" t="s">
        <v>10</v>
      </c>
      <c r="E654" s="882">
        <v>46275</v>
      </c>
      <c r="F654" s="71">
        <f t="shared" ref="F654" si="409">$L$7-E654</f>
        <v>1</v>
      </c>
      <c r="G654" s="1370">
        <v>9500</v>
      </c>
      <c r="H654" s="1370"/>
      <c r="I654" s="64"/>
      <c r="J654" s="1367"/>
      <c r="K654" s="64">
        <f>IFERROR(SUMIF(INTAKE!$A:$A,$T654,INTAKE!$P:$P),0)</f>
        <v>0</v>
      </c>
      <c r="L654" s="1703">
        <f t="shared" si="399"/>
        <v>9500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06"/>
        <v>L-Lysine Sulphat 70%A19.446275</v>
      </c>
      <c r="U654" s="797"/>
      <c r="V654" s="797"/>
      <c r="W654" s="785">
        <f>IFERROR(VLOOKUP($Q654,'391'!$S:$AG,15,0),0)</f>
        <v>0</v>
      </c>
      <c r="X654" s="1090">
        <f t="shared" si="400"/>
        <v>9500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54"/>
      <c r="B655" s="2063"/>
      <c r="C655" s="121"/>
      <c r="D655" s="881" t="s">
        <v>10</v>
      </c>
      <c r="E655" s="882">
        <v>46230</v>
      </c>
      <c r="F655" s="71">
        <f t="shared" ref="F655" si="410">$L$7-E655</f>
        <v>46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3">
        <f t="shared" si="399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6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0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54"/>
      <c r="B656" s="2063"/>
      <c r="C656" s="121"/>
      <c r="D656" s="881" t="s">
        <v>10</v>
      </c>
      <c r="E656" s="882">
        <v>46219</v>
      </c>
      <c r="F656" s="71">
        <f t="shared" ref="F656" si="411">$L$7-E656</f>
        <v>57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3">
        <f t="shared" si="399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06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0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54"/>
      <c r="B657" s="2064"/>
      <c r="C657" s="121"/>
      <c r="D657" s="881" t="s">
        <v>10</v>
      </c>
      <c r="E657" s="882">
        <v>46197</v>
      </c>
      <c r="F657" s="71">
        <f t="shared" ref="F657" si="412">$L$7-E657</f>
        <v>79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3">
        <f t="shared" ref="L657" si="413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06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4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54"/>
      <c r="B658" s="2063"/>
      <c r="C658" s="121"/>
      <c r="D658" s="881" t="s">
        <v>10</v>
      </c>
      <c r="E658" s="882">
        <v>46182</v>
      </c>
      <c r="F658" s="71">
        <f t="shared" ref="F658:F659" si="415">$L$7-E658</f>
        <v>94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3">
        <f t="shared" si="399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06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0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54"/>
      <c r="B659" s="2063"/>
      <c r="C659" s="135" t="s">
        <v>1319</v>
      </c>
      <c r="D659" s="850" t="s">
        <v>10</v>
      </c>
      <c r="E659" s="851">
        <v>46259</v>
      </c>
      <c r="F659" s="71">
        <f t="shared" si="415"/>
        <v>17</v>
      </c>
      <c r="G659" s="1376">
        <v>6971.4000000000015</v>
      </c>
      <c r="H659" s="1376"/>
      <c r="I659" s="56">
        <f>+SUM(K651:K656)</f>
        <v>5000</v>
      </c>
      <c r="J659" s="1369">
        <f>+usage!I79</f>
        <v>5316.9</v>
      </c>
      <c r="K659" s="64">
        <f>IFERROR(SUMIF(INTAKE!$A:$A,$T659,INTAKE!$P:$P),0)</f>
        <v>0</v>
      </c>
      <c r="L659" s="1534">
        <f t="shared" si="399"/>
        <v>6654.5000000000018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6"/>
        <v>L-Lysine Sulphat 70%Feedmill, 15546259</v>
      </c>
      <c r="U659" s="797"/>
      <c r="V659" s="797"/>
      <c r="W659" s="785">
        <f>IFERROR(VLOOKUP($Q659,'391'!$S:$AG,15,0),0)</f>
        <v>0</v>
      </c>
      <c r="X659" s="1090">
        <f t="shared" si="400"/>
        <v>6971.4000000000015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27" t="s">
        <v>156</v>
      </c>
      <c r="B660" s="2028"/>
      <c r="C660" s="88"/>
      <c r="D660" s="864"/>
      <c r="E660" s="939"/>
      <c r="F660" s="865"/>
      <c r="G660" s="1297">
        <v>68471.399999999994</v>
      </c>
      <c r="H660" s="1297">
        <f>SUM(H651:H659)</f>
        <v>0</v>
      </c>
      <c r="I660" s="1297">
        <f t="shared" ref="I660:L660" si="416">SUM(I651:I659)</f>
        <v>5000</v>
      </c>
      <c r="J660" s="1297">
        <f t="shared" si="416"/>
        <v>5316.9</v>
      </c>
      <c r="K660" s="1297">
        <f t="shared" si="416"/>
        <v>5000</v>
      </c>
      <c r="L660" s="1297">
        <f t="shared" si="416"/>
        <v>63154.5</v>
      </c>
      <c r="M660" s="59">
        <f>IFERROR((R660/$S$2),"")</f>
        <v>5205.333333333333</v>
      </c>
      <c r="N660" s="854">
        <f>+(L660/M660)</f>
        <v>12.132652407786885</v>
      </c>
      <c r="O660" s="59">
        <f>IFERROR(SUMIF(ETM!$A:$A,$Q660,ETM!$E:$E),"")</f>
        <v>4903.666666666667</v>
      </c>
      <c r="P660" s="880">
        <f>IFERROR(L660/O660,0)</f>
        <v>12.879036095438787</v>
      </c>
      <c r="Q660" s="814" t="s">
        <v>654</v>
      </c>
      <c r="R660" s="785">
        <f>IFERROR(VLOOKUP($Q660,'391'!$S:$Z,8,0),"")</f>
        <v>23424</v>
      </c>
      <c r="S660" s="796"/>
      <c r="T660" s="797"/>
      <c r="U660" s="797"/>
      <c r="V660" s="797"/>
      <c r="W660" s="785">
        <f>IFERROR(VLOOKUP($Q660,'391'!$S:$AG,15,0),0)</f>
        <v>34890.699999999997</v>
      </c>
      <c r="X660" s="1090">
        <f t="shared" si="400"/>
        <v>33580.699999999997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81">
        <f>IF(L664=0,"",MAX($A$16:A659)+1)</f>
        <v>38</v>
      </c>
      <c r="B661" s="2083" t="s">
        <v>1311</v>
      </c>
      <c r="C661" s="1140"/>
      <c r="D661" s="1145" t="s">
        <v>10</v>
      </c>
      <c r="E661" s="851">
        <v>45281</v>
      </c>
      <c r="F661" s="625">
        <f>$L$7-E661</f>
        <v>995</v>
      </c>
      <c r="G661" s="1376">
        <v>0</v>
      </c>
      <c r="H661" s="1376"/>
      <c r="I661" s="1376"/>
      <c r="J661" s="1376"/>
      <c r="K661" s="1376"/>
      <c r="L661" s="1534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0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78"/>
      <c r="B662" s="2084"/>
      <c r="C662" s="1140" t="s">
        <v>1195</v>
      </c>
      <c r="D662" s="1145" t="s">
        <v>10</v>
      </c>
      <c r="E662" s="851">
        <v>46230</v>
      </c>
      <c r="F662" s="625">
        <f>$L$7-E662</f>
        <v>46</v>
      </c>
      <c r="G662" s="1376">
        <v>21450.23</v>
      </c>
      <c r="H662" s="1376"/>
      <c r="I662" s="1376"/>
      <c r="J662" s="1376">
        <f>usage!I185-J663</f>
        <v>529.22</v>
      </c>
      <c r="K662" s="1376"/>
      <c r="L662" s="1534">
        <f>+G662+H662+I662-J662-K662</f>
        <v>20921.009999999998</v>
      </c>
      <c r="M662" s="101"/>
      <c r="N662" s="101"/>
      <c r="O662" s="101"/>
      <c r="P662" s="738"/>
      <c r="Q662" s="795" t="s">
        <v>1375</v>
      </c>
      <c r="R662" s="785">
        <f>IFERROR(VLOOKUP($Q662,'391'!$S:$Z,8,0),"0")</f>
        <v>4640.75</v>
      </c>
      <c r="S662" s="786"/>
      <c r="T662" s="787"/>
      <c r="U662" s="787"/>
      <c r="V662" s="787"/>
      <c r="W662" s="785">
        <f>IFERROR(VLOOKUP($Q662,'391'!$S:$AG,15,0),0)</f>
        <v>22336.47</v>
      </c>
      <c r="X662" s="1090">
        <f t="shared" si="400"/>
        <v>-886.2400000000016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78"/>
      <c r="B663" s="2084"/>
      <c r="C663" s="1140" t="s">
        <v>622</v>
      </c>
      <c r="D663" s="1145" t="s">
        <v>10</v>
      </c>
      <c r="E663" s="851">
        <v>46270</v>
      </c>
      <c r="F663" s="625">
        <f>$L$7-E663</f>
        <v>6</v>
      </c>
      <c r="G663" s="1376">
        <v>23080</v>
      </c>
      <c r="H663" s="1376"/>
      <c r="I663" s="1376">
        <f>+K662</f>
        <v>0</v>
      </c>
      <c r="J663" s="1376"/>
      <c r="K663" s="1401"/>
      <c r="L663" s="1534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0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27" t="s">
        <v>1312</v>
      </c>
      <c r="B664" s="2028"/>
      <c r="C664" s="88"/>
      <c r="D664" s="864"/>
      <c r="E664" s="864"/>
      <c r="F664" s="865"/>
      <c r="G664" s="1297">
        <v>44530.229999999996</v>
      </c>
      <c r="H664" s="1297">
        <f>SUM(H661:H663)</f>
        <v>0</v>
      </c>
      <c r="I664" s="1297">
        <f>SUM(I661:I663)</f>
        <v>0</v>
      </c>
      <c r="J664" s="1297">
        <f t="shared" ref="J664:L664" si="417">SUM(J661:J663)</f>
        <v>529.22</v>
      </c>
      <c r="K664" s="1297">
        <f t="shared" si="417"/>
        <v>0</v>
      </c>
      <c r="L664" s="1297">
        <f t="shared" si="417"/>
        <v>44001.009999999995</v>
      </c>
      <c r="M664" s="59">
        <f>IFERROR((S664/$S$2),"")</f>
        <v>1031.2777777777778</v>
      </c>
      <c r="N664" s="854">
        <f>IFERROR(L664/M664,0)</f>
        <v>42.666496794699128</v>
      </c>
      <c r="O664" s="59">
        <f>IFERROR(SUMIF(ETM!$A:$A,$Q664,ETM!$E:$E),"")</f>
        <v>1355.9999999999998</v>
      </c>
      <c r="P664" s="880">
        <f>IFERROR(L664/O664,0)</f>
        <v>32.449122418879057</v>
      </c>
      <c r="Q664" s="814" t="s">
        <v>1311</v>
      </c>
      <c r="R664" s="785">
        <f>IFERROR(VLOOKUP($Q664,'391'!$S:$Z,8,0),"0")</f>
        <v>0</v>
      </c>
      <c r="S664" s="796">
        <f>+R662+R664</f>
        <v>4640.75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-3026.2400000000052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81">
        <f>IF(L678=0,"",MAX($A$16:A664)+1)</f>
        <v>39</v>
      </c>
      <c r="B665" s="2074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18">$L$7-E665</f>
        <v>2411</v>
      </c>
      <c r="G665" s="63">
        <v>0</v>
      </c>
      <c r="H665" s="12"/>
      <c r="I665" s="63"/>
      <c r="J665" s="1378"/>
      <c r="K665" s="63"/>
      <c r="L665" s="1534">
        <f t="shared" ref="L665:L677" si="419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20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78"/>
      <c r="B666" s="2075"/>
      <c r="C666" s="120" t="s">
        <v>247</v>
      </c>
      <c r="D666" s="887" t="s">
        <v>10</v>
      </c>
      <c r="E666" s="888">
        <v>44083</v>
      </c>
      <c r="F666" s="70">
        <f t="shared" si="418"/>
        <v>2193</v>
      </c>
      <c r="G666" s="63">
        <v>0</v>
      </c>
      <c r="H666" s="12"/>
      <c r="I666" s="63"/>
      <c r="J666" s="1378"/>
      <c r="K666" s="63"/>
      <c r="L666" s="1534">
        <f t="shared" si="419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20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78"/>
      <c r="B667" s="2075"/>
      <c r="C667" s="122"/>
      <c r="D667" s="887" t="s">
        <v>10</v>
      </c>
      <c r="E667" s="888">
        <v>45989</v>
      </c>
      <c r="F667" s="70">
        <f t="shared" si="418"/>
        <v>287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3">
        <f t="shared" si="419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1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20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78"/>
      <c r="B668" s="2075"/>
      <c r="C668" s="122"/>
      <c r="D668" s="887" t="s">
        <v>10</v>
      </c>
      <c r="E668" s="888">
        <v>46007</v>
      </c>
      <c r="F668" s="70">
        <f t="shared" si="418"/>
        <v>269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3">
        <f t="shared" si="419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1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20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8"/>
      <c r="B669" s="2075"/>
      <c r="C669" s="122"/>
      <c r="D669" s="887" t="s">
        <v>10</v>
      </c>
      <c r="E669" s="888">
        <v>46107</v>
      </c>
      <c r="F669" s="70">
        <f t="shared" ref="F669:F672" si="422">$L$7-E669</f>
        <v>169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3">
        <f t="shared" si="419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1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20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78"/>
      <c r="B670" s="2075"/>
      <c r="C670" s="122" t="s">
        <v>247</v>
      </c>
      <c r="D670" s="887" t="s">
        <v>10</v>
      </c>
      <c r="E670" s="888">
        <v>46258</v>
      </c>
      <c r="F670" s="70">
        <f t="shared" si="422"/>
        <v>18</v>
      </c>
      <c r="G670" s="12">
        <v>12000</v>
      </c>
      <c r="H670" s="12"/>
      <c r="I670" s="12"/>
      <c r="J670" s="1368"/>
      <c r="K670" s="1379">
        <f>IFERROR(SUMIF(INTAKE!$A:$A,$T670,INTAKE!$P:$P),0)</f>
        <v>2000</v>
      </c>
      <c r="L670" s="1703">
        <f t="shared" si="419"/>
        <v>10000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1"/>
        <v>L-Threonine (China)A19.146258</v>
      </c>
      <c r="U670" s="787"/>
      <c r="V670" s="787"/>
      <c r="W670" s="785">
        <f>IFERROR(VLOOKUP($Q670,'391'!$S:$AG,15,0),0)</f>
        <v>0</v>
      </c>
      <c r="X670" s="1090">
        <f t="shared" si="420"/>
        <v>12000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78"/>
      <c r="B671" s="2080"/>
      <c r="C671" s="122" t="s">
        <v>123</v>
      </c>
      <c r="D671" s="887" t="s">
        <v>10</v>
      </c>
      <c r="E671" s="888">
        <v>46258</v>
      </c>
      <c r="F671" s="70">
        <f t="shared" ref="F671" si="423">$L$7-E671</f>
        <v>18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3">
        <f t="shared" si="419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21"/>
        <v>L-Threonine (China)A22.146258</v>
      </c>
      <c r="U671" s="787"/>
      <c r="V671" s="787"/>
      <c r="W671" s="785">
        <f>IFERROR(VLOOKUP($Q671,'391'!$S:$AG,15,0),0)</f>
        <v>0</v>
      </c>
      <c r="X671" s="1090">
        <f t="shared" si="420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hidden="1" customHeight="1" x14ac:dyDescent="0.25">
      <c r="A672" s="2078"/>
      <c r="B672" s="2080"/>
      <c r="C672" s="122"/>
      <c r="D672" s="887" t="s">
        <v>10</v>
      </c>
      <c r="E672" s="888">
        <v>46258</v>
      </c>
      <c r="F672" s="70">
        <f t="shared" si="422"/>
        <v>18</v>
      </c>
      <c r="G672" s="12"/>
      <c r="H672" s="12"/>
      <c r="I672" s="12"/>
      <c r="J672" s="1368"/>
      <c r="K672" s="1379">
        <f>IFERROR(SUMIF(INTAKE!$A:$A,$T672,INTAKE!$P:$P),0)</f>
        <v>0</v>
      </c>
      <c r="L672" s="1703">
        <f t="shared" ref="L672:L673" si="424">+G672+H672+I672-J672-K672</f>
        <v>0</v>
      </c>
      <c r="M672" s="23"/>
      <c r="N672" s="23"/>
      <c r="O672" s="23"/>
      <c r="P672" s="736"/>
      <c r="Q672" s="795"/>
      <c r="R672" s="785"/>
      <c r="S672" s="786"/>
      <c r="T672" s="787" t="str">
        <f t="shared" si="421"/>
        <v>L-Threonine (China)46258</v>
      </c>
      <c r="U672" s="787"/>
      <c r="V672" s="787"/>
      <c r="W672" s="785">
        <f>IFERROR(VLOOKUP($Q672,'391'!$S:$AG,15,0),0)</f>
        <v>0</v>
      </c>
      <c r="X672" s="1090">
        <f t="shared" ref="X672:X673" si="425">G672-W672</f>
        <v>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78"/>
      <c r="B673" s="2080"/>
      <c r="C673" s="122"/>
      <c r="D673" s="887" t="s">
        <v>10</v>
      </c>
      <c r="E673" s="888">
        <v>46258</v>
      </c>
      <c r="F673" s="70">
        <f t="shared" ref="F673" si="426">$L$7-E673</f>
        <v>18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3">
        <f t="shared" si="424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1"/>
        <v>L-Threonine (China)46258</v>
      </c>
      <c r="U673" s="787"/>
      <c r="V673" s="787"/>
      <c r="W673" s="785">
        <f>IFERROR(VLOOKUP($Q673,'391'!$S:$AG,15,0),0)</f>
        <v>0</v>
      </c>
      <c r="X673" s="1090">
        <f t="shared" si="425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78"/>
      <c r="B674" s="2080"/>
      <c r="C674" s="122"/>
      <c r="D674" s="887" t="s">
        <v>10</v>
      </c>
      <c r="E674" s="888">
        <v>46258</v>
      </c>
      <c r="F674" s="70">
        <f t="shared" si="418"/>
        <v>18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3">
        <f t="shared" ref="L674:L675" si="427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1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28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78"/>
      <c r="B675" s="2080"/>
      <c r="C675" s="122"/>
      <c r="D675" s="887" t="s">
        <v>10</v>
      </c>
      <c r="E675" s="888">
        <v>45597</v>
      </c>
      <c r="F675" s="70">
        <f t="shared" ref="F675" si="429">$L$7-E675</f>
        <v>679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3">
        <f t="shared" si="427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1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28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78"/>
      <c r="B676" s="2130"/>
      <c r="C676" s="122"/>
      <c r="D676" s="887" t="s">
        <v>10</v>
      </c>
      <c r="E676" s="888">
        <v>45577</v>
      </c>
      <c r="F676" s="70">
        <f t="shared" si="418"/>
        <v>699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3">
        <f t="shared" si="419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1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20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082"/>
      <c r="B677" s="2076"/>
      <c r="C677" s="119" t="s">
        <v>46</v>
      </c>
      <c r="D677" s="850" t="s">
        <v>10</v>
      </c>
      <c r="E677" s="851">
        <v>46258</v>
      </c>
      <c r="F677" s="70">
        <f t="shared" si="418"/>
        <v>18</v>
      </c>
      <c r="G677" s="56">
        <v>3586.0299999999997</v>
      </c>
      <c r="H677" s="56"/>
      <c r="I677" s="56">
        <f>+SUM(K667:K675)</f>
        <v>2000</v>
      </c>
      <c r="J677" s="1369">
        <f>+usage!I81</f>
        <v>1688.8700000000001</v>
      </c>
      <c r="K677" s="12">
        <f>IFERROR(SUMIF(INTAKE!$A:$A,$T677,INTAKE!$P:$P),0)</f>
        <v>0</v>
      </c>
      <c r="L677" s="1534">
        <f t="shared" si="419"/>
        <v>3897.16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1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20"/>
        <v>3586.0299999999997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27" t="s">
        <v>15</v>
      </c>
      <c r="B678" s="2028"/>
      <c r="C678" s="88"/>
      <c r="D678" s="864"/>
      <c r="E678" s="864"/>
      <c r="F678" s="865"/>
      <c r="G678" s="1297">
        <v>32586.03</v>
      </c>
      <c r="H678" s="1297">
        <f t="shared" ref="H678:L678" si="430">SUM(H665:H677)</f>
        <v>0</v>
      </c>
      <c r="I678" s="1297">
        <f>SUM(I665:I677)</f>
        <v>2000</v>
      </c>
      <c r="J678" s="1297">
        <f t="shared" si="430"/>
        <v>1688.8700000000001</v>
      </c>
      <c r="K678" s="1297">
        <f t="shared" si="430"/>
        <v>2000</v>
      </c>
      <c r="L678" s="1297">
        <f t="shared" si="430"/>
        <v>30897.16</v>
      </c>
      <c r="M678" s="59">
        <f>IFERROR((R678/$S$2),"")</f>
        <v>1731.1955555555555</v>
      </c>
      <c r="N678" s="854">
        <f>(L678/M678)</f>
        <v>17.8472962807976</v>
      </c>
      <c r="O678" s="59">
        <f>IFERROR(SUMIF(ETM!$A:$A,$Q678,ETM!$E:$E),"")</f>
        <v>1699.8333333333333</v>
      </c>
      <c r="P678" s="880">
        <f>IFERROR(L678/O678,0)</f>
        <v>18.176582017844886</v>
      </c>
      <c r="Q678" s="814" t="s">
        <v>359</v>
      </c>
      <c r="R678" s="785">
        <f>IFERROR(VLOOKUP($Q678,'391'!$S:$Z,8,0),"")</f>
        <v>7790.38</v>
      </c>
      <c r="S678" s="796"/>
      <c r="T678" s="797"/>
      <c r="U678" s="797"/>
      <c r="V678" s="797"/>
      <c r="W678" s="785">
        <f>IFERROR(VLOOKUP($Q678,'391'!$S:$AG,15,0),0)</f>
        <v>39779.25</v>
      </c>
      <c r="X678" s="1090">
        <f t="shared" si="420"/>
        <v>-7193.2200000000012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81">
        <f>IF(L685=0,"",MAX($A$16:A678)+1)</f>
        <v>40</v>
      </c>
      <c r="B679" s="2074" t="s">
        <v>1922</v>
      </c>
      <c r="C679" s="120" t="s">
        <v>1948</v>
      </c>
      <c r="D679" s="887" t="s">
        <v>10</v>
      </c>
      <c r="E679" s="888">
        <v>46262</v>
      </c>
      <c r="F679" s="70">
        <f t="shared" ref="F679:F682" si="431">$L$7-E679</f>
        <v>14</v>
      </c>
      <c r="G679" s="12">
        <v>1900</v>
      </c>
      <c r="H679" s="12"/>
      <c r="I679" s="63"/>
      <c r="J679" s="1378"/>
      <c r="K679" s="63">
        <f>IFERROR(SUMIF(INTAKE!$A:$A,$T679,INTAKE!$P:$P),0)</f>
        <v>340</v>
      </c>
      <c r="L679" s="1703">
        <f t="shared" ref="L679:L684" si="432">+G679+H679+I679-J679-K679</f>
        <v>1560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3">$Q$685&amp;C679&amp;E679</f>
        <v>L-TryptophanZ1.146262</v>
      </c>
      <c r="U679" s="797"/>
      <c r="V679" s="797"/>
      <c r="W679" s="785">
        <f>IFERROR(VLOOKUP($Q679,'391'!$S:$AG,15,0),0)</f>
        <v>0</v>
      </c>
      <c r="X679" s="1090">
        <f t="shared" si="420"/>
        <v>1900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78"/>
      <c r="B680" s="2075"/>
      <c r="C680" s="120" t="s">
        <v>579</v>
      </c>
      <c r="D680" s="887" t="s">
        <v>10</v>
      </c>
      <c r="E680" s="888">
        <v>46270</v>
      </c>
      <c r="F680" s="70">
        <f t="shared" si="431"/>
        <v>6</v>
      </c>
      <c r="G680" s="12">
        <v>2000</v>
      </c>
      <c r="H680" s="12"/>
      <c r="I680" s="63"/>
      <c r="J680" s="1378"/>
      <c r="K680" s="63">
        <f>IFERROR(SUMIF(INTAKE!$A:$A,$T680,INTAKE!$P:$P),0)</f>
        <v>0</v>
      </c>
      <c r="L680" s="1703">
        <f t="shared" si="432"/>
        <v>2000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3"/>
        <v>L-TryptophanV8.146270</v>
      </c>
      <c r="U680" s="797"/>
      <c r="V680" s="797"/>
      <c r="W680" s="785">
        <f>IFERROR(VLOOKUP($Q680,'391'!$S:$AG,15,0),0)</f>
        <v>0</v>
      </c>
      <c r="X680" s="1090">
        <f t="shared" si="420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78"/>
      <c r="B681" s="2075"/>
      <c r="C681" s="120" t="s">
        <v>246</v>
      </c>
      <c r="D681" s="887" t="s">
        <v>10</v>
      </c>
      <c r="E681" s="888">
        <v>46270</v>
      </c>
      <c r="F681" s="70">
        <f t="shared" si="431"/>
        <v>6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3">
        <f t="shared" si="432"/>
        <v>2000</v>
      </c>
      <c r="M681" s="147"/>
      <c r="N681" s="248"/>
      <c r="O681" s="147"/>
      <c r="P681" s="734"/>
      <c r="Q681" s="666" t="s">
        <v>1417</v>
      </c>
      <c r="R681" s="785" t="str">
        <f>IFERROR(VLOOKUP($Q681,'391'!$S:$Z,8,0),"0")</f>
        <v>0</v>
      </c>
      <c r="S681" s="796"/>
      <c r="T681" s="797" t="str">
        <f t="shared" si="433"/>
        <v>L-TryptophanV3.246270</v>
      </c>
      <c r="U681" s="797"/>
      <c r="V681" s="797"/>
      <c r="W681" s="785">
        <f>IFERROR(VLOOKUP($Q681,'391'!$S:$AG,15,0),0)</f>
        <v>0</v>
      </c>
      <c r="X681" s="1090">
        <f t="shared" si="420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78"/>
      <c r="B682" s="2080"/>
      <c r="C682" s="120" t="s">
        <v>268</v>
      </c>
      <c r="D682" s="887" t="s">
        <v>10</v>
      </c>
      <c r="E682" s="888">
        <v>46275</v>
      </c>
      <c r="F682" s="70">
        <f t="shared" si="431"/>
        <v>1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3">
        <f t="shared" ref="L682" si="434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3"/>
        <v>L-TryptophanV3.146275</v>
      </c>
      <c r="U682" s="797"/>
      <c r="V682" s="797"/>
      <c r="W682" s="785">
        <f>IFERROR(VLOOKUP($Q682,'391'!$S:$AG,15,0),0)</f>
        <v>0</v>
      </c>
      <c r="X682" s="1090">
        <f t="shared" ref="X682" si="435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hidden="1" customHeight="1" x14ac:dyDescent="0.25">
      <c r="A683" s="2078"/>
      <c r="B683" s="2075"/>
      <c r="C683" s="120"/>
      <c r="D683" s="887" t="s">
        <v>10</v>
      </c>
      <c r="E683" s="888">
        <v>46275</v>
      </c>
      <c r="F683" s="70">
        <f t="shared" ref="F683" si="436">$L$7-E683</f>
        <v>1</v>
      </c>
      <c r="G683" s="12"/>
      <c r="H683" s="12"/>
      <c r="I683" s="63"/>
      <c r="J683" s="1378"/>
      <c r="K683" s="63">
        <f>IFERROR(SUMIF(INTAKE!$A:$A,$T683,INTAKE!$P:$P),0)</f>
        <v>0</v>
      </c>
      <c r="L683" s="1703">
        <f t="shared" si="432"/>
        <v>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3"/>
        <v>L-Tryptophan46275</v>
      </c>
      <c r="U683" s="797"/>
      <c r="V683" s="797"/>
      <c r="W683" s="785">
        <f>IFERROR(VLOOKUP($Q683,'391'!$S:$AG,15,0),0)</f>
        <v>0</v>
      </c>
      <c r="X683" s="1090">
        <f t="shared" si="420"/>
        <v>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82"/>
      <c r="B684" s="2076"/>
      <c r="C684" s="119" t="s">
        <v>46</v>
      </c>
      <c r="D684" s="850" t="s">
        <v>10</v>
      </c>
      <c r="E684" s="851">
        <v>46262</v>
      </c>
      <c r="F684" s="911">
        <f t="shared" ref="F684" si="437">$L$7-E684</f>
        <v>14</v>
      </c>
      <c r="G684" s="958">
        <v>480.54000000000127</v>
      </c>
      <c r="H684" s="56"/>
      <c r="I684" s="56">
        <f>+SUM(K679:K681)</f>
        <v>340</v>
      </c>
      <c r="J684" s="1369">
        <f>+usage!I80</f>
        <v>322.95</v>
      </c>
      <c r="K684" s="63">
        <f>IFERROR(SUMIF(INTAKE!$A:$A,$T684,INTAKE!$P:$P),0)</f>
        <v>0</v>
      </c>
      <c r="L684" s="1534">
        <f t="shared" si="432"/>
        <v>497.59000000000134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3"/>
        <v>L-TryptophanFeedmill46262</v>
      </c>
      <c r="U684" s="797"/>
      <c r="V684" s="797"/>
      <c r="W684" s="785">
        <f>IFERROR(VLOOKUP($Q684,'391'!$S:$AG,15,0),0)</f>
        <v>0</v>
      </c>
      <c r="X684" s="1090">
        <f t="shared" si="420"/>
        <v>480.54000000000127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27" t="s">
        <v>365</v>
      </c>
      <c r="B685" s="2028"/>
      <c r="C685" s="88"/>
      <c r="D685" s="864"/>
      <c r="E685" s="864"/>
      <c r="F685" s="865"/>
      <c r="G685" s="1297">
        <v>8380.5400000000009</v>
      </c>
      <c r="H685" s="1297">
        <f t="shared" ref="H685:L685" si="438">+SUM(H679:H684)</f>
        <v>0</v>
      </c>
      <c r="I685" s="1297">
        <f t="shared" si="438"/>
        <v>340</v>
      </c>
      <c r="J685" s="1297">
        <f t="shared" si="438"/>
        <v>322.95</v>
      </c>
      <c r="K685" s="1297">
        <f t="shared" si="438"/>
        <v>340</v>
      </c>
      <c r="L685" s="1297">
        <f t="shared" si="438"/>
        <v>8057.5900000000011</v>
      </c>
      <c r="M685" s="59">
        <f>IFERROR((S685/$S$2),"")</f>
        <v>406.25111111111113</v>
      </c>
      <c r="N685" s="366">
        <f>(L685/M685)</f>
        <v>19.834013445433314</v>
      </c>
      <c r="O685" s="59">
        <f>IFERROR(SUMIF(ETM!$A:$A,$Q685,ETM!$E:$E),"")</f>
        <v>395.5</v>
      </c>
      <c r="P685" s="880">
        <f>IFERROR(L685/O685,0)</f>
        <v>20.373173198482935</v>
      </c>
      <c r="Q685" s="814" t="s">
        <v>655</v>
      </c>
      <c r="R685" s="785">
        <f>IFERROR(VLOOKUP($Q685,'391'!$S:$Z,8,0),"")</f>
        <v>1828.13</v>
      </c>
      <c r="S685" s="796">
        <f>+R685+R681</f>
        <v>1828.13</v>
      </c>
      <c r="T685" s="797"/>
      <c r="U685" s="797"/>
      <c r="V685" s="797"/>
      <c r="W685" s="785">
        <f>IFERROR(VLOOKUP($Q685,'391'!$S:$AG,15,0),0)</f>
        <v>7989.55</v>
      </c>
      <c r="X685" s="1090">
        <f>G685-W685-W681</f>
        <v>390.99000000000069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71">
        <f>IF(L696=0,"",MAX($A$16:A685)+1)</f>
        <v>41</v>
      </c>
      <c r="B686" s="2051" t="s">
        <v>656</v>
      </c>
      <c r="C686" s="114"/>
      <c r="D686" s="959" t="s">
        <v>10</v>
      </c>
      <c r="E686" s="933">
        <v>45992</v>
      </c>
      <c r="F686" s="42">
        <f t="shared" ref="F686" si="439">$L$7-E686</f>
        <v>284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3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40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86"/>
      <c r="B687" s="2073"/>
      <c r="C687" s="114"/>
      <c r="D687" s="959" t="s">
        <v>10</v>
      </c>
      <c r="E687" s="933">
        <v>46221</v>
      </c>
      <c r="F687" s="42">
        <f t="shared" ref="F687:F692" si="441">$L$7-E687</f>
        <v>55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3">
        <f t="shared" ref="L687:L695" si="442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40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43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86"/>
      <c r="B688" s="2073"/>
      <c r="C688" s="114" t="s">
        <v>481</v>
      </c>
      <c r="D688" s="959" t="s">
        <v>10</v>
      </c>
      <c r="E688" s="933">
        <v>46230</v>
      </c>
      <c r="F688" s="42">
        <f t="shared" ref="F688:F691" si="444">$L$7-E688</f>
        <v>46</v>
      </c>
      <c r="G688" s="12">
        <v>49000</v>
      </c>
      <c r="H688" s="12"/>
      <c r="I688" s="12"/>
      <c r="J688" s="1368"/>
      <c r="K688" s="12">
        <f>IFERROR(SUMIF(INTAKE!$A:$A,$T688,INTAKE!$P:$P),0)</f>
        <v>0</v>
      </c>
      <c r="L688" s="1703">
        <f t="shared" si="442"/>
        <v>49000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40"/>
        <v>Carob PowderB146230</v>
      </c>
      <c r="U688" s="797"/>
      <c r="V688" s="797"/>
      <c r="W688" s="785">
        <f>IFERROR(VLOOKUP($Q688,'391'!$S:$AG,15,0),0)</f>
        <v>0</v>
      </c>
      <c r="X688" s="1090">
        <f t="shared" si="443"/>
        <v>49000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86"/>
      <c r="B689" s="2073"/>
      <c r="C689" s="114" t="s">
        <v>1888</v>
      </c>
      <c r="D689" s="959" t="s">
        <v>10</v>
      </c>
      <c r="E689" s="933">
        <v>46230</v>
      </c>
      <c r="F689" s="42">
        <f t="shared" si="444"/>
        <v>46</v>
      </c>
      <c r="G689" s="12">
        <v>12250</v>
      </c>
      <c r="H689" s="12"/>
      <c r="I689" s="12"/>
      <c r="J689" s="1368"/>
      <c r="K689" s="12">
        <f>IFERROR(SUMIF(INTAKE!$A:$A,$T689,INTAKE!$P:$P),0)</f>
        <v>7000</v>
      </c>
      <c r="L689" s="1703">
        <f t="shared" si="442"/>
        <v>5250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40"/>
        <v>Carob PowderA446230</v>
      </c>
      <c r="U689" s="797"/>
      <c r="V689" s="797"/>
      <c r="W689" s="785">
        <f>IFERROR(VLOOKUP($Q689,'391'!$S:$AG,15,0),0)</f>
        <v>0</v>
      </c>
      <c r="X689" s="1090">
        <f t="shared" si="443"/>
        <v>12250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86"/>
      <c r="B690" s="2073"/>
      <c r="C690" s="114" t="s">
        <v>488</v>
      </c>
      <c r="D690" s="959" t="s">
        <v>10</v>
      </c>
      <c r="E690" s="933">
        <v>46246</v>
      </c>
      <c r="F690" s="42">
        <f t="shared" si="444"/>
        <v>30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3">
        <f t="shared" si="442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40"/>
        <v>Carob PowderB246246</v>
      </c>
      <c r="U690" s="797"/>
      <c r="V690" s="797"/>
      <c r="W690" s="785">
        <f>IFERROR(VLOOKUP($Q690,'391'!$S:$AG,15,0),0)</f>
        <v>0</v>
      </c>
      <c r="X690" s="1090">
        <f t="shared" si="443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86"/>
      <c r="B691" s="2073"/>
      <c r="C691" s="114" t="s">
        <v>488</v>
      </c>
      <c r="D691" s="959" t="s">
        <v>10</v>
      </c>
      <c r="E691" s="933">
        <v>46247</v>
      </c>
      <c r="F691" s="42">
        <f t="shared" si="444"/>
        <v>29</v>
      </c>
      <c r="G691" s="12">
        <v>24500</v>
      </c>
      <c r="H691" s="12"/>
      <c r="I691" s="12"/>
      <c r="J691" s="1368"/>
      <c r="K691" s="12">
        <f>IFERROR(SUMIF(INTAKE!$A:$A,$T691,INTAKE!$P:$P),0)</f>
        <v>0</v>
      </c>
      <c r="L691" s="1703">
        <f t="shared" si="442"/>
        <v>24500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0"/>
        <v>Carob PowderB246247</v>
      </c>
      <c r="U691" s="797"/>
      <c r="V691" s="797"/>
      <c r="W691" s="785">
        <f>IFERROR(VLOOKUP($Q691,'391'!$S:$AG,15,0),0)</f>
        <v>0</v>
      </c>
      <c r="X691" s="1090">
        <f t="shared" si="443"/>
        <v>24500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86"/>
      <c r="B692" s="2073"/>
      <c r="C692" s="114" t="s">
        <v>2225</v>
      </c>
      <c r="D692" s="959" t="s">
        <v>10</v>
      </c>
      <c r="E692" s="933">
        <v>46275</v>
      </c>
      <c r="F692" s="42">
        <f t="shared" si="441"/>
        <v>1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3">
        <f t="shared" si="442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40"/>
        <v>Carob PowderB446275</v>
      </c>
      <c r="U692" s="797"/>
      <c r="V692" s="797"/>
      <c r="W692" s="785">
        <f>IFERROR(VLOOKUP($Q692,'391'!$S:$AG,15,0),0)</f>
        <v>0</v>
      </c>
      <c r="X692" s="1090">
        <f t="shared" si="443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86"/>
      <c r="B693" s="2077"/>
      <c r="C693" s="114"/>
      <c r="D693" s="959" t="s">
        <v>10</v>
      </c>
      <c r="E693" s="933">
        <v>46247</v>
      </c>
      <c r="F693" s="42">
        <f t="shared" ref="F693" si="445">$L$7-E693</f>
        <v>29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3">
        <f t="shared" si="442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0"/>
        <v>Carob Powder46247</v>
      </c>
      <c r="U693" s="797"/>
      <c r="V693" s="797"/>
      <c r="W693" s="785">
        <f>IFERROR(VLOOKUP($Q693,'391'!$S:$AG,15,0),0)</f>
        <v>0</v>
      </c>
      <c r="X693" s="1090">
        <f t="shared" si="443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86"/>
      <c r="B694" s="2073"/>
      <c r="C694" s="114"/>
      <c r="D694" s="959" t="s">
        <v>10</v>
      </c>
      <c r="E694" s="933">
        <v>46246</v>
      </c>
      <c r="F694" s="42">
        <f t="shared" ref="F694:F695" si="446">$L$7-E694</f>
        <v>30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3">
        <f t="shared" si="442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0"/>
        <v>Carob Powder46246</v>
      </c>
      <c r="U694" s="797"/>
      <c r="V694" s="797"/>
      <c r="W694" s="785">
        <f>IFERROR(VLOOKUP($Q694,'391'!$S:$AG,15,0),0)</f>
        <v>0</v>
      </c>
      <c r="X694" s="1090">
        <f t="shared" si="443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86"/>
      <c r="B695" s="2073"/>
      <c r="C695" s="107" t="s">
        <v>1300</v>
      </c>
      <c r="D695" s="850" t="s">
        <v>10</v>
      </c>
      <c r="E695" s="960">
        <v>46230</v>
      </c>
      <c r="F695" s="42">
        <f t="shared" si="446"/>
        <v>46</v>
      </c>
      <c r="G695" s="56">
        <v>26149</v>
      </c>
      <c r="H695" s="12"/>
      <c r="I695" s="56">
        <f>+SUM(K686:K692)</f>
        <v>7000</v>
      </c>
      <c r="J695" s="56">
        <f>usage!I74</f>
        <v>1281.5</v>
      </c>
      <c r="K695" s="12">
        <f>IFERROR(SUMIF(INTAKE!$A:$A,$T695,INTAKE!$P:$P),0)</f>
        <v>0</v>
      </c>
      <c r="L695" s="1534">
        <f t="shared" si="442"/>
        <v>31867.5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0"/>
        <v>Carob PowderFM6946230</v>
      </c>
      <c r="U695" s="797"/>
      <c r="V695" s="797"/>
      <c r="W695" s="785">
        <f>IFERROR(VLOOKUP($Q695,'391'!$S:$AG,15,0),0)</f>
        <v>0</v>
      </c>
      <c r="X695" s="1090">
        <f t="shared" si="443"/>
        <v>26149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27" t="s">
        <v>295</v>
      </c>
      <c r="B696" s="2028"/>
      <c r="C696" s="88"/>
      <c r="D696" s="900"/>
      <c r="E696" s="901"/>
      <c r="F696" s="902"/>
      <c r="G696" s="1380">
        <v>185399</v>
      </c>
      <c r="H696" s="1380">
        <f>+SUM(H686:H695)</f>
        <v>0</v>
      </c>
      <c r="I696" s="1380">
        <f t="shared" ref="I696:L696" si="447">+SUM(I686:I695)</f>
        <v>7000</v>
      </c>
      <c r="J696" s="1380">
        <f t="shared" si="447"/>
        <v>1281.5</v>
      </c>
      <c r="K696" s="1380">
        <f t="shared" si="447"/>
        <v>7000</v>
      </c>
      <c r="L696" s="1380">
        <f t="shared" si="447"/>
        <v>184117.5</v>
      </c>
      <c r="M696" s="59">
        <f>IFERROR((R696/$S$2),"")</f>
        <v>3652.2222222222222</v>
      </c>
      <c r="N696" s="366">
        <f>+IFERROR(L696/M696,0)</f>
        <v>50.412458168542742</v>
      </c>
      <c r="O696" s="59">
        <f>IFERROR(SUMIF(ETM!$A:$A,$Q696,ETM!$E:$E),"")</f>
        <v>3351.6666666666665</v>
      </c>
      <c r="P696" s="855">
        <f>IFERROR(L696/O696,0)</f>
        <v>54.93311785181502</v>
      </c>
      <c r="Q696" s="814" t="s">
        <v>656</v>
      </c>
      <c r="R696" s="785">
        <f>IFERROR(VLOOKUP($Q696,'391'!$S:$Z,8,0),"")</f>
        <v>16435</v>
      </c>
      <c r="S696" s="796"/>
      <c r="T696" s="797"/>
      <c r="U696" s="797"/>
      <c r="V696" s="797"/>
      <c r="W696" s="785">
        <f>IFERROR(VLOOKUP($Q696,'391'!$S:$AG,15,0),0)</f>
        <v>153533.5</v>
      </c>
      <c r="X696" s="1090">
        <f t="shared" si="443"/>
        <v>31865.5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71" t="str">
        <f>IF(L702=0,"",MAX($A$16:A690)+1)</f>
        <v/>
      </c>
      <c r="B697" s="2051" t="s">
        <v>1410</v>
      </c>
      <c r="C697" s="114" t="s">
        <v>488</v>
      </c>
      <c r="D697" s="959" t="s">
        <v>10</v>
      </c>
      <c r="E697" s="933">
        <v>46065</v>
      </c>
      <c r="F697" s="42">
        <f>$L$7-E697</f>
        <v>211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3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43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86"/>
      <c r="B698" s="2073"/>
      <c r="C698" s="114"/>
      <c r="D698" s="959" t="s">
        <v>10</v>
      </c>
      <c r="E698" s="933">
        <v>45392</v>
      </c>
      <c r="F698" s="42">
        <f>$L$7-E698</f>
        <v>884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4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43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86"/>
      <c r="B699" s="2077"/>
      <c r="C699" s="114"/>
      <c r="D699" s="959" t="s">
        <v>10</v>
      </c>
      <c r="E699" s="933">
        <v>45392</v>
      </c>
      <c r="F699" s="42">
        <f>$L$7-E699</f>
        <v>884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4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43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86"/>
      <c r="B700" s="2073"/>
      <c r="C700" s="114"/>
      <c r="D700" s="959" t="s">
        <v>10</v>
      </c>
      <c r="E700" s="933">
        <v>44942</v>
      </c>
      <c r="F700" s="42">
        <f>$L$7-E700</f>
        <v>1334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4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43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86"/>
      <c r="B701" s="2073"/>
      <c r="C701" s="107" t="s">
        <v>1300</v>
      </c>
      <c r="D701" s="850" t="s">
        <v>10</v>
      </c>
      <c r="E701" s="960">
        <v>46065</v>
      </c>
      <c r="F701" s="42">
        <f>$L$7-E701</f>
        <v>211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4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43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27" t="s">
        <v>1411</v>
      </c>
      <c r="B702" s="2028"/>
      <c r="C702" s="88"/>
      <c r="D702" s="900"/>
      <c r="E702" s="901"/>
      <c r="F702" s="902"/>
      <c r="G702" s="1380">
        <v>0</v>
      </c>
      <c r="H702" s="1380">
        <f t="shared" ref="H702:L702" si="448">+SUM(H697:H701)</f>
        <v>0</v>
      </c>
      <c r="I702" s="1380">
        <f t="shared" si="448"/>
        <v>0</v>
      </c>
      <c r="J702" s="1380">
        <f t="shared" si="448"/>
        <v>0</v>
      </c>
      <c r="K702" s="1380">
        <f t="shared" si="448"/>
        <v>0</v>
      </c>
      <c r="L702" s="1380">
        <f t="shared" si="448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1413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43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71" t="str">
        <f>IF(L708=0,"",MAX($A$16:A702)+1)</f>
        <v/>
      </c>
      <c r="B703" s="2051" t="s">
        <v>1405</v>
      </c>
      <c r="C703" s="114" t="s">
        <v>257</v>
      </c>
      <c r="D703" s="959" t="s">
        <v>10</v>
      </c>
      <c r="E703" s="933">
        <v>45364</v>
      </c>
      <c r="F703" s="42">
        <f>$L$7-E703</f>
        <v>912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4">
        <f t="shared" ref="L703:L724" si="449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43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86"/>
      <c r="B704" s="2073"/>
      <c r="C704" s="114"/>
      <c r="D704" s="959" t="s">
        <v>10</v>
      </c>
      <c r="E704" s="933">
        <v>45364</v>
      </c>
      <c r="F704" s="42">
        <f>$L$7-E704</f>
        <v>912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4">
        <f t="shared" si="449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43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86"/>
      <c r="B705" s="2077"/>
      <c r="C705" s="114"/>
      <c r="D705" s="959" t="s">
        <v>10</v>
      </c>
      <c r="E705" s="933">
        <v>45199</v>
      </c>
      <c r="F705" s="42">
        <f>$L$7-E705</f>
        <v>1077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4">
        <f t="shared" si="449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43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86"/>
      <c r="B706" s="2073"/>
      <c r="C706" s="114"/>
      <c r="D706" s="959" t="s">
        <v>10</v>
      </c>
      <c r="E706" s="933">
        <v>44942</v>
      </c>
      <c r="F706" s="42">
        <f>$L$7-E706</f>
        <v>1334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4">
        <f t="shared" si="449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43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86"/>
      <c r="B707" s="2073"/>
      <c r="C707" s="107" t="s">
        <v>343</v>
      </c>
      <c r="D707" s="850" t="s">
        <v>10</v>
      </c>
      <c r="E707" s="960">
        <v>45364</v>
      </c>
      <c r="F707" s="42">
        <f>$L$7-E707</f>
        <v>912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4">
        <f t="shared" si="449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43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27" t="s">
        <v>1415</v>
      </c>
      <c r="B708" s="2028"/>
      <c r="C708" s="88"/>
      <c r="D708" s="900"/>
      <c r="E708" s="901"/>
      <c r="F708" s="902"/>
      <c r="G708" s="1380">
        <v>0</v>
      </c>
      <c r="H708" s="1380">
        <f t="shared" ref="H708:K708" si="450">+SUM(H703:H707)</f>
        <v>0</v>
      </c>
      <c r="I708" s="1380">
        <f t="shared" si="450"/>
        <v>0</v>
      </c>
      <c r="J708" s="1380">
        <f t="shared" si="450"/>
        <v>0</v>
      </c>
      <c r="K708" s="1380">
        <f t="shared" si="450"/>
        <v>0</v>
      </c>
      <c r="L708" s="1534">
        <f t="shared" si="449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1406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43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71" t="str">
        <f>IF(L719=0,"",MAX($A$16:A708)+1)</f>
        <v/>
      </c>
      <c r="B709" s="2107" t="s">
        <v>484</v>
      </c>
      <c r="C709" s="114" t="s">
        <v>983</v>
      </c>
      <c r="D709" s="959" t="s">
        <v>10</v>
      </c>
      <c r="E709" s="933">
        <v>45180</v>
      </c>
      <c r="F709" s="73">
        <f t="shared" ref="F709:F718" si="451">$L$7-E709</f>
        <v>1096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4">
        <f t="shared" si="449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52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43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86"/>
      <c r="B710" s="2108"/>
      <c r="C710" s="114" t="s">
        <v>1316</v>
      </c>
      <c r="D710" s="959" t="s">
        <v>10</v>
      </c>
      <c r="E710" s="933">
        <v>45195</v>
      </c>
      <c r="F710" s="73">
        <f t="shared" si="451"/>
        <v>1081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4">
        <f t="shared" si="449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52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43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86"/>
      <c r="B711" s="2108"/>
      <c r="C711" s="114"/>
      <c r="D711" s="959" t="s">
        <v>10</v>
      </c>
      <c r="E711" s="933">
        <v>45195</v>
      </c>
      <c r="F711" s="73">
        <f t="shared" si="451"/>
        <v>1081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4">
        <f t="shared" si="449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52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43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86"/>
      <c r="B712" s="2108"/>
      <c r="C712" s="114"/>
      <c r="D712" s="959" t="s">
        <v>10</v>
      </c>
      <c r="E712" s="933">
        <v>45195</v>
      </c>
      <c r="F712" s="73">
        <f t="shared" si="451"/>
        <v>1081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4">
        <f t="shared" si="449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52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43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86"/>
      <c r="B713" s="2108"/>
      <c r="C713" s="114"/>
      <c r="D713" s="959" t="s">
        <v>10</v>
      </c>
      <c r="E713" s="933">
        <v>45191</v>
      </c>
      <c r="F713" s="73">
        <f t="shared" si="451"/>
        <v>1085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4">
        <f t="shared" si="449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2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43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86"/>
      <c r="B714" s="2108"/>
      <c r="C714" s="114"/>
      <c r="D714" s="959" t="s">
        <v>10</v>
      </c>
      <c r="E714" s="933">
        <v>45187</v>
      </c>
      <c r="F714" s="73">
        <f t="shared" si="451"/>
        <v>1089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4">
        <f t="shared" si="449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2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43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86"/>
      <c r="B715" s="2108"/>
      <c r="C715" s="114"/>
      <c r="D715" s="959" t="s">
        <v>10</v>
      </c>
      <c r="E715" s="933">
        <v>45180</v>
      </c>
      <c r="F715" s="73">
        <f t="shared" si="451"/>
        <v>1096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4">
        <f t="shared" si="449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2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43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86"/>
      <c r="B716" s="2108"/>
      <c r="C716" s="114"/>
      <c r="D716" s="959" t="s">
        <v>10</v>
      </c>
      <c r="E716" s="933">
        <v>45180</v>
      </c>
      <c r="F716" s="73">
        <f t="shared" si="451"/>
        <v>1096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4">
        <f t="shared" si="449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2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43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86"/>
      <c r="B717" s="2108"/>
      <c r="C717" s="114"/>
      <c r="D717" s="959" t="s">
        <v>10</v>
      </c>
      <c r="E717" s="933">
        <v>45180</v>
      </c>
      <c r="F717" s="73">
        <f t="shared" si="451"/>
        <v>1096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4">
        <f t="shared" si="449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2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43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72"/>
      <c r="B718" s="2109"/>
      <c r="C718" s="107" t="s">
        <v>1341</v>
      </c>
      <c r="D718" s="850" t="s">
        <v>10</v>
      </c>
      <c r="E718" s="960">
        <v>45195</v>
      </c>
      <c r="F718" s="42">
        <f t="shared" si="451"/>
        <v>1081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4">
        <f t="shared" si="449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52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3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27" t="s">
        <v>485</v>
      </c>
      <c r="B719" s="2028"/>
      <c r="C719" s="88"/>
      <c r="D719" s="2044"/>
      <c r="E719" s="2070"/>
      <c r="F719" s="901"/>
      <c r="G719" s="1380">
        <v>0</v>
      </c>
      <c r="H719" s="1380">
        <f t="shared" ref="H719:K719" si="454">+SUM(H709:H718)</f>
        <v>0</v>
      </c>
      <c r="I719" s="1380">
        <f t="shared" si="454"/>
        <v>0</v>
      </c>
      <c r="J719" s="1380">
        <f t="shared" si="454"/>
        <v>0</v>
      </c>
      <c r="K719" s="1380">
        <f t="shared" si="454"/>
        <v>0</v>
      </c>
      <c r="L719" s="1534">
        <f t="shared" si="449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3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29">
        <f>IF(L725=0,"",MAX($A$16:A719)+1)</f>
        <v>42</v>
      </c>
      <c r="B720" s="2104" t="s">
        <v>1921</v>
      </c>
      <c r="C720" s="160"/>
      <c r="D720" s="959" t="s">
        <v>10</v>
      </c>
      <c r="E720" s="933">
        <v>46057</v>
      </c>
      <c r="F720" s="74">
        <f>$L$7-E720</f>
        <v>219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3">
        <f t="shared" si="449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3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30"/>
      <c r="B721" s="2105"/>
      <c r="C721" s="160"/>
      <c r="D721" s="959" t="s">
        <v>10</v>
      </c>
      <c r="E721" s="933">
        <v>46114</v>
      </c>
      <c r="F721" s="74">
        <f>$L$7-E721</f>
        <v>162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3">
        <f t="shared" si="449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3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30"/>
      <c r="B722" s="2105"/>
      <c r="C722" s="160" t="s">
        <v>1775</v>
      </c>
      <c r="D722" s="959" t="s">
        <v>10</v>
      </c>
      <c r="E722" s="933">
        <v>46265</v>
      </c>
      <c r="F722" s="74">
        <f>$L$7-E722</f>
        <v>11</v>
      </c>
      <c r="G722" s="63">
        <v>5600</v>
      </c>
      <c r="H722" s="63"/>
      <c r="I722" s="63"/>
      <c r="J722" s="1378"/>
      <c r="K722" s="1408">
        <f>IFERROR(SUMIF(INTAKE!$A:$A,$T722,INTAKE!$P:$P),0)</f>
        <v>0</v>
      </c>
      <c r="L722" s="1703">
        <f t="shared" si="449"/>
        <v>5600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UREAA22.346265</v>
      </c>
      <c r="U722" s="797"/>
      <c r="V722" s="797"/>
      <c r="W722" s="785">
        <f>IFERROR(VLOOKUP($Q722,'391'!$S:$AG,15,0),0)</f>
        <v>0</v>
      </c>
      <c r="X722" s="1090">
        <f t="shared" si="453"/>
        <v>5600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hidden="1" customHeight="1" x14ac:dyDescent="0.25">
      <c r="A723" s="2030"/>
      <c r="B723" s="2105"/>
      <c r="C723" s="160"/>
      <c r="D723" s="959" t="s">
        <v>10</v>
      </c>
      <c r="E723" s="933">
        <v>46265</v>
      </c>
      <c r="F723" s="74">
        <f>$L$7-E723</f>
        <v>11</v>
      </c>
      <c r="G723" s="63">
        <v>0</v>
      </c>
      <c r="H723" s="63"/>
      <c r="I723" s="63"/>
      <c r="J723" s="1378"/>
      <c r="K723" s="1408">
        <f>IFERROR(SUMIF(INTAKE!$A:$A,$T723,INTAKE!$P:$P),0)</f>
        <v>0</v>
      </c>
      <c r="L723" s="1703">
        <f t="shared" si="449"/>
        <v>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UREA46265</v>
      </c>
      <c r="U723" s="797"/>
      <c r="V723" s="797"/>
      <c r="W723" s="785">
        <f>IFERROR(VLOOKUP($Q723,'391'!$S:$AG,15,0),0)</f>
        <v>0</v>
      </c>
      <c r="X723" s="1090">
        <f t="shared" si="453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31"/>
      <c r="B724" s="2106"/>
      <c r="C724" s="61" t="s">
        <v>1821</v>
      </c>
      <c r="D724" s="863" t="s">
        <v>10</v>
      </c>
      <c r="E724" s="934">
        <v>46265</v>
      </c>
      <c r="F724" s="39">
        <f>$L$7-E724</f>
        <v>11</v>
      </c>
      <c r="G724" s="37">
        <v>6100.7</v>
      </c>
      <c r="H724" s="37"/>
      <c r="I724" s="37">
        <f>+SUM(K720:K724)</f>
        <v>0</v>
      </c>
      <c r="J724" s="1385">
        <f>+usage!I122</f>
        <v>2130.1</v>
      </c>
      <c r="K724" s="63">
        <f>IFERROR(SUMIF(INTAKE!$A:$A,$T724,INTAKE!$P:$P),0)</f>
        <v>0</v>
      </c>
      <c r="L724" s="1534">
        <f t="shared" si="449"/>
        <v>3970.6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15146265</v>
      </c>
      <c r="U724" s="797"/>
      <c r="V724" s="797"/>
      <c r="W724" s="785">
        <f>IFERROR(VLOOKUP($Q724,'391'!$S:$AG,15,0),0)</f>
        <v>0</v>
      </c>
      <c r="X724" s="1090">
        <f t="shared" si="453"/>
        <v>6100.7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27" t="s">
        <v>135</v>
      </c>
      <c r="B725" s="2028"/>
      <c r="C725" s="88"/>
      <c r="D725" s="864"/>
      <c r="E725" s="864"/>
      <c r="F725" s="865"/>
      <c r="G725" s="1386">
        <v>11700.7</v>
      </c>
      <c r="H725" s="1386">
        <f t="shared" ref="H725:L725" si="455">SUM(H720:H724)</f>
        <v>0</v>
      </c>
      <c r="I725" s="1386">
        <f t="shared" si="455"/>
        <v>0</v>
      </c>
      <c r="J725" s="1386">
        <f>SUM(J720:J724)</f>
        <v>2130.1</v>
      </c>
      <c r="K725" s="1386">
        <f t="shared" si="455"/>
        <v>0</v>
      </c>
      <c r="L725" s="1386">
        <f t="shared" si="455"/>
        <v>9570.6</v>
      </c>
      <c r="M725" s="59">
        <f>IFERROR((R725/$S$2),"")</f>
        <v>1500.2444444444445</v>
      </c>
      <c r="N725" s="366">
        <f>+(L725/M725)</f>
        <v>6.3793604005273217</v>
      </c>
      <c r="O725" s="59">
        <f>IFERROR(SUMIF(ETM!$A:$A,$Q725,ETM!$E:$E),"")</f>
        <v>1508</v>
      </c>
      <c r="P725" s="880">
        <f>IFERROR(L725/O725,0)</f>
        <v>6.3465517241379317</v>
      </c>
      <c r="Q725" s="814" t="s">
        <v>657</v>
      </c>
      <c r="R725" s="785">
        <f>IFERROR(VLOOKUP($Q725,'391'!$S:$Z,8,0),"")</f>
        <v>6751.1</v>
      </c>
      <c r="S725" s="796"/>
      <c r="T725" s="797"/>
      <c r="U725" s="797"/>
      <c r="V725" s="797"/>
      <c r="W725" s="785">
        <f>IFERROR(VLOOKUP($Q725,'391'!$S:$AG,15,0),0)</f>
        <v>15653.7</v>
      </c>
      <c r="X725" s="1090">
        <f t="shared" si="453"/>
        <v>-3953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29" t="str">
        <f>IF(L730=0,"",MAX($A$16:A725)+1)</f>
        <v/>
      </c>
      <c r="B726" s="2087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2384</v>
      </c>
      <c r="G726" s="64">
        <v>0</v>
      </c>
      <c r="H726" s="64"/>
      <c r="I726" s="64"/>
      <c r="J726" s="1367"/>
      <c r="K726" s="64"/>
      <c r="L726" s="1534">
        <f t="shared" ref="L726:L755" si="456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3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30"/>
      <c r="B727" s="2073"/>
      <c r="C727" s="114" t="s">
        <v>247</v>
      </c>
      <c r="D727" s="866" t="s">
        <v>10</v>
      </c>
      <c r="E727" s="935">
        <v>43152</v>
      </c>
      <c r="F727" s="75">
        <f>$L$7-E727</f>
        <v>3124</v>
      </c>
      <c r="G727" s="64">
        <v>0</v>
      </c>
      <c r="H727" s="64"/>
      <c r="I727" s="64"/>
      <c r="J727" s="1367"/>
      <c r="K727" s="64"/>
      <c r="L727" s="1534">
        <f t="shared" si="456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3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30"/>
      <c r="B728" s="2073"/>
      <c r="C728" s="114" t="s">
        <v>247</v>
      </c>
      <c r="D728" s="866" t="s">
        <v>10</v>
      </c>
      <c r="E728" s="935">
        <v>43152</v>
      </c>
      <c r="F728" s="75">
        <f>$L$7-E728</f>
        <v>3124</v>
      </c>
      <c r="G728" s="64">
        <v>0</v>
      </c>
      <c r="H728" s="64"/>
      <c r="I728" s="64"/>
      <c r="J728" s="1367"/>
      <c r="K728" s="64"/>
      <c r="L728" s="1534">
        <f t="shared" si="456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3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30"/>
      <c r="B729" s="2052"/>
      <c r="C729" s="61" t="s">
        <v>46</v>
      </c>
      <c r="D729" s="863" t="s">
        <v>10</v>
      </c>
      <c r="E729" s="934">
        <v>43892</v>
      </c>
      <c r="F729" s="39">
        <f>$L$7-E729</f>
        <v>2384</v>
      </c>
      <c r="G729" s="37">
        <v>0</v>
      </c>
      <c r="H729" s="37"/>
      <c r="I729" s="37">
        <f>+K726</f>
        <v>0</v>
      </c>
      <c r="J729" s="1385">
        <f>+usage!I98</f>
        <v>0</v>
      </c>
      <c r="K729" s="37"/>
      <c r="L729" s="1534">
        <f t="shared" si="456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3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27" t="s">
        <v>542</v>
      </c>
      <c r="B730" s="2028"/>
      <c r="C730" s="2044"/>
      <c r="D730" s="2044"/>
      <c r="E730" s="2044"/>
      <c r="F730" s="2044"/>
      <c r="G730" s="1297">
        <v>0</v>
      </c>
      <c r="H730" s="1297">
        <f>+SUM(H726:H729)</f>
        <v>0</v>
      </c>
      <c r="I730" s="1297">
        <f t="shared" ref="I730:K730" si="457">+SUM(I726:I729)</f>
        <v>0</v>
      </c>
      <c r="J730" s="1297">
        <f t="shared" si="457"/>
        <v>0</v>
      </c>
      <c r="K730" s="1297">
        <f t="shared" si="457"/>
        <v>0</v>
      </c>
      <c r="L730" s="1534">
        <f t="shared" si="456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3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71" t="str">
        <f>IF(L735=0,"",MAX($A$16:A730)+1)</f>
        <v/>
      </c>
      <c r="B731" s="2087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2384</v>
      </c>
      <c r="G731" s="63">
        <v>0</v>
      </c>
      <c r="H731" s="1299"/>
      <c r="I731" s="1299"/>
      <c r="J731" s="1387"/>
      <c r="K731" s="1299"/>
      <c r="L731" s="1534">
        <f t="shared" si="456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3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86"/>
      <c r="B732" s="2088"/>
      <c r="C732" s="114" t="s">
        <v>335</v>
      </c>
      <c r="D732" s="866" t="s">
        <v>10</v>
      </c>
      <c r="E732" s="933">
        <v>43141</v>
      </c>
      <c r="F732" s="74">
        <f>$L$7-E732</f>
        <v>3135</v>
      </c>
      <c r="G732" s="63">
        <v>0</v>
      </c>
      <c r="H732" s="64"/>
      <c r="I732" s="64"/>
      <c r="J732" s="1367"/>
      <c r="K732" s="64"/>
      <c r="L732" s="1534">
        <f t="shared" si="456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3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86"/>
      <c r="B733" s="2088"/>
      <c r="C733" s="114" t="s">
        <v>335</v>
      </c>
      <c r="D733" s="866" t="s">
        <v>10</v>
      </c>
      <c r="E733" s="933">
        <v>43141</v>
      </c>
      <c r="F733" s="74">
        <f>$L$7-E733</f>
        <v>3135</v>
      </c>
      <c r="G733" s="63">
        <v>0</v>
      </c>
      <c r="H733" s="64"/>
      <c r="I733" s="64"/>
      <c r="J733" s="1367"/>
      <c r="K733" s="64"/>
      <c r="L733" s="1534">
        <f t="shared" si="456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3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072"/>
      <c r="B734" s="2089"/>
      <c r="C734" s="61" t="s">
        <v>46</v>
      </c>
      <c r="D734" s="863" t="s">
        <v>10</v>
      </c>
      <c r="E734" s="934">
        <v>43892</v>
      </c>
      <c r="F734" s="39">
        <f>$L$7-E734</f>
        <v>2384</v>
      </c>
      <c r="G734" s="37">
        <v>0</v>
      </c>
      <c r="H734" s="37"/>
      <c r="I734" s="37">
        <f>+K731</f>
        <v>0</v>
      </c>
      <c r="J734" s="1385">
        <f>+usage!I99</f>
        <v>0</v>
      </c>
      <c r="K734" s="37"/>
      <c r="L734" s="1534">
        <f t="shared" si="456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3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27" t="s">
        <v>538</v>
      </c>
      <c r="B735" s="2028"/>
      <c r="C735" s="2044"/>
      <c r="D735" s="2044"/>
      <c r="E735" s="2044"/>
      <c r="F735" s="2044"/>
      <c r="G735" s="1297">
        <v>0</v>
      </c>
      <c r="H735" s="1344">
        <f>+SUM(H731:H734)</f>
        <v>0</v>
      </c>
      <c r="I735" s="1328">
        <f>+SUM(I731:I734)</f>
        <v>0</v>
      </c>
      <c r="J735" s="1328">
        <f t="shared" ref="J735:K735" si="458">+SUM(J731:J734)</f>
        <v>0</v>
      </c>
      <c r="K735" s="1328">
        <f t="shared" si="458"/>
        <v>0</v>
      </c>
      <c r="L735" s="1534">
        <f t="shared" si="456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3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71" t="str">
        <f>IF(L738=0,"",MAX($A$16:A735)+1)</f>
        <v/>
      </c>
      <c r="B736" s="2087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2388</v>
      </c>
      <c r="G736" s="63">
        <v>0</v>
      </c>
      <c r="H736" s="1299"/>
      <c r="I736" s="1299"/>
      <c r="J736" s="1387"/>
      <c r="K736" s="1299"/>
      <c r="L736" s="1534">
        <f t="shared" si="456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3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072"/>
      <c r="B737" s="2089"/>
      <c r="C737" s="61" t="s">
        <v>46</v>
      </c>
      <c r="D737" s="863" t="s">
        <v>10</v>
      </c>
      <c r="E737" s="934">
        <v>43888</v>
      </c>
      <c r="F737" s="39">
        <f>$L$7-E737</f>
        <v>2388</v>
      </c>
      <c r="G737" s="37">
        <v>0</v>
      </c>
      <c r="H737" s="37"/>
      <c r="I737" s="37">
        <f>+K736</f>
        <v>0</v>
      </c>
      <c r="J737" s="1385">
        <f>+usage!I97</f>
        <v>0</v>
      </c>
      <c r="K737" s="37"/>
      <c r="L737" s="1534">
        <f t="shared" si="456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3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27" t="s">
        <v>531</v>
      </c>
      <c r="B738" s="2028"/>
      <c r="C738" s="2044"/>
      <c r="D738" s="2044"/>
      <c r="E738" s="2044"/>
      <c r="F738" s="2044"/>
      <c r="G738" s="1297">
        <v>0</v>
      </c>
      <c r="H738" s="1344">
        <f>+SUM(H736:H737)</f>
        <v>0</v>
      </c>
      <c r="I738" s="1344">
        <f t="shared" ref="I738:K738" si="459">+SUM(I736:I737)</f>
        <v>0</v>
      </c>
      <c r="J738" s="1344">
        <f t="shared" si="459"/>
        <v>0</v>
      </c>
      <c r="K738" s="1344">
        <f t="shared" si="459"/>
        <v>0</v>
      </c>
      <c r="L738" s="1534">
        <f t="shared" si="456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3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71" t="str">
        <f>IF(L741=0,"",MAX($A$16:A738)+1)</f>
        <v/>
      </c>
      <c r="B739" s="2074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2290</v>
      </c>
      <c r="G739" s="63">
        <v>0</v>
      </c>
      <c r="H739" s="1299"/>
      <c r="I739" s="1299"/>
      <c r="J739" s="1387"/>
      <c r="K739" s="1299"/>
      <c r="L739" s="1534">
        <f t="shared" si="456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3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072"/>
      <c r="B740" s="2076"/>
      <c r="C740" s="61" t="s">
        <v>46</v>
      </c>
      <c r="D740" s="863" t="s">
        <v>10</v>
      </c>
      <c r="E740" s="934">
        <v>43986</v>
      </c>
      <c r="F740" s="39">
        <f>$L$7-E740</f>
        <v>2290</v>
      </c>
      <c r="G740" s="37">
        <v>0</v>
      </c>
      <c r="H740" s="37"/>
      <c r="I740" s="37">
        <f>+K739</f>
        <v>0</v>
      </c>
      <c r="J740" s="1385">
        <f>usage!I156</f>
        <v>0</v>
      </c>
      <c r="K740" s="37"/>
      <c r="L740" s="1534">
        <f t="shared" si="456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3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27" t="s">
        <v>551</v>
      </c>
      <c r="B741" s="2028"/>
      <c r="C741" s="2044"/>
      <c r="D741" s="2044"/>
      <c r="E741" s="2044"/>
      <c r="F741" s="2044"/>
      <c r="G741" s="1297">
        <v>0</v>
      </c>
      <c r="H741" s="1344">
        <f>+SUM(H739:H740)</f>
        <v>0</v>
      </c>
      <c r="I741" s="1344">
        <f t="shared" ref="I741:K741" si="460">+SUM(I739:I740)</f>
        <v>0</v>
      </c>
      <c r="J741" s="1344">
        <f t="shared" si="460"/>
        <v>0</v>
      </c>
      <c r="K741" s="1344">
        <f t="shared" si="460"/>
        <v>0</v>
      </c>
      <c r="L741" s="1534">
        <f t="shared" si="456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3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81" t="str">
        <f>IF(L747=0,"",MAX($A$16:A741)+1)</f>
        <v/>
      </c>
      <c r="B742" s="2074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61">$L$7-E742</f>
        <v>353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3">
        <f t="shared" si="456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3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78"/>
      <c r="B743" s="2102"/>
      <c r="C743" s="122"/>
      <c r="D743" s="881" t="s">
        <v>10</v>
      </c>
      <c r="E743" s="962">
        <v>44062</v>
      </c>
      <c r="F743" s="75">
        <f t="shared" si="461"/>
        <v>2214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4">
        <f t="shared" si="456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3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78"/>
      <c r="B744" s="2102"/>
      <c r="C744" s="122"/>
      <c r="D744" s="881" t="s">
        <v>10</v>
      </c>
      <c r="E744" s="962">
        <v>44062</v>
      </c>
      <c r="F744" s="75">
        <f t="shared" si="461"/>
        <v>2214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4">
        <f t="shared" si="456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3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78"/>
      <c r="B745" s="2102"/>
      <c r="C745" s="122"/>
      <c r="D745" s="881" t="s">
        <v>10</v>
      </c>
      <c r="E745" s="962">
        <v>44631</v>
      </c>
      <c r="F745" s="75">
        <f t="shared" si="461"/>
        <v>1645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4">
        <f t="shared" si="456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3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78"/>
      <c r="B746" s="2103"/>
      <c r="C746" s="119" t="s">
        <v>46</v>
      </c>
      <c r="D746" s="863" t="s">
        <v>10</v>
      </c>
      <c r="E746" s="934">
        <v>45923</v>
      </c>
      <c r="F746" s="39">
        <f t="shared" si="461"/>
        <v>353</v>
      </c>
      <c r="G746" s="37">
        <v>0</v>
      </c>
      <c r="H746" s="37"/>
      <c r="I746" s="37">
        <f>+SUM(K742:K745)</f>
        <v>0</v>
      </c>
      <c r="J746" s="1385">
        <f>usage!I82</f>
        <v>0</v>
      </c>
      <c r="K746" s="63">
        <f>IFERROR(SUMIF(INTAKE!$A:$A,$T746,INTAKE!$P:$P),0)</f>
        <v>0</v>
      </c>
      <c r="L746" s="1534">
        <f t="shared" si="456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62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27" t="s">
        <v>292</v>
      </c>
      <c r="B747" s="2028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>
        <f>+SUM(J742:J746)</f>
        <v>0</v>
      </c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62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78">
        <f>IF(L756=0,"",MAX($A$16:A747)+1)</f>
        <v>43</v>
      </c>
      <c r="B748" s="2051" t="s">
        <v>1920</v>
      </c>
      <c r="C748" s="122"/>
      <c r="D748" s="887" t="s">
        <v>10</v>
      </c>
      <c r="E748" s="962">
        <v>43865</v>
      </c>
      <c r="F748" s="74">
        <f t="shared" ref="F748:F751" si="463">$L$7-E748</f>
        <v>2411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4">
        <f t="shared" si="456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62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78"/>
      <c r="B749" s="2073"/>
      <c r="C749" s="122"/>
      <c r="D749" s="887" t="s">
        <v>10</v>
      </c>
      <c r="E749" s="962">
        <v>44723</v>
      </c>
      <c r="F749" s="74">
        <f t="shared" si="463"/>
        <v>1553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4">
        <f t="shared" si="456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64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62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78"/>
      <c r="B750" s="2073"/>
      <c r="C750" s="122"/>
      <c r="D750" s="887" t="s">
        <v>10</v>
      </c>
      <c r="E750" s="962">
        <v>44755</v>
      </c>
      <c r="F750" s="74">
        <f t="shared" si="463"/>
        <v>1521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4">
        <f t="shared" si="456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64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62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78"/>
      <c r="B751" s="2073"/>
      <c r="C751" s="122"/>
      <c r="D751" s="887" t="s">
        <v>10</v>
      </c>
      <c r="E751" s="962">
        <v>45576</v>
      </c>
      <c r="F751" s="74">
        <f t="shared" si="463"/>
        <v>700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3">
        <f t="shared" si="456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64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62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8"/>
      <c r="B752" s="2073"/>
      <c r="C752" s="1215"/>
      <c r="D752" s="852" t="s">
        <v>10</v>
      </c>
      <c r="E752" s="968">
        <v>45668</v>
      </c>
      <c r="F752" s="1216">
        <f>$L$7-E752</f>
        <v>608</v>
      </c>
      <c r="G752" s="1217">
        <v>1.7053025658242404E-13</v>
      </c>
      <c r="H752" s="1217"/>
      <c r="I752" s="12"/>
      <c r="J752" s="1217"/>
      <c r="K752" s="1379"/>
      <c r="L752" s="1534">
        <f t="shared" si="456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64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62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78"/>
      <c r="B753" s="2073"/>
      <c r="C753" s="1215" t="s">
        <v>129</v>
      </c>
      <c r="D753" s="852" t="s">
        <v>10</v>
      </c>
      <c r="E753" s="968">
        <v>46206</v>
      </c>
      <c r="F753" s="1216">
        <f>$L$7-E753</f>
        <v>70</v>
      </c>
      <c r="G753" s="1217">
        <v>13028.590000000002</v>
      </c>
      <c r="H753" s="1217"/>
      <c r="I753" s="1217"/>
      <c r="J753" s="1389">
        <f>usage!I83</f>
        <v>1057.92</v>
      </c>
      <c r="K753" s="1379"/>
      <c r="L753" s="1534">
        <f t="shared" si="456"/>
        <v>11970.670000000002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64"/>
        <v>Choline Chloride (BELGIUM)LA346206</v>
      </c>
      <c r="U753" s="787"/>
      <c r="V753" s="787"/>
      <c r="W753" s="785">
        <f>IFERROR(VLOOKUP($Q753,'391'!$S:$AG,15,0),0)</f>
        <v>0</v>
      </c>
      <c r="X753" s="1090">
        <f t="shared" si="462"/>
        <v>13028.590000000002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78"/>
      <c r="B754" s="2073"/>
      <c r="C754" s="1215" t="s">
        <v>1171</v>
      </c>
      <c r="D754" s="910" t="s">
        <v>10</v>
      </c>
      <c r="E754" s="1260">
        <v>46248</v>
      </c>
      <c r="F754" s="292">
        <f>$L$7-E754</f>
        <v>28</v>
      </c>
      <c r="G754" s="1261">
        <v>21152.730000000003</v>
      </c>
      <c r="H754" s="1217"/>
      <c r="I754" s="1832"/>
      <c r="J754" s="1833"/>
      <c r="K754" s="12"/>
      <c r="L754" s="1534">
        <f t="shared" si="456"/>
        <v>21152.730000000003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64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62"/>
        <v>21152.730000000003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78"/>
      <c r="B755" s="2052"/>
      <c r="C755" s="1215" t="s">
        <v>129</v>
      </c>
      <c r="D755" s="884" t="s">
        <v>10</v>
      </c>
      <c r="E755" s="1213">
        <v>45726</v>
      </c>
      <c r="F755" s="293">
        <f>$L$7-E755</f>
        <v>550</v>
      </c>
      <c r="G755" s="1214">
        <v>0</v>
      </c>
      <c r="H755" s="1214"/>
      <c r="I755" s="1217"/>
      <c r="J755" s="1390"/>
      <c r="K755" s="1379"/>
      <c r="L755" s="1534">
        <f t="shared" si="456"/>
        <v>0</v>
      </c>
      <c r="M755" s="47"/>
      <c r="N755" s="920"/>
      <c r="O755" s="47"/>
      <c r="P755" s="740"/>
      <c r="Q755" s="666" t="s">
        <v>1246</v>
      </c>
      <c r="R755" s="785">
        <f>IFERROR(VLOOKUP($Q755,'391'!$S:$Z,8,0),"0")</f>
        <v>4249</v>
      </c>
      <c r="T755" s="787" t="str">
        <f t="shared" si="464"/>
        <v>Choline Chloride (BELGIUM)LA345726</v>
      </c>
      <c r="U755" s="787"/>
      <c r="V755" s="787"/>
      <c r="W755" s="785">
        <f>IFERROR(VLOOKUP($Q755,'391'!$S:$AG,15,0),0)</f>
        <v>37848.22</v>
      </c>
      <c r="X755" s="1090">
        <f t="shared" si="462"/>
        <v>-37848.22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27" t="s">
        <v>1560</v>
      </c>
      <c r="B756" s="2028"/>
      <c r="C756" s="88"/>
      <c r="D756" s="864"/>
      <c r="E756" s="864"/>
      <c r="F756" s="865"/>
      <c r="G756" s="1337">
        <v>34181.320000000007</v>
      </c>
      <c r="H756" s="1337">
        <f>SUM(H748:H755)</f>
        <v>0</v>
      </c>
      <c r="I756" s="1337">
        <f t="shared" ref="I756:L756" si="465">SUM(I748:I755)</f>
        <v>0</v>
      </c>
      <c r="J756" s="1337">
        <f t="shared" si="465"/>
        <v>1057.92</v>
      </c>
      <c r="K756" s="1337">
        <f t="shared" si="465"/>
        <v>0</v>
      </c>
      <c r="L756" s="1337">
        <f t="shared" si="465"/>
        <v>33123.400000000009</v>
      </c>
      <c r="M756" s="59">
        <f>IFERROR((S756/$S$2),"")</f>
        <v>944.22222222222217</v>
      </c>
      <c r="N756" s="854">
        <f>IFERROR(L756/M756,0)</f>
        <v>35.080089432807732</v>
      </c>
      <c r="O756" s="59">
        <f>IFERROR(SUMIF(ETM!$A:$A,$Q756,ETM!$E:$E),"")</f>
        <v>890</v>
      </c>
      <c r="P756" s="880">
        <f>IFERROR(L756/O756,0)</f>
        <v>37.217303370786524</v>
      </c>
      <c r="Q756" s="814" t="s">
        <v>659</v>
      </c>
      <c r="R756" s="785" t="str">
        <f>IFERROR(VLOOKUP($Q756,'391'!$S:$Z,8,0),"0")</f>
        <v>0</v>
      </c>
      <c r="S756" s="800">
        <f>+R755+R756</f>
        <v>4249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-3666.8999999999942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29">
        <f>IF(L764=0,"",MAX($A$16:A756)+1)</f>
        <v>44</v>
      </c>
      <c r="B757" s="2051" t="s">
        <v>1322</v>
      </c>
      <c r="C757" s="110" t="s">
        <v>268</v>
      </c>
      <c r="D757" s="959" t="s">
        <v>10</v>
      </c>
      <c r="E757" s="933">
        <v>44658</v>
      </c>
      <c r="F757" s="74">
        <f t="shared" ref="F757:F763" si="466">$L$7-E757</f>
        <v>1618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4">
        <f t="shared" ref="L757:L763" si="467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68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69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30"/>
      <c r="B758" s="2073"/>
      <c r="C758" s="110"/>
      <c r="D758" s="959" t="s">
        <v>10</v>
      </c>
      <c r="E758" s="933">
        <v>46022</v>
      </c>
      <c r="F758" s="74">
        <f t="shared" si="466"/>
        <v>254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3">
        <f t="shared" si="467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68"/>
        <v>Pep 12546022</v>
      </c>
      <c r="U758" s="797"/>
      <c r="V758" s="797"/>
      <c r="W758" s="785">
        <f>IFERROR(VLOOKUP($Q758,'391'!$S:$AG,15,0),0)</f>
        <v>0</v>
      </c>
      <c r="X758" s="1090">
        <f t="shared" si="469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30"/>
      <c r="B759" s="2073"/>
      <c r="C759" s="110" t="s">
        <v>1875</v>
      </c>
      <c r="D759" s="959" t="s">
        <v>10</v>
      </c>
      <c r="E759" s="933">
        <v>46247</v>
      </c>
      <c r="F759" s="74">
        <f t="shared" si="466"/>
        <v>29</v>
      </c>
      <c r="G759" s="63">
        <v>100</v>
      </c>
      <c r="H759" s="63"/>
      <c r="I759" s="63"/>
      <c r="J759" s="1378"/>
      <c r="K759" s="63">
        <f>IFERROR(SUMIF(INTAKE!$A:$A,$T759,INTAKE!$P:$P),0)</f>
        <v>0</v>
      </c>
      <c r="L759" s="1703">
        <f t="shared" si="467"/>
        <v>100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68"/>
        <v>Pep 125D246247</v>
      </c>
      <c r="U759" s="797"/>
      <c r="V759" s="797"/>
      <c r="W759" s="785">
        <f>IFERROR(VLOOKUP($Q759,'391'!$S:$AG,15,0),0)</f>
        <v>0</v>
      </c>
      <c r="X759" s="1090">
        <f t="shared" si="469"/>
        <v>100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customHeight="1" x14ac:dyDescent="0.25">
      <c r="A760" s="2030"/>
      <c r="B760" s="2073"/>
      <c r="C760" s="110" t="s">
        <v>1875</v>
      </c>
      <c r="D760" s="959" t="s">
        <v>10</v>
      </c>
      <c r="E760" s="933">
        <v>46270</v>
      </c>
      <c r="F760" s="74">
        <f t="shared" ref="F760" si="470">$L$7-E760</f>
        <v>6</v>
      </c>
      <c r="G760" s="63">
        <v>500</v>
      </c>
      <c r="H760" s="63"/>
      <c r="I760" s="63"/>
      <c r="J760" s="1378"/>
      <c r="K760" s="63">
        <f>IFERROR(SUMIF(INTAKE!$A:$A,$T760,INTAKE!$P:$P),0)</f>
        <v>0</v>
      </c>
      <c r="L760" s="1703">
        <f t="shared" si="467"/>
        <v>500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68"/>
        <v>Pep 125D246270</v>
      </c>
      <c r="U760" s="797"/>
      <c r="V760" s="797"/>
      <c r="W760" s="785">
        <f>IFERROR(VLOOKUP($Q760,'391'!$S:$AG,15,0),0)</f>
        <v>0</v>
      </c>
      <c r="X760" s="1090">
        <f t="shared" si="469"/>
        <v>500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30"/>
      <c r="B761" s="2073"/>
      <c r="C761" s="110"/>
      <c r="D761" s="959" t="s">
        <v>10</v>
      </c>
      <c r="E761" s="933">
        <v>46157</v>
      </c>
      <c r="F761" s="74">
        <f t="shared" si="466"/>
        <v>119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3">
        <f t="shared" si="467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68"/>
        <v>Pep 12546157</v>
      </c>
      <c r="U761" s="797"/>
      <c r="V761" s="797"/>
      <c r="W761" s="785">
        <f>IFERROR(VLOOKUP($Q761,'391'!$S:$AG,15,0),0)</f>
        <v>0</v>
      </c>
      <c r="X761" s="1090">
        <f t="shared" si="469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30"/>
      <c r="B762" s="2073"/>
      <c r="C762" s="110"/>
      <c r="D762" s="959" t="s">
        <v>10</v>
      </c>
      <c r="E762" s="933">
        <v>42879</v>
      </c>
      <c r="F762" s="74">
        <f t="shared" si="466"/>
        <v>3397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4">
        <f t="shared" si="467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68"/>
        <v>Pep 12542879</v>
      </c>
      <c r="U762" s="797"/>
      <c r="V762" s="797"/>
      <c r="W762" s="785">
        <f>IFERROR(VLOOKUP($Q762,'391'!$S:$AG,15,0),0)</f>
        <v>0</v>
      </c>
      <c r="X762" s="1090">
        <f t="shared" si="469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31"/>
      <c r="B763" s="2052"/>
      <c r="C763" s="61" t="s">
        <v>46</v>
      </c>
      <c r="D763" s="863" t="s">
        <v>10</v>
      </c>
      <c r="E763" s="934">
        <v>46247</v>
      </c>
      <c r="F763" s="39">
        <f t="shared" si="466"/>
        <v>29</v>
      </c>
      <c r="G763" s="37">
        <v>98.799999999999983</v>
      </c>
      <c r="H763" s="37"/>
      <c r="I763" s="37">
        <f>SUM(K757:K761)</f>
        <v>0</v>
      </c>
      <c r="J763" s="1385">
        <f>+usage!I109</f>
        <v>12.55</v>
      </c>
      <c r="K763" s="63">
        <f>IFERROR(SUMIF(INTAKE!$A:$A,$T763,INTAKE!$P:$P),0)</f>
        <v>0</v>
      </c>
      <c r="L763" s="1534">
        <f t="shared" si="467"/>
        <v>86.249999999999986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68"/>
        <v>Pep 125Feedmill46247</v>
      </c>
      <c r="U763" s="797"/>
      <c r="V763" s="797"/>
      <c r="W763" s="785">
        <f>IFERROR(VLOOKUP($Q763,'391'!$S:$AG,15,0),0)</f>
        <v>0</v>
      </c>
      <c r="X763" s="1090">
        <f t="shared" si="469"/>
        <v>98.799999999999983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27" t="s">
        <v>95</v>
      </c>
      <c r="B764" s="2028"/>
      <c r="C764" s="88"/>
      <c r="D764" s="900"/>
      <c r="E764" s="864"/>
      <c r="F764" s="865"/>
      <c r="G764" s="1297">
        <v>698.8</v>
      </c>
      <c r="H764" s="1297">
        <f t="shared" ref="H764:L764" si="471">SUM(H757:H763)</f>
        <v>0</v>
      </c>
      <c r="I764" s="1297">
        <f t="shared" si="471"/>
        <v>0</v>
      </c>
      <c r="J764" s="1297">
        <f t="shared" si="471"/>
        <v>12.55</v>
      </c>
      <c r="K764" s="1297">
        <f t="shared" si="471"/>
        <v>0</v>
      </c>
      <c r="L764" s="1297">
        <f t="shared" si="471"/>
        <v>686.25</v>
      </c>
      <c r="M764" s="59">
        <f>IFERROR((R764/$S$2),"")</f>
        <v>32.975555555555559</v>
      </c>
      <c r="N764" s="366">
        <f>IFERROR(L764/M764,0)</f>
        <v>20.810870004717298</v>
      </c>
      <c r="O764" s="59">
        <f>IFERROR(SUMIF(ETM!$A:$A,$Q764,ETM!$E:$E),"")</f>
        <v>26.666666666666668</v>
      </c>
      <c r="P764" s="880">
        <f>IFERROR(L764/O764,0)</f>
        <v>25.734375</v>
      </c>
      <c r="Q764" s="814" t="s">
        <v>660</v>
      </c>
      <c r="R764" s="785">
        <f>IFERROR(VLOOKUP($Q764,'391'!$S:$Z,8,0),"")</f>
        <v>148.39000000000001</v>
      </c>
      <c r="S764" s="796"/>
      <c r="T764" s="797"/>
      <c r="U764" s="797"/>
      <c r="V764" s="797"/>
      <c r="W764" s="785">
        <f>IFERROR(VLOOKUP($Q764,'391'!$S:$AG,15,0),0)</f>
        <v>828.57</v>
      </c>
      <c r="X764" s="1090">
        <f t="shared" si="469"/>
        <v>-129.7700000000001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29">
        <f>IF(L773=0,"",MAX($A$16:A764)+1)</f>
        <v>45</v>
      </c>
      <c r="B765" s="2051" t="s">
        <v>262</v>
      </c>
      <c r="C765" s="1763"/>
      <c r="D765" s="963" t="s">
        <v>10</v>
      </c>
      <c r="E765" s="964">
        <v>46109</v>
      </c>
      <c r="F765" s="362">
        <f t="shared" ref="F765:F768" si="472">$L$7-E765</f>
        <v>167</v>
      </c>
      <c r="G765" s="1764">
        <v>0</v>
      </c>
      <c r="H765" s="1764"/>
      <c r="I765" s="1764"/>
      <c r="J765" s="1765"/>
      <c r="K765" s="1370">
        <f>IFERROR(SUMIF(INTAKE!$A:$A,$T765,INTAKE!$P:$P),0)</f>
        <v>0</v>
      </c>
      <c r="L765" s="1703">
        <f t="shared" ref="L765:L772" si="473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69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30"/>
      <c r="B766" s="2073"/>
      <c r="C766" s="1763"/>
      <c r="D766" s="963" t="s">
        <v>10</v>
      </c>
      <c r="E766" s="964">
        <v>46127</v>
      </c>
      <c r="F766" s="362">
        <f t="shared" si="472"/>
        <v>149</v>
      </c>
      <c r="G766" s="1764">
        <v>0</v>
      </c>
      <c r="H766" s="1764"/>
      <c r="I766" s="1764"/>
      <c r="J766" s="1765"/>
      <c r="K766" s="1370">
        <f>IFERROR(SUMIF(INTAKE!$A:$A,$T766,INTAKE!$P:$P),0)</f>
        <v>0</v>
      </c>
      <c r="L766" s="1703">
        <f t="shared" si="473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74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69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30"/>
      <c r="B767" s="2073"/>
      <c r="C767" s="1763" t="s">
        <v>1308</v>
      </c>
      <c r="D767" s="963" t="s">
        <v>10</v>
      </c>
      <c r="E767" s="964">
        <v>46259</v>
      </c>
      <c r="F767" s="362">
        <f t="shared" ref="F767" si="475">$L$7-E767</f>
        <v>17</v>
      </c>
      <c r="G767" s="1764">
        <v>6000</v>
      </c>
      <c r="H767" s="1764"/>
      <c r="I767" s="1764"/>
      <c r="J767" s="1765"/>
      <c r="K767" s="1370">
        <f>IFERROR(SUMIF(INTAKE!$A:$A,$T767,INTAKE!$P:$P),0)</f>
        <v>3000</v>
      </c>
      <c r="L767" s="1712">
        <f t="shared" si="473"/>
        <v>3000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74"/>
        <v>Zinc OxideZ2.146259</v>
      </c>
      <c r="U767" s="797"/>
      <c r="V767" s="797"/>
      <c r="W767" s="785">
        <f>IFERROR(VLOOKUP($Q767,'391'!$S:$AG,15,0),0)</f>
        <v>0</v>
      </c>
      <c r="X767" s="1090">
        <f t="shared" si="469"/>
        <v>6000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30"/>
      <c r="B768" s="2077"/>
      <c r="C768" s="1763" t="s">
        <v>1622</v>
      </c>
      <c r="D768" s="963" t="s">
        <v>10</v>
      </c>
      <c r="E768" s="964">
        <v>46273</v>
      </c>
      <c r="F768" s="362">
        <f t="shared" si="472"/>
        <v>3</v>
      </c>
      <c r="G768" s="1764">
        <v>5000</v>
      </c>
      <c r="H768" s="1764"/>
      <c r="I768" s="1764"/>
      <c r="J768" s="1765"/>
      <c r="K768" s="1370">
        <f>IFERROR(SUMIF(INTAKE!$A:$A,$T768,INTAKE!$P:$P),0)</f>
        <v>0</v>
      </c>
      <c r="L768" s="1703">
        <f t="shared" si="473"/>
        <v>5000</v>
      </c>
      <c r="M768" s="1766"/>
      <c r="N768" s="1766"/>
      <c r="O768" s="1766"/>
      <c r="P768" s="1767"/>
      <c r="Q768" s="795"/>
      <c r="R768" s="785"/>
      <c r="S768" s="796"/>
      <c r="T768" s="797" t="str">
        <f t="shared" si="474"/>
        <v>Zinc OxideV2.246273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30"/>
      <c r="B769" s="2077"/>
      <c r="C769" s="1763"/>
      <c r="D769" s="963" t="s">
        <v>10</v>
      </c>
      <c r="E769" s="964">
        <v>46259</v>
      </c>
      <c r="F769" s="362">
        <f t="shared" ref="F769" si="476">$L$7-E769</f>
        <v>17</v>
      </c>
      <c r="G769" s="1764">
        <v>0</v>
      </c>
      <c r="H769" s="1764"/>
      <c r="I769" s="1764"/>
      <c r="J769" s="1765"/>
      <c r="K769" s="1370">
        <f>IFERROR(SUMIF(INTAKE!$A:$A,$T769,INTAKE!$P:$P),0)</f>
        <v>0</v>
      </c>
      <c r="L769" s="1703">
        <f t="shared" si="473"/>
        <v>0</v>
      </c>
      <c r="M769" s="1766"/>
      <c r="N769" s="1766"/>
      <c r="O769" s="1766"/>
      <c r="P769" s="1767"/>
      <c r="Q769" s="795"/>
      <c r="R769" s="785"/>
      <c r="S769" s="796"/>
      <c r="T769" s="797" t="str">
        <f t="shared" si="474"/>
        <v>Zinc Oxide46259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hidden="1" customHeight="1" x14ac:dyDescent="0.25">
      <c r="A770" s="2030"/>
      <c r="B770" s="2077"/>
      <c r="C770" s="1763"/>
      <c r="D770" s="963" t="s">
        <v>10</v>
      </c>
      <c r="E770" s="964">
        <v>46259</v>
      </c>
      <c r="F770" s="362">
        <f t="shared" ref="F770" si="477">$L$7-E770</f>
        <v>17</v>
      </c>
      <c r="G770" s="1764">
        <v>0</v>
      </c>
      <c r="H770" s="1764"/>
      <c r="I770" s="1764"/>
      <c r="J770" s="1765"/>
      <c r="K770" s="1370">
        <f>IFERROR(SUMIF(INTAKE!$A:$A,$T770,INTAKE!$P:$P),0)</f>
        <v>0</v>
      </c>
      <c r="L770" s="1703">
        <f t="shared" ref="L770" si="478">+G770+H770+I770-J770-K770</f>
        <v>0</v>
      </c>
      <c r="M770" s="1766"/>
      <c r="N770" s="1766"/>
      <c r="O770" s="1766"/>
      <c r="P770" s="1767"/>
      <c r="Q770" s="795"/>
      <c r="R770" s="785"/>
      <c r="S770" s="796"/>
      <c r="T770" s="797" t="str">
        <f t="shared" si="474"/>
        <v>Zinc Oxide46259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30"/>
      <c r="B771" s="2077"/>
      <c r="C771" s="1763"/>
      <c r="D771" s="963" t="s">
        <v>10</v>
      </c>
      <c r="E771" s="964">
        <v>45909</v>
      </c>
      <c r="F771" s="362">
        <f t="shared" ref="F771:F772" si="479">$L$7-E771</f>
        <v>367</v>
      </c>
      <c r="G771" s="1764">
        <v>0</v>
      </c>
      <c r="H771" s="1764"/>
      <c r="I771" s="1764"/>
      <c r="J771" s="1765"/>
      <c r="K771" s="1370">
        <f>IFERROR(SUMIF(INTAKE!$A:$A,$T771,INTAKE!$P:$P),0)</f>
        <v>0</v>
      </c>
      <c r="L771" s="1703">
        <f t="shared" si="473"/>
        <v>0</v>
      </c>
      <c r="M771" s="1766"/>
      <c r="N771" s="1766"/>
      <c r="O771" s="1766"/>
      <c r="P771" s="1767"/>
      <c r="Q771" s="795"/>
      <c r="R771" s="785"/>
      <c r="S771" s="796"/>
      <c r="T771" s="797" t="str">
        <f t="shared" si="474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30"/>
      <c r="B772" s="2073"/>
      <c r="C772" s="194" t="s">
        <v>46</v>
      </c>
      <c r="D772" s="965" t="s">
        <v>10</v>
      </c>
      <c r="E772" s="966">
        <v>46259</v>
      </c>
      <c r="F772" s="967">
        <f t="shared" si="479"/>
        <v>17</v>
      </c>
      <c r="G772" s="1391">
        <v>844.8</v>
      </c>
      <c r="H772" s="1370"/>
      <c r="I772" s="1391">
        <f>+SUM(K765:K771)</f>
        <v>3000</v>
      </c>
      <c r="J772" s="1391">
        <f>+usage!I129</f>
        <v>278.2</v>
      </c>
      <c r="K772" s="1370">
        <f>IFERROR(SUMIF(INTAKE!$A:$A,$T772,INTAKE!$P:$P),0)</f>
        <v>0</v>
      </c>
      <c r="L772" s="1534">
        <f t="shared" si="473"/>
        <v>3566.6000000000004</v>
      </c>
      <c r="M772" s="173"/>
      <c r="N772" s="173"/>
      <c r="O772" s="173"/>
      <c r="P772" s="754"/>
      <c r="Q772" s="666" t="s">
        <v>1614</v>
      </c>
      <c r="R772" s="785" t="str">
        <f>IFERROR(VLOOKUP($Q772,'391'!$S:$Z,8,0),"0")</f>
        <v>0</v>
      </c>
      <c r="S772" s="819">
        <f>+R772+R773</f>
        <v>3472.15</v>
      </c>
      <c r="T772" s="797" t="str">
        <f t="shared" si="474"/>
        <v>Zinc OxideFeedmill46259</v>
      </c>
      <c r="U772" s="797"/>
      <c r="V772" s="797"/>
      <c r="W772" s="785">
        <f>IFERROR(VLOOKUP($Q772,'391'!$S:$AG,15,0),0)</f>
        <v>0</v>
      </c>
      <c r="X772" s="1090">
        <f t="shared" si="469"/>
        <v>844.8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27" t="s">
        <v>37</v>
      </c>
      <c r="B773" s="2028"/>
      <c r="C773" s="88"/>
      <c r="D773" s="864"/>
      <c r="E773" s="864"/>
      <c r="F773" s="865"/>
      <c r="G773" s="1297">
        <v>11844.8</v>
      </c>
      <c r="H773" s="1297">
        <f t="shared" ref="H773:L773" si="480">SUM(H765:H772)</f>
        <v>0</v>
      </c>
      <c r="I773" s="1297">
        <f t="shared" si="480"/>
        <v>3000</v>
      </c>
      <c r="J773" s="1297">
        <f t="shared" si="480"/>
        <v>278.2</v>
      </c>
      <c r="K773" s="1297">
        <f t="shared" si="480"/>
        <v>3000</v>
      </c>
      <c r="L773" s="1297">
        <f t="shared" si="480"/>
        <v>11566.6</v>
      </c>
      <c r="M773" s="59">
        <f>IFERROR((S772/$S$2),"")</f>
        <v>771.58888888888896</v>
      </c>
      <c r="N773" s="854">
        <f>IFERROR(L773/M773,0)</f>
        <v>14.990625405008423</v>
      </c>
      <c r="O773" s="59">
        <f>IFERROR(SUMIF(ETM!$A:$A,$Q773,ETM!$E:$E),"")</f>
        <v>670.16666666666674</v>
      </c>
      <c r="P773" s="880">
        <f>IFERROR(L773/O773,0)</f>
        <v>17.259288734145734</v>
      </c>
      <c r="Q773" s="814" t="s">
        <v>262</v>
      </c>
      <c r="R773" s="785">
        <f>IFERROR(VLOOKUP($Q773,'391'!$S:$Z,8,0),"")</f>
        <v>3472.15</v>
      </c>
      <c r="S773" s="796"/>
      <c r="T773" s="797"/>
      <c r="U773" s="797"/>
      <c r="V773" s="797"/>
      <c r="W773" s="785">
        <f>IFERROR(VLOOKUP($Q773,'391'!$S:$AG,15,0),0)</f>
        <v>10160.85</v>
      </c>
      <c r="X773" s="1090">
        <f t="shared" si="469"/>
        <v>1683.9499999999989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29">
        <f>IF(L782=0,"",MAX($A$16:A773)+1)</f>
        <v>46</v>
      </c>
      <c r="B774" s="2098" t="s">
        <v>1909</v>
      </c>
      <c r="C774" s="160"/>
      <c r="D774" s="959" t="s">
        <v>10</v>
      </c>
      <c r="E774" s="935">
        <v>45295</v>
      </c>
      <c r="F774" s="75">
        <f t="shared" ref="F774:F781" si="481">$L$7-E774</f>
        <v>981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4">
        <f t="shared" ref="L774:L781" si="482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69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30"/>
      <c r="B775" s="2099"/>
      <c r="C775" s="160"/>
      <c r="D775" s="959" t="s">
        <v>10</v>
      </c>
      <c r="E775" s="935">
        <v>45755</v>
      </c>
      <c r="F775" s="75">
        <f t="shared" si="481"/>
        <v>521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3">
        <f t="shared" si="482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83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69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30"/>
      <c r="B776" s="2099"/>
      <c r="C776" s="160"/>
      <c r="D776" s="959" t="s">
        <v>10</v>
      </c>
      <c r="E776" s="935">
        <v>45771</v>
      </c>
      <c r="F776" s="75">
        <f t="shared" ref="F776:F780" si="484">$L$7-E776</f>
        <v>505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3">
        <f t="shared" si="482"/>
        <v>0</v>
      </c>
      <c r="M776" s="48"/>
      <c r="N776" s="163"/>
      <c r="O776" s="48"/>
      <c r="P776" s="750"/>
      <c r="Q776" s="666" t="s">
        <v>1391</v>
      </c>
      <c r="R776" s="785">
        <f>IFERROR(VLOOKUP($Q776,'391'!$S:$Z,8,0),"0")</f>
        <v>806.87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3011.63</v>
      </c>
      <c r="X776" s="1090">
        <f t="shared" si="469"/>
        <v>-3011.63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30"/>
      <c r="B777" s="2099"/>
      <c r="C777" s="160"/>
      <c r="D777" s="959" t="s">
        <v>10</v>
      </c>
      <c r="E777" s="935">
        <v>46211</v>
      </c>
      <c r="F777" s="75">
        <f t="shared" si="484"/>
        <v>65</v>
      </c>
      <c r="G777" s="1897">
        <v>0</v>
      </c>
      <c r="H777" s="1897"/>
      <c r="I777" s="1897"/>
      <c r="J777" s="1898"/>
      <c r="K777" s="64">
        <f>IFERROR(SUMIF(INTAKE!$A:$A,$T777,INTAKE!$P:$P),0)</f>
        <v>0</v>
      </c>
      <c r="L777" s="1703">
        <f t="shared" si="482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69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30"/>
      <c r="B778" s="2099"/>
      <c r="C778" s="160" t="s">
        <v>1313</v>
      </c>
      <c r="D778" s="959" t="s">
        <v>10</v>
      </c>
      <c r="E778" s="935">
        <v>46254</v>
      </c>
      <c r="F778" s="75">
        <f t="shared" ref="F778:F779" si="485">$L$7-E778</f>
        <v>22</v>
      </c>
      <c r="G778" s="1897">
        <v>1575</v>
      </c>
      <c r="H778" s="1897"/>
      <c r="I778" s="1897"/>
      <c r="J778" s="1898"/>
      <c r="K778" s="64">
        <f>IFERROR(SUMIF(INTAKE!$A:$A,$T778,INTAKE!$P:$P),0)</f>
        <v>125</v>
      </c>
      <c r="L778" s="1703">
        <f t="shared" si="482"/>
        <v>1450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69"/>
        <v>1575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30"/>
      <c r="B779" s="2099"/>
      <c r="C779" s="160" t="s">
        <v>1249</v>
      </c>
      <c r="D779" s="959" t="s">
        <v>10</v>
      </c>
      <c r="E779" s="935">
        <v>46262</v>
      </c>
      <c r="F779" s="75">
        <f t="shared" si="485"/>
        <v>14</v>
      </c>
      <c r="G779" s="1897">
        <v>1000</v>
      </c>
      <c r="H779" s="1897"/>
      <c r="I779" s="1897"/>
      <c r="J779" s="1898"/>
      <c r="K779" s="64">
        <f>IFERROR(SUMIF(INTAKE!$A:$A,$T779,INTAKE!$P:$P),0)</f>
        <v>0</v>
      </c>
      <c r="L779" s="1703">
        <f t="shared" si="482"/>
        <v>1000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69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hidden="1" customHeight="1" x14ac:dyDescent="0.25">
      <c r="A780" s="2030"/>
      <c r="B780" s="2100"/>
      <c r="C780" s="160"/>
      <c r="D780" s="959" t="s">
        <v>10</v>
      </c>
      <c r="E780" s="935">
        <v>46262</v>
      </c>
      <c r="F780" s="75">
        <f t="shared" si="484"/>
        <v>14</v>
      </c>
      <c r="G780" s="1897">
        <v>0</v>
      </c>
      <c r="H780" s="1897"/>
      <c r="I780" s="1897"/>
      <c r="J780" s="1898"/>
      <c r="K780" s="64">
        <f>IFERROR(SUMIF(INTAKE!$A:$A,$T780,INTAKE!$P:$P),0)</f>
        <v>0</v>
      </c>
      <c r="L780" s="1703">
        <f t="shared" si="482"/>
        <v>0</v>
      </c>
      <c r="M780" s="1487"/>
      <c r="N780" s="1487"/>
      <c r="O780" s="1487"/>
      <c r="P780" s="1899"/>
      <c r="Q780" s="784"/>
      <c r="R780" s="785"/>
      <c r="S780" s="796"/>
      <c r="T780" s="797" t="str">
        <f>$Q$776&amp;C780&amp;E780</f>
        <v>TIAMULIN FUMARATE PREMIX 80% (China)46262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31"/>
      <c r="B781" s="2101"/>
      <c r="C781" s="106" t="s">
        <v>46</v>
      </c>
      <c r="D781" s="850" t="s">
        <v>10</v>
      </c>
      <c r="E781" s="968">
        <v>46254</v>
      </c>
      <c r="F781" s="283">
        <f t="shared" si="481"/>
        <v>22</v>
      </c>
      <c r="G781" s="58">
        <v>100.76</v>
      </c>
      <c r="H781" s="58"/>
      <c r="I781" s="58">
        <f>SUM(K774:K780)</f>
        <v>125</v>
      </c>
      <c r="J781" s="1365">
        <f>usage!I141</f>
        <v>50.85</v>
      </c>
      <c r="K781" s="64">
        <f>IFERROR(SUMIF(INTAKE!$A:$A,$T781,INTAKE!$P:$P),0)</f>
        <v>0</v>
      </c>
      <c r="L781" s="1534">
        <f t="shared" si="482"/>
        <v>174.91</v>
      </c>
      <c r="M781" s="47"/>
      <c r="N781" s="47"/>
      <c r="O781" s="47"/>
      <c r="P781" s="740"/>
      <c r="Q781" s="666" t="s">
        <v>1279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69"/>
        <v>100.76</v>
      </c>
      <c r="Y781" s="1088">
        <f>+W781+W778+W779+W776+W782</f>
        <v>3011.63</v>
      </c>
      <c r="Z781" s="1091">
        <f>+G782-Y781</f>
        <v>-335.86999999999989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27" t="s">
        <v>948</v>
      </c>
      <c r="B782" s="2028"/>
      <c r="C782" s="88"/>
      <c r="D782" s="864"/>
      <c r="E782" s="864"/>
      <c r="F782" s="865"/>
      <c r="G782" s="1297">
        <v>2675.76</v>
      </c>
      <c r="H782" s="1344">
        <f>SUM(H774:H781)</f>
        <v>0</v>
      </c>
      <c r="I782" s="1297">
        <f>SUM(I774:I781)</f>
        <v>125</v>
      </c>
      <c r="J782" s="1297">
        <f t="shared" ref="J782:K782" si="486">SUM(J774:J781)</f>
        <v>50.85</v>
      </c>
      <c r="K782" s="1297">
        <f t="shared" si="486"/>
        <v>125</v>
      </c>
      <c r="L782" s="1297">
        <f>SUM(L774:L781)</f>
        <v>2624.91</v>
      </c>
      <c r="M782" s="59">
        <f>+IFERROR(S782/$S$2,"")</f>
        <v>179.30444444444444</v>
      </c>
      <c r="N782" s="854">
        <f>IFERROR(L782/M782,0)</f>
        <v>14.639402877787003</v>
      </c>
      <c r="O782" s="59">
        <f>IFERROR(SUMIF(ETM!$A:$A,$Q782,ETM!$E:$E),"")</f>
        <v>184.00000000000003</v>
      </c>
      <c r="P782" s="880">
        <f>IFERROR(L782/O782,0)</f>
        <v>14.265815217391301</v>
      </c>
      <c r="Q782" s="818" t="s">
        <v>834</v>
      </c>
      <c r="R782" s="785" t="str">
        <f>IFERROR(VLOOKUP($Q782,'391'!$S:$Z,8,0),"0")</f>
        <v>0</v>
      </c>
      <c r="S782" s="819">
        <f>+R782+R781+R779+R776</f>
        <v>806.87</v>
      </c>
      <c r="T782" s="797"/>
      <c r="U782" s="797"/>
      <c r="V782" s="797"/>
      <c r="W782" s="785">
        <f>IFERROR(VLOOKUP($Q782,'391'!$S:$AG,15,0),0)</f>
        <v>0</v>
      </c>
      <c r="X782" s="1090">
        <f t="shared" si="469"/>
        <v>2675.76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29" t="str">
        <f>IF(L788=0,"",MAX($A$16:A782)+1)</f>
        <v/>
      </c>
      <c r="B783" s="2098" t="s">
        <v>915</v>
      </c>
      <c r="C783" s="1197" t="s">
        <v>1213</v>
      </c>
      <c r="D783" s="959" t="s">
        <v>10</v>
      </c>
      <c r="E783" s="935">
        <v>45282</v>
      </c>
      <c r="F783" s="75">
        <f>$L$7-E783</f>
        <v>994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4">
        <f t="shared" ref="L783:L813" si="487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69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30"/>
      <c r="B784" s="2099"/>
      <c r="C784" s="1197"/>
      <c r="D784" s="959" t="s">
        <v>10</v>
      </c>
      <c r="E784" s="935">
        <v>45282</v>
      </c>
      <c r="F784" s="75">
        <f>$L$7-E784</f>
        <v>994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4">
        <f t="shared" si="487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69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30"/>
      <c r="B785" s="2099"/>
      <c r="C785" s="1197"/>
      <c r="D785" s="959" t="s">
        <v>10</v>
      </c>
      <c r="E785" s="935">
        <v>45177</v>
      </c>
      <c r="F785" s="75">
        <f>$L$7-E785</f>
        <v>1099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4">
        <f t="shared" si="487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69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30"/>
      <c r="B786" s="2100"/>
      <c r="C786" s="1197"/>
      <c r="D786" s="959" t="s">
        <v>10</v>
      </c>
      <c r="E786" s="935">
        <v>44805</v>
      </c>
      <c r="F786" s="75">
        <f>$L$7-E786</f>
        <v>1471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4">
        <f t="shared" si="487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69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31"/>
      <c r="B787" s="2101"/>
      <c r="C787" s="106" t="s">
        <v>46</v>
      </c>
      <c r="D787" s="850" t="s">
        <v>10</v>
      </c>
      <c r="E787" s="968">
        <v>45282</v>
      </c>
      <c r="F787" s="283">
        <f>$L$7-E787</f>
        <v>994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4">
        <f t="shared" si="487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69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27" t="s">
        <v>916</v>
      </c>
      <c r="B788" s="2028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88">SUM(J783:J787)</f>
        <v>0</v>
      </c>
      <c r="K788" s="1297">
        <f t="shared" si="488"/>
        <v>0</v>
      </c>
      <c r="L788" s="1534">
        <f t="shared" si="487"/>
        <v>0</v>
      </c>
      <c r="M788" s="59">
        <f>M782</f>
        <v>179.30444444444444</v>
      </c>
      <c r="N788" s="854">
        <f>IFERROR(L788/M788,0)</f>
        <v>0</v>
      </c>
      <c r="O788" s="59">
        <f>O782</f>
        <v>184.00000000000003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69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29" t="str">
        <f>IF(L796=0,"",MAX($A$16:A788)+1)</f>
        <v/>
      </c>
      <c r="B789" s="2032" t="s">
        <v>238</v>
      </c>
      <c r="C789" s="160" t="s">
        <v>1177</v>
      </c>
      <c r="D789" s="959" t="s">
        <v>10</v>
      </c>
      <c r="E789" s="935">
        <v>44902</v>
      </c>
      <c r="F789" s="75">
        <f t="shared" ref="F789:F795" si="489">$L$7-E789</f>
        <v>1374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4">
        <f t="shared" si="487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0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69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30"/>
      <c r="B790" s="2033"/>
      <c r="C790" s="160" t="s">
        <v>524</v>
      </c>
      <c r="D790" s="959" t="s">
        <v>10</v>
      </c>
      <c r="E790" s="935">
        <v>44281</v>
      </c>
      <c r="F790" s="75">
        <f t="shared" si="489"/>
        <v>1995</v>
      </c>
      <c r="G790" s="64">
        <v>0</v>
      </c>
      <c r="H790" s="64"/>
      <c r="I790" s="64"/>
      <c r="J790" s="1367"/>
      <c r="K790" s="64"/>
      <c r="L790" s="1534">
        <f t="shared" si="487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0"/>
        <v>Pulmotil PremixX044281</v>
      </c>
      <c r="U790" s="797"/>
      <c r="V790" s="797"/>
      <c r="W790" s="785">
        <f>IFERROR(VLOOKUP($Q790,'391'!$S:$AG,15,0),0)</f>
        <v>0</v>
      </c>
      <c r="X790" s="1090">
        <f t="shared" si="469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30"/>
      <c r="B791" s="2033"/>
      <c r="C791" s="160" t="s">
        <v>524</v>
      </c>
      <c r="D791" s="959" t="s">
        <v>10</v>
      </c>
      <c r="E791" s="935">
        <v>44281</v>
      </c>
      <c r="F791" s="75">
        <f t="shared" si="489"/>
        <v>1995</v>
      </c>
      <c r="G791" s="64">
        <v>0</v>
      </c>
      <c r="H791" s="64"/>
      <c r="I791" s="64"/>
      <c r="J791" s="1367"/>
      <c r="K791" s="64"/>
      <c r="L791" s="1534">
        <f t="shared" si="487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0"/>
        <v>Pulmotil PremixX044281</v>
      </c>
      <c r="U791" s="797"/>
      <c r="V791" s="797"/>
      <c r="W791" s="785">
        <f>IFERROR(VLOOKUP($Q791,'391'!$S:$AG,15,0),0)</f>
        <v>0</v>
      </c>
      <c r="X791" s="1090">
        <f t="shared" si="469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30"/>
      <c r="B792" s="2033"/>
      <c r="C792" s="160" t="s">
        <v>524</v>
      </c>
      <c r="D792" s="959" t="s">
        <v>10</v>
      </c>
      <c r="E792" s="935">
        <v>44216</v>
      </c>
      <c r="F792" s="75">
        <f t="shared" si="489"/>
        <v>2060</v>
      </c>
      <c r="G792" s="64">
        <v>0</v>
      </c>
      <c r="H792" s="64"/>
      <c r="I792" s="64"/>
      <c r="J792" s="1367"/>
      <c r="K792" s="64"/>
      <c r="L792" s="1534">
        <f t="shared" si="487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0"/>
        <v>Pulmotil PremixX044216</v>
      </c>
      <c r="U792" s="797"/>
      <c r="V792" s="797"/>
      <c r="W792" s="785">
        <f>IFERROR(VLOOKUP($Q792,'391'!$S:$AG,15,0),0)</f>
        <v>0</v>
      </c>
      <c r="X792" s="1090">
        <f t="shared" si="469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30"/>
      <c r="B793" s="2033"/>
      <c r="C793" s="160" t="s">
        <v>227</v>
      </c>
      <c r="D793" s="959" t="s">
        <v>10</v>
      </c>
      <c r="E793" s="935">
        <v>43553</v>
      </c>
      <c r="F793" s="75">
        <f t="shared" si="489"/>
        <v>2723</v>
      </c>
      <c r="G793" s="64">
        <v>0</v>
      </c>
      <c r="H793" s="64"/>
      <c r="I793" s="64"/>
      <c r="J793" s="1367"/>
      <c r="K793" s="64"/>
      <c r="L793" s="1534">
        <f t="shared" si="487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0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69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30"/>
      <c r="B794" s="2033"/>
      <c r="C794" s="160" t="s">
        <v>283</v>
      </c>
      <c r="D794" s="959" t="s">
        <v>10</v>
      </c>
      <c r="E794" s="935">
        <v>43021</v>
      </c>
      <c r="F794" s="75">
        <f t="shared" si="489"/>
        <v>3255</v>
      </c>
      <c r="G794" s="64">
        <v>0</v>
      </c>
      <c r="H794" s="64"/>
      <c r="I794" s="64"/>
      <c r="J794" s="1367"/>
      <c r="K794" s="64"/>
      <c r="L794" s="1534">
        <f t="shared" si="487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0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91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31"/>
      <c r="B795" s="2034"/>
      <c r="C795" s="106" t="s">
        <v>46</v>
      </c>
      <c r="D795" s="850" t="s">
        <v>10</v>
      </c>
      <c r="E795" s="968">
        <v>44902</v>
      </c>
      <c r="F795" s="283">
        <f t="shared" si="489"/>
        <v>1374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4">
        <f t="shared" si="487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0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91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27" t="s">
        <v>222</v>
      </c>
      <c r="B796" s="2028"/>
      <c r="C796" s="88"/>
      <c r="D796" s="864"/>
      <c r="E796" s="864"/>
      <c r="F796" s="865"/>
      <c r="G796" s="1337">
        <v>0</v>
      </c>
      <c r="H796" s="1337">
        <f t="shared" ref="H796:K796" si="492">SUM(H789:H795)</f>
        <v>0</v>
      </c>
      <c r="I796" s="1337">
        <f t="shared" si="492"/>
        <v>0</v>
      </c>
      <c r="J796" s="1337">
        <f t="shared" si="492"/>
        <v>0</v>
      </c>
      <c r="K796" s="1337">
        <f t="shared" si="492"/>
        <v>0</v>
      </c>
      <c r="L796" s="1534">
        <f t="shared" si="487"/>
        <v>0</v>
      </c>
      <c r="M796" s="59">
        <f>IFERROR((S796/$S$2),"")</f>
        <v>24.266666666666666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109.2</v>
      </c>
      <c r="T796" s="797"/>
      <c r="U796" s="797"/>
      <c r="V796" s="797"/>
      <c r="W796" s="785">
        <f>IFERROR(VLOOKUP($Q796,'391'!$S:$AG,15,0),0)</f>
        <v>0</v>
      </c>
      <c r="X796" s="1090">
        <f t="shared" si="491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29" t="str">
        <f>IF(L802=0,"",MAX($A$16:A796)+1)</f>
        <v/>
      </c>
      <c r="B797" s="2032" t="s">
        <v>875</v>
      </c>
      <c r="C797" s="160" t="s">
        <v>1313</v>
      </c>
      <c r="D797" s="959" t="s">
        <v>10</v>
      </c>
      <c r="E797" s="935">
        <v>45787</v>
      </c>
      <c r="F797" s="75">
        <f>$L$7-E797</f>
        <v>489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4">
        <f t="shared" si="487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91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30"/>
      <c r="B798" s="2033"/>
      <c r="C798" s="160"/>
      <c r="D798" s="959" t="s">
        <v>10</v>
      </c>
      <c r="E798" s="935">
        <v>44274</v>
      </c>
      <c r="F798" s="75">
        <f>$L$7-E798</f>
        <v>2002</v>
      </c>
      <c r="G798" s="64">
        <v>0</v>
      </c>
      <c r="H798" s="64"/>
      <c r="I798" s="64"/>
      <c r="J798" s="1367"/>
      <c r="K798" s="64"/>
      <c r="L798" s="1534">
        <f t="shared" si="487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91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30"/>
      <c r="B799" s="2033"/>
      <c r="C799" s="160"/>
      <c r="D799" s="959" t="s">
        <v>10</v>
      </c>
      <c r="E799" s="935">
        <v>44281</v>
      </c>
      <c r="F799" s="75">
        <f>$L$7-E799</f>
        <v>1995</v>
      </c>
      <c r="G799" s="64">
        <v>0</v>
      </c>
      <c r="H799" s="64"/>
      <c r="I799" s="64"/>
      <c r="J799" s="1367"/>
      <c r="K799" s="64"/>
      <c r="L799" s="1534">
        <f t="shared" si="487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91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30"/>
      <c r="B800" s="2033"/>
      <c r="C800" s="160"/>
      <c r="D800" s="959" t="s">
        <v>10</v>
      </c>
      <c r="E800" s="935">
        <v>44216</v>
      </c>
      <c r="F800" s="75">
        <f>$L$7-E800</f>
        <v>2060</v>
      </c>
      <c r="G800" s="64">
        <v>0</v>
      </c>
      <c r="H800" s="64"/>
      <c r="I800" s="64"/>
      <c r="J800" s="1367"/>
      <c r="K800" s="64"/>
      <c r="L800" s="1534">
        <f t="shared" si="487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91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31"/>
      <c r="B801" s="2034"/>
      <c r="C801" s="106" t="s">
        <v>46</v>
      </c>
      <c r="D801" s="850" t="s">
        <v>10</v>
      </c>
      <c r="E801" s="968">
        <v>45787</v>
      </c>
      <c r="F801" s="283">
        <f>$L$7-E801</f>
        <v>489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4">
        <f t="shared" si="487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91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27" t="s">
        <v>876</v>
      </c>
      <c r="B802" s="2028"/>
      <c r="C802" s="88"/>
      <c r="D802" s="864"/>
      <c r="E802" s="864"/>
      <c r="F802" s="865"/>
      <c r="G802" s="1337">
        <v>0</v>
      </c>
      <c r="H802" s="1337">
        <f t="shared" ref="H802:I802" si="493">SUM(H797:H801)</f>
        <v>0</v>
      </c>
      <c r="I802" s="1337">
        <f t="shared" si="493"/>
        <v>0</v>
      </c>
      <c r="J802" s="1337">
        <f t="shared" ref="J802:L802" si="494">SUM(J797:J801)</f>
        <v>0</v>
      </c>
      <c r="K802" s="1337">
        <f t="shared" si="494"/>
        <v>0</v>
      </c>
      <c r="L802" s="1337">
        <f t="shared" si="494"/>
        <v>0</v>
      </c>
      <c r="M802" s="59">
        <f>+M796</f>
        <v>24.266666666666666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91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29">
        <f>IF(L808=0,"",MAX($A$16:A802)+1)</f>
        <v>47</v>
      </c>
      <c r="B803" s="2066" t="s">
        <v>917</v>
      </c>
      <c r="C803" s="160"/>
      <c r="D803" s="959" t="s">
        <v>10</v>
      </c>
      <c r="E803" s="935">
        <v>46192</v>
      </c>
      <c r="F803" s="75">
        <f>$L$7-E803</f>
        <v>84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3">
        <f t="shared" si="487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91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30"/>
      <c r="B804" s="2067"/>
      <c r="C804" s="160" t="s">
        <v>1313</v>
      </c>
      <c r="D804" s="959" t="s">
        <v>10</v>
      </c>
      <c r="E804" s="935">
        <v>46247</v>
      </c>
      <c r="F804" s="75">
        <f>$L$7-E804</f>
        <v>29</v>
      </c>
      <c r="G804" s="64">
        <v>260</v>
      </c>
      <c r="H804" s="64"/>
      <c r="I804" s="64"/>
      <c r="J804" s="1367"/>
      <c r="K804" s="64">
        <f>IFERROR(SUMIF(INTAKE!$A:$A,$T804,INTAKE!$P:$P),0)</f>
        <v>0</v>
      </c>
      <c r="L804" s="1703">
        <f t="shared" si="487"/>
        <v>260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91"/>
        <v>260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30"/>
      <c r="B805" s="2067"/>
      <c r="C805" s="160" t="s">
        <v>1313</v>
      </c>
      <c r="D805" s="959" t="s">
        <v>10</v>
      </c>
      <c r="E805" s="935">
        <v>46262</v>
      </c>
      <c r="F805" s="75">
        <f>$L$7-E805</f>
        <v>14</v>
      </c>
      <c r="G805" s="64">
        <v>1000</v>
      </c>
      <c r="H805" s="64"/>
      <c r="I805" s="64"/>
      <c r="J805" s="1367"/>
      <c r="K805" s="64">
        <f>IFERROR(SUMIF(INTAKE!$A:$A,$T805,INTAKE!$P:$P),0)</f>
        <v>0</v>
      </c>
      <c r="L805" s="1703">
        <f t="shared" si="487"/>
        <v>1000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91"/>
        <v>1000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30"/>
      <c r="B806" s="2068"/>
      <c r="C806" s="160" t="s">
        <v>1313</v>
      </c>
      <c r="D806" s="959" t="s">
        <v>10</v>
      </c>
      <c r="E806" s="935">
        <v>46270</v>
      </c>
      <c r="F806" s="75">
        <f>$L$7-E806</f>
        <v>6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3">
        <f t="shared" si="487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91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31"/>
      <c r="B807" s="2069"/>
      <c r="C807" s="106" t="s">
        <v>46</v>
      </c>
      <c r="D807" s="850" t="s">
        <v>10</v>
      </c>
      <c r="E807" s="968">
        <v>46247</v>
      </c>
      <c r="F807" s="283">
        <f>$L$7-E807</f>
        <v>29</v>
      </c>
      <c r="G807" s="58">
        <v>107.19</v>
      </c>
      <c r="H807" s="58"/>
      <c r="I807" s="58">
        <f>SUM(K803:K806)</f>
        <v>0</v>
      </c>
      <c r="J807" s="1365">
        <f>usage!I151</f>
        <v>66</v>
      </c>
      <c r="K807" s="58"/>
      <c r="L807" s="1534">
        <f t="shared" si="487"/>
        <v>41.19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(Bulgaria)Feedmill46247</v>
      </c>
      <c r="U807" s="797"/>
      <c r="V807" s="797"/>
      <c r="W807" s="785">
        <f>IFERROR(VLOOKUP($Q807,'391'!$S:$AG,15,0),0)</f>
        <v>0</v>
      </c>
      <c r="X807" s="1090">
        <f t="shared" si="491"/>
        <v>107.19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27" t="s">
        <v>918</v>
      </c>
      <c r="B808" s="2028"/>
      <c r="C808" s="88"/>
      <c r="D808" s="864"/>
      <c r="E808" s="864"/>
      <c r="F808" s="865"/>
      <c r="G808" s="1337">
        <v>1867.19</v>
      </c>
      <c r="H808" s="1337">
        <f t="shared" ref="H808:I808" si="495">SUM(H803:H807)</f>
        <v>0</v>
      </c>
      <c r="I808" s="1337">
        <f t="shared" si="495"/>
        <v>0</v>
      </c>
      <c r="J808" s="1337">
        <f t="shared" ref="J808:L808" si="496">SUM(J803:J807)</f>
        <v>66</v>
      </c>
      <c r="K808" s="1337">
        <f t="shared" si="496"/>
        <v>0</v>
      </c>
      <c r="L808" s="1337">
        <f t="shared" si="496"/>
        <v>1801.19</v>
      </c>
      <c r="M808" s="59">
        <f>+M802</f>
        <v>24.266666666666666</v>
      </c>
      <c r="N808" s="854">
        <f>IFERROR((L808/M808),0)</f>
        <v>74.224862637362648</v>
      </c>
      <c r="O808" s="59">
        <f>IFERROR(SUMIF(ETM!$A:$A,$Q808,ETM!$E:$E),"")</f>
        <v>37.666666666666664</v>
      </c>
      <c r="P808" s="880">
        <f>IFERROR(L808/O808,0)</f>
        <v>47.819203539823015</v>
      </c>
      <c r="Q808" s="814" t="s">
        <v>917</v>
      </c>
      <c r="R808" s="785">
        <f>IFERROR(VLOOKUP($Q808,'391'!$S:$Z,8,0),"0")</f>
        <v>109.2</v>
      </c>
      <c r="S808" s="796"/>
      <c r="T808" s="797"/>
      <c r="U808" s="797"/>
      <c r="V808" s="797"/>
      <c r="W808" s="785">
        <f>IFERROR(VLOOKUP($Q808,'391'!$S:$AG,15,0),0)</f>
        <v>2222.39</v>
      </c>
      <c r="X808" s="1090">
        <f t="shared" si="491"/>
        <v>-355.19999999999982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29">
        <f>IF(L814=0,"",MAX($A$16:A808)+1)</f>
        <v>48</v>
      </c>
      <c r="B809" s="2098" t="s">
        <v>1910</v>
      </c>
      <c r="C809" s="114"/>
      <c r="D809" s="866" t="s">
        <v>10</v>
      </c>
      <c r="E809" s="935">
        <v>45638</v>
      </c>
      <c r="F809" s="75">
        <f>$L$7-E809</f>
        <v>638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3">
        <f t="shared" si="487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91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30"/>
      <c r="B810" s="2099"/>
      <c r="C810" s="114"/>
      <c r="D810" s="866" t="s">
        <v>10</v>
      </c>
      <c r="E810" s="935">
        <v>46132</v>
      </c>
      <c r="F810" s="75">
        <f>$L$7-E810</f>
        <v>144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3">
        <f t="shared" si="487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91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30"/>
      <c r="B811" s="2099"/>
      <c r="C811" s="114" t="s">
        <v>1213</v>
      </c>
      <c r="D811" s="866" t="s">
        <v>10</v>
      </c>
      <c r="E811" s="935">
        <v>46245</v>
      </c>
      <c r="F811" s="75">
        <f>$L$7-E811</f>
        <v>31</v>
      </c>
      <c r="G811" s="63">
        <v>325</v>
      </c>
      <c r="H811" s="63"/>
      <c r="I811" s="63"/>
      <c r="J811" s="1378"/>
      <c r="K811" s="64">
        <f>IFERROR(SUMIF(INTAKE!$A:$A,$T811,INTAKE!$P:$P),0)</f>
        <v>0</v>
      </c>
      <c r="L811" s="1703">
        <f t="shared" si="487"/>
        <v>325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91"/>
        <v>325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30"/>
      <c r="B812" s="2099"/>
      <c r="C812" s="114" t="s">
        <v>1213</v>
      </c>
      <c r="D812" s="866" t="s">
        <v>10</v>
      </c>
      <c r="E812" s="935">
        <v>46262</v>
      </c>
      <c r="F812" s="75">
        <f>$L$7-E812</f>
        <v>14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3">
        <f t="shared" si="487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91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30"/>
      <c r="B813" s="2101"/>
      <c r="C813" s="61" t="s">
        <v>46</v>
      </c>
      <c r="D813" s="863" t="s">
        <v>10</v>
      </c>
      <c r="E813" s="935">
        <v>46245</v>
      </c>
      <c r="F813" s="39">
        <f>$L$7-E813</f>
        <v>31</v>
      </c>
      <c r="G813" s="37">
        <v>459.70999999999992</v>
      </c>
      <c r="H813" s="37"/>
      <c r="I813" s="37">
        <f>+SUM(K809:K812)</f>
        <v>0</v>
      </c>
      <c r="J813" s="1385">
        <f>+usage!I116</f>
        <v>0</v>
      </c>
      <c r="K813" s="37"/>
      <c r="L813" s="1534">
        <f t="shared" si="487"/>
        <v>459.70999999999992</v>
      </c>
      <c r="M813" s="35"/>
      <c r="N813" s="87"/>
      <c r="O813" s="35"/>
      <c r="P813" s="1265"/>
      <c r="Q813" s="666" t="s">
        <v>1808</v>
      </c>
      <c r="R813" s="785">
        <f>IFERROR(VLOOKUP($Q813,'391'!$S:$Z,8,0),"0")</f>
        <v>9.1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471.11</v>
      </c>
      <c r="X813" s="1090">
        <f t="shared" si="491"/>
        <v>-11.400000000000091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27" t="s">
        <v>1342</v>
      </c>
      <c r="B814" s="2028"/>
      <c r="C814" s="88"/>
      <c r="D814" s="864"/>
      <c r="E814" s="864"/>
      <c r="F814" s="865"/>
      <c r="G814" s="1297">
        <v>884.70999999999992</v>
      </c>
      <c r="H814" s="1297">
        <f t="shared" ref="H814:L814" si="497">+SUM(H809:H813)</f>
        <v>0</v>
      </c>
      <c r="I814" s="1297">
        <f t="shared" si="497"/>
        <v>0</v>
      </c>
      <c r="J814" s="1297">
        <f t="shared" si="497"/>
        <v>0</v>
      </c>
      <c r="K814" s="1297">
        <f t="shared" si="497"/>
        <v>0</v>
      </c>
      <c r="L814" s="1297">
        <f t="shared" si="497"/>
        <v>884.70999999999992</v>
      </c>
      <c r="M814" s="59">
        <f>IFERROR((S814/$S$2),"")</f>
        <v>2.0222222222222221</v>
      </c>
      <c r="N814" s="854">
        <f>IFERROR(L814/M814,0)</f>
        <v>437.49395604395602</v>
      </c>
      <c r="O814" s="59">
        <f>IFERROR(SUMIF(ETM!$A:$A,$Q814,ETM!$E:$E),"")</f>
        <v>15.166666666666666</v>
      </c>
      <c r="P814" s="880">
        <f>IFERROR(L814/O814,0)</f>
        <v>58.332527472527467</v>
      </c>
      <c r="Q814" s="666" t="s">
        <v>1390</v>
      </c>
      <c r="R814" s="785" t="str">
        <f>IFERROR(VLOOKUP($Q814,'391'!$S:$Z,8,0),"0")</f>
        <v>0</v>
      </c>
      <c r="S814" s="819">
        <f>+R814+R813</f>
        <v>9.1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413.59999999999991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29">
        <f>IF(L820=0,"",MAX($A$16:A814)+1)</f>
        <v>49</v>
      </c>
      <c r="B815" s="2051" t="s">
        <v>1919</v>
      </c>
      <c r="C815" s="259"/>
      <c r="D815" s="866" t="s">
        <v>10</v>
      </c>
      <c r="E815" s="935">
        <v>45791</v>
      </c>
      <c r="F815" s="75">
        <f>$L$7-E815</f>
        <v>485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3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498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30"/>
      <c r="B816" s="2073"/>
      <c r="C816" s="259"/>
      <c r="D816" s="866" t="s">
        <v>10</v>
      </c>
      <c r="E816" s="935">
        <v>45918</v>
      </c>
      <c r="F816" s="75">
        <f>$L$7-E816</f>
        <v>358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3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498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30"/>
      <c r="B817" s="2073"/>
      <c r="C817" s="114" t="s">
        <v>1213</v>
      </c>
      <c r="D817" s="866" t="s">
        <v>10</v>
      </c>
      <c r="E817" s="935">
        <v>46098</v>
      </c>
      <c r="F817" s="75">
        <f>$L$7-E817</f>
        <v>178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3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498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30"/>
      <c r="B818" s="2073"/>
      <c r="C818" s="114"/>
      <c r="D818" s="866" t="s">
        <v>10</v>
      </c>
      <c r="E818" s="935">
        <v>46098</v>
      </c>
      <c r="F818" s="75">
        <f>$L$7-E818</f>
        <v>178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3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498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30"/>
      <c r="B819" s="2052"/>
      <c r="C819" s="61" t="s">
        <v>46</v>
      </c>
      <c r="D819" s="863" t="s">
        <v>10</v>
      </c>
      <c r="E819" s="935">
        <v>46098</v>
      </c>
      <c r="F819" s="39">
        <f>$L$7-E819</f>
        <v>178</v>
      </c>
      <c r="G819" s="37">
        <v>15.639999999999997</v>
      </c>
      <c r="H819" s="37"/>
      <c r="I819" s="37">
        <f>+SUM(K815:K817)</f>
        <v>0</v>
      </c>
      <c r="J819" s="1385">
        <f>usage!I188</f>
        <v>0</v>
      </c>
      <c r="K819" s="37"/>
      <c r="L819" s="1534">
        <f>+G819+H819+I819-J819-K819</f>
        <v>15.639999999999997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498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27" t="s">
        <v>1371</v>
      </c>
      <c r="B820" s="2028"/>
      <c r="C820" s="88"/>
      <c r="D820" s="864"/>
      <c r="E820" s="864"/>
      <c r="F820" s="865"/>
      <c r="G820" s="1297">
        <v>115.64</v>
      </c>
      <c r="H820" s="1297">
        <f t="shared" ref="H820:I820" si="499">+SUM(H815:H819)</f>
        <v>0</v>
      </c>
      <c r="I820" s="1297">
        <f t="shared" si="499"/>
        <v>0</v>
      </c>
      <c r="J820" s="1297">
        <f t="shared" ref="J820:L820" si="500">+SUM(J815:J819)</f>
        <v>0</v>
      </c>
      <c r="K820" s="1297">
        <f t="shared" si="500"/>
        <v>0</v>
      </c>
      <c r="L820" s="1297">
        <f t="shared" si="500"/>
        <v>115.64</v>
      </c>
      <c r="M820" s="59">
        <f>IFERROR((R820/$S$2),"")</f>
        <v>5.1333333333333337</v>
      </c>
      <c r="N820" s="854">
        <f>IFERROR(L820/M820,0)</f>
        <v>22.527272727272727</v>
      </c>
      <c r="O820" s="59">
        <f>IFERROR(SUMIF(ETM!$A:$A,$Q820,ETM!$E:$E),"")</f>
        <v>0</v>
      </c>
      <c r="P820" s="880">
        <f>IFERROR(L820/O820,0)</f>
        <v>0</v>
      </c>
      <c r="Q820" s="795" t="s">
        <v>1370</v>
      </c>
      <c r="R820" s="785">
        <f>IFERROR(VLOOKUP($Q820,'391'!$S:$Z,8,0),"")</f>
        <v>23.1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498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29" t="str">
        <f>IF(L825=0,"",MAX($A$16:A820)+1)</f>
        <v/>
      </c>
      <c r="B821" s="2051" t="s">
        <v>1360</v>
      </c>
      <c r="C821" s="114"/>
      <c r="D821" s="866" t="s">
        <v>10</v>
      </c>
      <c r="E821" s="935">
        <v>45247</v>
      </c>
      <c r="F821" s="75">
        <f>$L$7-E821</f>
        <v>1029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4">
        <f t="shared" ref="L821:L835" si="501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498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30"/>
      <c r="B822" s="2073"/>
      <c r="C822" s="114"/>
      <c r="D822" s="866" t="s">
        <v>10</v>
      </c>
      <c r="E822" s="935">
        <v>45189</v>
      </c>
      <c r="F822" s="75">
        <f>$L$7-E822</f>
        <v>1087</v>
      </c>
      <c r="G822" s="63">
        <v>0</v>
      </c>
      <c r="H822" s="63"/>
      <c r="I822" s="63"/>
      <c r="J822" s="1378"/>
      <c r="K822" s="63"/>
      <c r="L822" s="1534">
        <f t="shared" si="501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498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30"/>
      <c r="B823" s="2073"/>
      <c r="C823" s="114"/>
      <c r="D823" s="866" t="s">
        <v>10</v>
      </c>
      <c r="E823" s="935">
        <v>45189</v>
      </c>
      <c r="F823" s="75">
        <f>$L$7-E823</f>
        <v>1087</v>
      </c>
      <c r="G823" s="63">
        <v>0</v>
      </c>
      <c r="H823" s="63"/>
      <c r="I823" s="63"/>
      <c r="J823" s="1378"/>
      <c r="K823" s="63"/>
      <c r="L823" s="1534">
        <f t="shared" si="501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498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30"/>
      <c r="B824" s="2052"/>
      <c r="C824" s="61" t="s">
        <v>46</v>
      </c>
      <c r="D824" s="863" t="s">
        <v>10</v>
      </c>
      <c r="E824" s="935">
        <v>45247</v>
      </c>
      <c r="F824" s="39">
        <f>$L$7-E824</f>
        <v>1029</v>
      </c>
      <c r="G824" s="37">
        <v>0</v>
      </c>
      <c r="H824" s="37"/>
      <c r="I824" s="37">
        <f>+SUM(K821:K821)</f>
        <v>0</v>
      </c>
      <c r="J824" s="1385"/>
      <c r="K824" s="37"/>
      <c r="L824" s="1534">
        <f t="shared" si="501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498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27" t="s">
        <v>1362</v>
      </c>
      <c r="B825" s="2028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4">
        <f t="shared" si="501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9.3333333333333339</v>
      </c>
      <c r="P825" s="880">
        <f>IFERROR(L825/O825,0)</f>
        <v>0</v>
      </c>
      <c r="Q825" s="795" t="s">
        <v>1361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498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29" t="str">
        <f>IF(L830=0,"",MAX($A$16:A825)+1)</f>
        <v/>
      </c>
      <c r="B826" s="2051" t="s">
        <v>1759</v>
      </c>
      <c r="C826" s="114" t="s">
        <v>1177</v>
      </c>
      <c r="D826" s="866" t="s">
        <v>10</v>
      </c>
      <c r="E826" s="935">
        <v>46085</v>
      </c>
      <c r="F826" s="75">
        <f>$L$7-E826</f>
        <v>191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3">
        <f t="shared" ref="L826:L830" si="502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03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30"/>
      <c r="B827" s="2073"/>
      <c r="C827" s="114"/>
      <c r="D827" s="866" t="s">
        <v>10</v>
      </c>
      <c r="E827" s="935">
        <v>45189</v>
      </c>
      <c r="F827" s="75">
        <f>$L$7-E827</f>
        <v>1087</v>
      </c>
      <c r="G827" s="63">
        <v>0</v>
      </c>
      <c r="H827" s="63"/>
      <c r="I827" s="63"/>
      <c r="J827" s="1378"/>
      <c r="K827" s="63"/>
      <c r="L827" s="1534">
        <f t="shared" si="502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04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03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30"/>
      <c r="B828" s="2073"/>
      <c r="C828" s="114"/>
      <c r="D828" s="866" t="s">
        <v>10</v>
      </c>
      <c r="E828" s="935">
        <v>45189</v>
      </c>
      <c r="F828" s="75">
        <f>$L$7-E828</f>
        <v>1087</v>
      </c>
      <c r="G828" s="63">
        <v>0</v>
      </c>
      <c r="H828" s="63"/>
      <c r="I828" s="63"/>
      <c r="J828" s="1378"/>
      <c r="K828" s="63"/>
      <c r="L828" s="1534">
        <f t="shared" si="502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04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03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30"/>
      <c r="B829" s="2052"/>
      <c r="C829" s="61" t="s">
        <v>46</v>
      </c>
      <c r="D829" s="863" t="s">
        <v>10</v>
      </c>
      <c r="E829" s="935">
        <v>46085</v>
      </c>
      <c r="F829" s="39">
        <f>$L$7-E829</f>
        <v>191</v>
      </c>
      <c r="G829" s="37">
        <v>0</v>
      </c>
      <c r="H829" s="37"/>
      <c r="I829" s="37">
        <f>+SUM(K826:K826)</f>
        <v>0</v>
      </c>
      <c r="J829" s="1385"/>
      <c r="K829" s="37"/>
      <c r="L829" s="1534">
        <f t="shared" si="502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04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03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27" t="s">
        <v>1760</v>
      </c>
      <c r="B830" s="2028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02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1759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03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29">
        <f>IF(L836=0,"",MAX($A$16:A830)+1)</f>
        <v>50</v>
      </c>
      <c r="B831" s="2098" t="s">
        <v>1918</v>
      </c>
      <c r="C831" s="114"/>
      <c r="D831" s="866" t="s">
        <v>10</v>
      </c>
      <c r="E831" s="935">
        <v>45835</v>
      </c>
      <c r="F831" s="75">
        <f>$L$7-E831</f>
        <v>441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3">
        <f t="shared" si="501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498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30"/>
      <c r="B832" s="2099"/>
      <c r="C832" s="114" t="s">
        <v>1875</v>
      </c>
      <c r="D832" s="866" t="s">
        <v>10</v>
      </c>
      <c r="E832" s="935">
        <v>46254</v>
      </c>
      <c r="F832" s="75">
        <f>$L$7-E832</f>
        <v>22</v>
      </c>
      <c r="G832" s="63">
        <v>40</v>
      </c>
      <c r="H832" s="63"/>
      <c r="I832" s="63"/>
      <c r="J832" s="1378"/>
      <c r="K832" s="64">
        <f>IFERROR(SUMIF(INTAKE!$A:$A,$T832,INTAKE!$P:$P),0)</f>
        <v>0</v>
      </c>
      <c r="L832" s="1703">
        <f t="shared" si="501"/>
        <v>40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(CN)D246254</v>
      </c>
      <c r="U832" s="797"/>
      <c r="V832" s="797"/>
      <c r="W832" s="785">
        <f>IFERROR(VLOOKUP($Q832,'391'!$S:$AG,15,0),0)</f>
        <v>0</v>
      </c>
      <c r="X832" s="1090">
        <f t="shared" si="498"/>
        <v>40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30"/>
      <c r="B833" s="2099"/>
      <c r="C833" s="114" t="s">
        <v>1875</v>
      </c>
      <c r="D833" s="866" t="s">
        <v>10</v>
      </c>
      <c r="E833" s="935">
        <v>46262</v>
      </c>
      <c r="F833" s="75">
        <f>$L$7-E833</f>
        <v>14</v>
      </c>
      <c r="G833" s="63">
        <v>200</v>
      </c>
      <c r="H833" s="63"/>
      <c r="I833" s="63"/>
      <c r="J833" s="1378"/>
      <c r="K833" s="64">
        <f>IFERROR(SUMIF(INTAKE!$A:$A,$T833,INTAKE!$P:$P),0)</f>
        <v>0</v>
      </c>
      <c r="L833" s="1703">
        <f t="shared" si="501"/>
        <v>200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(CN)D246262</v>
      </c>
      <c r="U833" s="797"/>
      <c r="V833" s="797"/>
      <c r="W833" s="785">
        <f>IFERROR(VLOOKUP($Q833,'391'!$S:$AG,15,0),0)</f>
        <v>0</v>
      </c>
      <c r="X833" s="1090">
        <f t="shared" si="498"/>
        <v>200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customHeight="1" x14ac:dyDescent="0.25">
      <c r="A834" s="2030"/>
      <c r="B834" s="2099"/>
      <c r="C834" s="114" t="s">
        <v>1875</v>
      </c>
      <c r="D834" s="866" t="s">
        <v>10</v>
      </c>
      <c r="E834" s="935">
        <v>46275</v>
      </c>
      <c r="F834" s="75">
        <f>$L$7-E834</f>
        <v>1</v>
      </c>
      <c r="G834" s="63">
        <v>100</v>
      </c>
      <c r="H834" s="63"/>
      <c r="I834" s="63"/>
      <c r="J834" s="1378"/>
      <c r="K834" s="64">
        <f>IFERROR(SUMIF(INTAKE!$A:$A,$T834,INTAKE!$P:$P),0)</f>
        <v>0</v>
      </c>
      <c r="L834" s="1703">
        <f t="shared" si="501"/>
        <v>100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(CN)D246275</v>
      </c>
      <c r="U834" s="797"/>
      <c r="V834" s="797"/>
      <c r="W834" s="785">
        <f>IFERROR(VLOOKUP($Q834,'391'!$S:$AG,15,0),0)</f>
        <v>0</v>
      </c>
      <c r="X834" s="1090">
        <f t="shared" si="498"/>
        <v>100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30"/>
      <c r="B835" s="2101"/>
      <c r="C835" s="61" t="s">
        <v>46</v>
      </c>
      <c r="D835" s="863" t="s">
        <v>10</v>
      </c>
      <c r="E835" s="935">
        <v>46254</v>
      </c>
      <c r="F835" s="39">
        <f>$L$7-E835</f>
        <v>22</v>
      </c>
      <c r="G835" s="37">
        <v>25.32</v>
      </c>
      <c r="H835" s="37"/>
      <c r="I835" s="37">
        <f>+SUM(K831:K834)</f>
        <v>0</v>
      </c>
      <c r="J835" s="1385">
        <f>usage!I192</f>
        <v>7.56</v>
      </c>
      <c r="K835" s="37"/>
      <c r="L835" s="1534">
        <f t="shared" si="501"/>
        <v>17.760000000000002</v>
      </c>
      <c r="M835" s="35"/>
      <c r="N835" s="87"/>
      <c r="O835" s="35"/>
      <c r="P835" s="1265"/>
      <c r="Q835" s="666" t="s">
        <v>1418</v>
      </c>
      <c r="R835" s="785">
        <f>IFERROR(VLOOKUP($Q835,'391'!$S:$Z,8,0),"")</f>
        <v>35.28</v>
      </c>
      <c r="S835" s="796"/>
      <c r="T835" s="797" t="str">
        <f>$Q$836&amp;C835&amp;E835</f>
        <v>Canthaxanthin 10%FeedAdditive (China)Feedmill46254</v>
      </c>
      <c r="U835" s="797"/>
      <c r="V835" s="797"/>
      <c r="W835" s="785">
        <f>IFERROR(VLOOKUP($Q835,'391'!$S:$AG,15,0),0)</f>
        <v>296.40000000000003</v>
      </c>
      <c r="X835" s="1090">
        <f t="shared" si="498"/>
        <v>-271.08000000000004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27" t="s">
        <v>1384</v>
      </c>
      <c r="B836" s="2028"/>
      <c r="C836" s="88"/>
      <c r="D836" s="864"/>
      <c r="E836" s="864"/>
      <c r="F836" s="865"/>
      <c r="G836" s="1297">
        <v>365.32</v>
      </c>
      <c r="H836" s="1297">
        <f t="shared" ref="H836:I836" si="505">+SUM(H831:H835)</f>
        <v>0</v>
      </c>
      <c r="I836" s="1297">
        <f t="shared" si="505"/>
        <v>0</v>
      </c>
      <c r="J836" s="1297">
        <f t="shared" ref="J836:L836" si="506">+SUM(J831:J835)</f>
        <v>7.56</v>
      </c>
      <c r="K836" s="1297">
        <f t="shared" si="506"/>
        <v>0</v>
      </c>
      <c r="L836" s="1297">
        <f t="shared" si="506"/>
        <v>357.76</v>
      </c>
      <c r="M836" s="59">
        <f>IFERROR((S836/$S$2),"")</f>
        <v>7.84</v>
      </c>
      <c r="N836" s="854">
        <f>IFERROR(L836/M836,0)</f>
        <v>45.632653061224488</v>
      </c>
      <c r="O836" s="59">
        <f>O825</f>
        <v>9.3333333333333339</v>
      </c>
      <c r="P836" s="880">
        <f>IFERROR(L836/O836,0)</f>
        <v>38.331428571428567</v>
      </c>
      <c r="Q836" s="795" t="s">
        <v>1382</v>
      </c>
      <c r="R836" s="785" t="str">
        <f>IFERROR(VLOOKUP($Q836,'391'!$S:$Z,8,0),"0")</f>
        <v>0</v>
      </c>
      <c r="S836" s="1495">
        <f>+R835+R836</f>
        <v>35.28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68.919999999999959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29">
        <f>IF(L845=0,"",MAX($A$16:A836)+1)</f>
        <v>51</v>
      </c>
      <c r="B837" s="2051" t="s">
        <v>1122</v>
      </c>
      <c r="C837" s="160" t="s">
        <v>1860</v>
      </c>
      <c r="D837" s="959" t="s">
        <v>10</v>
      </c>
      <c r="E837" s="933">
        <v>46260</v>
      </c>
      <c r="F837" s="74">
        <f t="shared" ref="F837:F838" si="507">$L$7-E837</f>
        <v>16</v>
      </c>
      <c r="G837" s="12">
        <v>1000</v>
      </c>
      <c r="H837" s="18"/>
      <c r="I837" s="18"/>
      <c r="J837" s="1338"/>
      <c r="K837" s="18">
        <f>IFERROR(SUMIF(INTAKE!$A:$A,$T837,INTAKE!$P:$P),0)</f>
        <v>0</v>
      </c>
      <c r="L837" s="1703">
        <f t="shared" ref="L837:L844" si="508">+G837+H837+I837-J837-K837</f>
        <v>1000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09">$Q$845&amp;C837&amp;E837</f>
        <v>M-Tox PlusZ4.346260</v>
      </c>
      <c r="U837" s="797"/>
      <c r="V837" s="797"/>
      <c r="W837" s="785">
        <f>IFERROR(VLOOKUP($Q837,'391'!$S:$AG,15,0),0)</f>
        <v>0</v>
      </c>
      <c r="X837" s="1090">
        <f t="shared" ref="X837:X869" si="510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30"/>
      <c r="B838" s="2073"/>
      <c r="C838" s="160" t="s">
        <v>851</v>
      </c>
      <c r="D838" s="959" t="s">
        <v>10</v>
      </c>
      <c r="E838" s="933">
        <v>46260</v>
      </c>
      <c r="F838" s="74">
        <f t="shared" si="507"/>
        <v>16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3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09"/>
        <v>M-Tox PlusZ7.346260</v>
      </c>
      <c r="U838" s="797"/>
      <c r="V838" s="797"/>
      <c r="W838" s="785">
        <f>IFERROR(VLOOKUP($Q838,'391'!$S:$AG,15,0),0)</f>
        <v>0</v>
      </c>
      <c r="X838" s="1090">
        <f t="shared" si="510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30"/>
      <c r="B839" s="2073"/>
      <c r="C839" s="160" t="s">
        <v>223</v>
      </c>
      <c r="D839" s="959" t="s">
        <v>10</v>
      </c>
      <c r="E839" s="933">
        <v>46274</v>
      </c>
      <c r="F839" s="74">
        <f t="shared" ref="F839" si="511">$L$7-E839</f>
        <v>2</v>
      </c>
      <c r="G839" s="12">
        <v>1000</v>
      </c>
      <c r="H839" s="18"/>
      <c r="I839" s="18"/>
      <c r="J839" s="1338"/>
      <c r="K839" s="18">
        <f>IFERROR(SUMIF(INTAKE!$A:$A,$T839,INTAKE!$P:$P),0)</f>
        <v>0</v>
      </c>
      <c r="L839" s="1703">
        <f>+G839+H839+I839-J839-K839</f>
        <v>1000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09"/>
        <v>M-Tox PlusZ1.246274</v>
      </c>
      <c r="U839" s="797"/>
      <c r="V839" s="797"/>
      <c r="W839" s="785">
        <f>IFERROR(VLOOKUP($Q839,'391'!$S:$AG,15,0),0)</f>
        <v>0</v>
      </c>
      <c r="X839" s="1090">
        <f t="shared" si="510"/>
        <v>1000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customHeight="1" x14ac:dyDescent="0.25">
      <c r="A840" s="2030"/>
      <c r="B840" s="2073"/>
      <c r="C840" s="160" t="s">
        <v>1945</v>
      </c>
      <c r="D840" s="959" t="s">
        <v>10</v>
      </c>
      <c r="E840" s="933">
        <v>46274</v>
      </c>
      <c r="F840" s="74">
        <f t="shared" ref="F840" si="512">$L$7-E840</f>
        <v>2</v>
      </c>
      <c r="G840" s="12">
        <v>1000</v>
      </c>
      <c r="H840" s="18"/>
      <c r="I840" s="18"/>
      <c r="J840" s="1338"/>
      <c r="K840" s="18">
        <f>IFERROR(SUMIF(INTAKE!$A:$A,$T840,INTAKE!$P:$P),0)</f>
        <v>0</v>
      </c>
      <c r="L840" s="1703">
        <f t="shared" si="508"/>
        <v>1000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09"/>
        <v>M-Tox PlusZ2.346274</v>
      </c>
      <c r="U840" s="797"/>
      <c r="V840" s="797"/>
      <c r="W840" s="785">
        <f>IFERROR(VLOOKUP($Q840,'391'!$S:$AG,15,0),0)</f>
        <v>0</v>
      </c>
      <c r="X840" s="1090">
        <f t="shared" si="510"/>
        <v>1000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customHeight="1" x14ac:dyDescent="0.25">
      <c r="A841" s="2030"/>
      <c r="B841" s="2073"/>
      <c r="C841" s="160" t="s">
        <v>1924</v>
      </c>
      <c r="D841" s="959" t="s">
        <v>10</v>
      </c>
      <c r="E841" s="933">
        <v>46274</v>
      </c>
      <c r="F841" s="74">
        <f t="shared" ref="F841" si="513">$L$7-E841</f>
        <v>2</v>
      </c>
      <c r="G841" s="12">
        <v>1000</v>
      </c>
      <c r="H841" s="18"/>
      <c r="I841" s="18"/>
      <c r="J841" s="1338"/>
      <c r="K841" s="18">
        <f>IFERROR(SUMIF(INTAKE!$A:$A,$T841,INTAKE!$P:$P),0)</f>
        <v>0</v>
      </c>
      <c r="L841" s="1703">
        <f t="shared" si="508"/>
        <v>1000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09"/>
        <v>M-Tox PlusZ3.346274</v>
      </c>
      <c r="U841" s="797"/>
      <c r="V841" s="797"/>
      <c r="W841" s="785">
        <f>IFERROR(VLOOKUP($Q841,'391'!$S:$AG,15,0),0)</f>
        <v>0</v>
      </c>
      <c r="X841" s="1090">
        <f t="shared" si="510"/>
        <v>1000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30"/>
      <c r="B842" s="2077"/>
      <c r="C842" s="160"/>
      <c r="D842" s="959" t="s">
        <v>10</v>
      </c>
      <c r="E842" s="933">
        <v>46204</v>
      </c>
      <c r="F842" s="74">
        <f t="shared" ref="F842" si="514">$L$7-E842</f>
        <v>72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3">
        <f t="shared" ref="L842" si="515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09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16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30"/>
      <c r="B843" s="2073"/>
      <c r="C843" s="160"/>
      <c r="D843" s="959" t="s">
        <v>10</v>
      </c>
      <c r="E843" s="933">
        <v>46204</v>
      </c>
      <c r="F843" s="74">
        <f t="shared" ref="F843:F844" si="517">$L$7-E843</f>
        <v>72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3">
        <f t="shared" si="508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09"/>
        <v>M-Tox Plus46204</v>
      </c>
      <c r="U843" s="797"/>
      <c r="V843" s="797"/>
      <c r="W843" s="785">
        <f>IFERROR(VLOOKUP($Q843,'391'!$S:$AG,15,0),0)</f>
        <v>0</v>
      </c>
      <c r="X843" s="1090">
        <f t="shared" si="510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30"/>
      <c r="B844" s="2052"/>
      <c r="C844" s="222" t="s">
        <v>46</v>
      </c>
      <c r="D844" s="969" t="s">
        <v>10</v>
      </c>
      <c r="E844" s="960">
        <v>46260</v>
      </c>
      <c r="F844" s="42">
        <f t="shared" si="517"/>
        <v>16</v>
      </c>
      <c r="G844" s="37">
        <v>597.46</v>
      </c>
      <c r="H844" s="1392"/>
      <c r="I844" s="58">
        <f>+SUM(K837:K841)</f>
        <v>0</v>
      </c>
      <c r="J844" s="1393">
        <f>+usage!I108</f>
        <v>209.78</v>
      </c>
      <c r="K844" s="63">
        <f>IFERROR(SUMIF(INTAKE!$A:$A,$T844,INTAKE!$P:$P),0)</f>
        <v>0</v>
      </c>
      <c r="L844" s="1534">
        <f t="shared" si="508"/>
        <v>387.68000000000006</v>
      </c>
      <c r="M844" s="35"/>
      <c r="N844" s="87"/>
      <c r="O844" s="35"/>
      <c r="P844" s="740"/>
      <c r="Q844" s="795" t="s">
        <v>1124</v>
      </c>
      <c r="R844" s="785" t="str">
        <f>IFERROR(VLOOKUP($Q844,'391'!$S:$Z,8,0),"0")</f>
        <v>0</v>
      </c>
      <c r="S844" s="796"/>
      <c r="T844" s="797" t="str">
        <f t="shared" si="509"/>
        <v>M-Tox PlusFeedmill46260</v>
      </c>
      <c r="U844" s="797"/>
      <c r="V844" s="797"/>
      <c r="W844" s="785">
        <f>IFERROR(VLOOKUP($Q844,'391'!$S:$AG,15,0),0)</f>
        <v>0</v>
      </c>
      <c r="X844" s="1090">
        <f t="shared" si="510"/>
        <v>597.46</v>
      </c>
      <c r="Y844" s="1088">
        <f>+W844+W845</f>
        <v>3505.58</v>
      </c>
      <c r="Z844" s="1091">
        <f>+G845-Y844</f>
        <v>2091.88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27" t="s">
        <v>293</v>
      </c>
      <c r="B845" s="2028"/>
      <c r="C845" s="88"/>
      <c r="D845" s="864"/>
      <c r="E845" s="864"/>
      <c r="F845" s="865"/>
      <c r="G845" s="1394">
        <v>5597.46</v>
      </c>
      <c r="H845" s="1394">
        <f t="shared" ref="H845:L845" si="518">SUM(H837:H844)</f>
        <v>0</v>
      </c>
      <c r="I845" s="1394">
        <f t="shared" si="518"/>
        <v>0</v>
      </c>
      <c r="J845" s="1394">
        <f t="shared" si="518"/>
        <v>209.78</v>
      </c>
      <c r="K845" s="1394">
        <f t="shared" si="518"/>
        <v>0</v>
      </c>
      <c r="L845" s="1394">
        <f t="shared" si="518"/>
        <v>5387.68</v>
      </c>
      <c r="M845" s="59">
        <f>IFERROR((S845/$S$2),"")</f>
        <v>271.48444444444448</v>
      </c>
      <c r="N845" s="854">
        <f>IFERROR((L845/M845),0)</f>
        <v>19.845262261803416</v>
      </c>
      <c r="O845" s="59">
        <f>IFERROR(SUMIF(ETM!$A:$A,$Q845,ETM!$E:$E),"")</f>
        <v>219.66666666666669</v>
      </c>
      <c r="P845" s="855">
        <f>IFERROR(L845/O845,0)</f>
        <v>24.526616084977238</v>
      </c>
      <c r="Q845" s="814" t="s">
        <v>385</v>
      </c>
      <c r="R845" s="785">
        <f>IFERROR(VLOOKUP($Q845,'391'!$S:$Z,8,0),"0")</f>
        <v>1221.68</v>
      </c>
      <c r="S845" s="796">
        <f>+R844+R845</f>
        <v>1221.68</v>
      </c>
      <c r="T845" s="797"/>
      <c r="U845" s="797"/>
      <c r="V845" s="797"/>
      <c r="W845" s="785">
        <f>IFERROR(VLOOKUP($Q845,'391'!$S:$AG,15,0),0)</f>
        <v>3505.58</v>
      </c>
      <c r="X845" s="1090">
        <f t="shared" si="510"/>
        <v>2091.88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customHeight="1" x14ac:dyDescent="0.25">
      <c r="A846" s="2029">
        <f>IF(L853=0,"",MAX($A$16:A845)+1)</f>
        <v>52</v>
      </c>
      <c r="B846" s="2051" t="s">
        <v>281</v>
      </c>
      <c r="C846" s="347" t="s">
        <v>1622</v>
      </c>
      <c r="D846" s="970" t="s">
        <v>10</v>
      </c>
      <c r="E846" s="971">
        <v>46149</v>
      </c>
      <c r="F846" s="967">
        <f t="shared" ref="F846" si="519">$L$7-E846</f>
        <v>127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3">
        <f t="shared" ref="L846:L866" si="520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21">$Q$853&amp;C846&amp;E846</f>
        <v>Feedcurb (Singapore)V2.246149</v>
      </c>
      <c r="U846" s="797"/>
      <c r="V846" s="797"/>
      <c r="W846" s="785">
        <f>IFERROR(VLOOKUP($Q846,'391'!$S:$AG,15,0),0)</f>
        <v>0</v>
      </c>
      <c r="X846" s="1090">
        <f t="shared" si="510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30"/>
      <c r="B847" s="2073"/>
      <c r="C847" s="347"/>
      <c r="D847" s="970" t="s">
        <v>10</v>
      </c>
      <c r="E847" s="971">
        <v>46149</v>
      </c>
      <c r="F847" s="967">
        <f t="shared" ref="F847:F852" si="522">$L$7-E847</f>
        <v>127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3">
        <f t="shared" si="520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21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0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30"/>
      <c r="B848" s="2073"/>
      <c r="C848" s="347"/>
      <c r="D848" s="970" t="s">
        <v>10</v>
      </c>
      <c r="E848" s="971">
        <v>44623</v>
      </c>
      <c r="F848" s="967">
        <f t="shared" si="522"/>
        <v>1653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4">
        <f t="shared" si="520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21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0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30"/>
      <c r="B849" s="2073"/>
      <c r="C849" s="347"/>
      <c r="D849" s="970" t="s">
        <v>10</v>
      </c>
      <c r="E849" s="971">
        <v>44623</v>
      </c>
      <c r="F849" s="967">
        <f t="shared" si="522"/>
        <v>1653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4">
        <f t="shared" si="520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21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0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30"/>
      <c r="B850" s="2073"/>
      <c r="C850" s="347"/>
      <c r="D850" s="970" t="s">
        <v>10</v>
      </c>
      <c r="E850" s="971">
        <v>45014</v>
      </c>
      <c r="F850" s="967">
        <f t="shared" si="522"/>
        <v>1262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4">
        <f t="shared" si="520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21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0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30"/>
      <c r="B851" s="2073"/>
      <c r="C851" s="347"/>
      <c r="D851" s="970" t="s">
        <v>10</v>
      </c>
      <c r="E851" s="971">
        <v>45014</v>
      </c>
      <c r="F851" s="967">
        <f t="shared" si="522"/>
        <v>1262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4">
        <f t="shared" si="520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21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0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30"/>
      <c r="B852" s="2073"/>
      <c r="C852" s="222" t="s">
        <v>46</v>
      </c>
      <c r="D852" s="969" t="s">
        <v>10</v>
      </c>
      <c r="E852" s="960">
        <v>46149</v>
      </c>
      <c r="F852" s="42">
        <f t="shared" si="522"/>
        <v>127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4">
        <f t="shared" si="520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21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0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27" t="s">
        <v>52</v>
      </c>
      <c r="B853" s="2028"/>
      <c r="C853" s="88"/>
      <c r="D853" s="864"/>
      <c r="E853" s="864"/>
      <c r="F853" s="865"/>
      <c r="G853" s="1394">
        <v>40.759999999999195</v>
      </c>
      <c r="H853" s="1394">
        <f t="shared" ref="H853:I853" si="523">SUM(H846:H852)</f>
        <v>0</v>
      </c>
      <c r="I853" s="1394">
        <f t="shared" si="523"/>
        <v>0</v>
      </c>
      <c r="J853" s="1394">
        <f t="shared" ref="J853:K853" si="524">SUM(J846:J852)</f>
        <v>0</v>
      </c>
      <c r="K853" s="1394">
        <f t="shared" si="524"/>
        <v>0</v>
      </c>
      <c r="L853" s="1394">
        <f t="shared" si="520"/>
        <v>40.759999999999195</v>
      </c>
      <c r="M853" s="59">
        <f>IFERROR((R853/$S$2),"")</f>
        <v>768.72</v>
      </c>
      <c r="N853" s="366">
        <f>IFERROR(L853/M853,0)</f>
        <v>5.3023207409719005E-2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3459.2400000000002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10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05" t="str">
        <f>IF(L861=0,"",MAX($A$16:A853)+1)</f>
        <v/>
      </c>
      <c r="B854" s="2074" t="s">
        <v>96</v>
      </c>
      <c r="C854" s="143"/>
      <c r="D854" s="866" t="s">
        <v>10</v>
      </c>
      <c r="E854" s="933">
        <v>45091</v>
      </c>
      <c r="F854" s="73">
        <f t="shared" ref="F854:F860" si="525">$L$7-E854</f>
        <v>1185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4">
        <f t="shared" si="520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26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0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06"/>
      <c r="B855" s="2075"/>
      <c r="C855" s="143"/>
      <c r="D855" s="866" t="s">
        <v>10</v>
      </c>
      <c r="E855" s="933">
        <v>45029</v>
      </c>
      <c r="F855" s="73">
        <f t="shared" si="525"/>
        <v>1247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4">
        <f t="shared" si="520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26"/>
        <v>Betafin S445029</v>
      </c>
      <c r="U855" s="787"/>
      <c r="V855" s="787"/>
      <c r="W855" s="785">
        <f>IFERROR(VLOOKUP($Q855,'391'!$S:$AG,15,0),0)</f>
        <v>0</v>
      </c>
      <c r="X855" s="1090">
        <f t="shared" si="510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06"/>
      <c r="B856" s="2075"/>
      <c r="C856" s="143"/>
      <c r="D856" s="866" t="s">
        <v>10</v>
      </c>
      <c r="E856" s="933">
        <v>45029</v>
      </c>
      <c r="F856" s="73">
        <f t="shared" si="525"/>
        <v>1247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4">
        <f t="shared" si="520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26"/>
        <v>Betafin S445029</v>
      </c>
      <c r="U856" s="787"/>
      <c r="V856" s="787"/>
      <c r="W856" s="785">
        <f>IFERROR(VLOOKUP($Q856,'391'!$S:$AG,15,0),0)</f>
        <v>0</v>
      </c>
      <c r="X856" s="1090">
        <f t="shared" si="510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06"/>
      <c r="B857" s="2075"/>
      <c r="C857" s="143"/>
      <c r="D857" s="866" t="s">
        <v>10</v>
      </c>
      <c r="E857" s="933">
        <v>44937</v>
      </c>
      <c r="F857" s="73">
        <f t="shared" si="525"/>
        <v>1339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4">
        <f t="shared" si="520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26"/>
        <v>Betafin S444937</v>
      </c>
      <c r="U857" s="787"/>
      <c r="V857" s="787"/>
      <c r="W857" s="785">
        <f>IFERROR(VLOOKUP($Q857,'391'!$S:$AG,15,0),0)</f>
        <v>0</v>
      </c>
      <c r="X857" s="1090">
        <f t="shared" si="510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06"/>
      <c r="B858" s="2075"/>
      <c r="C858" s="143"/>
      <c r="D858" s="866" t="s">
        <v>10</v>
      </c>
      <c r="E858" s="933">
        <v>44426</v>
      </c>
      <c r="F858" s="73">
        <f t="shared" si="525"/>
        <v>1850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4">
        <f t="shared" si="520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26"/>
        <v>Betafin S444426</v>
      </c>
      <c r="U858" s="787"/>
      <c r="V858" s="787"/>
      <c r="W858" s="785">
        <f>IFERROR(VLOOKUP($Q858,'391'!$S:$AG,15,0),0)</f>
        <v>0</v>
      </c>
      <c r="X858" s="1090">
        <f t="shared" si="510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06"/>
      <c r="B859" s="2075"/>
      <c r="C859" s="143"/>
      <c r="D859" s="866" t="s">
        <v>10</v>
      </c>
      <c r="E859" s="933">
        <v>44421</v>
      </c>
      <c r="F859" s="73">
        <f t="shared" si="525"/>
        <v>1855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4">
        <f t="shared" si="520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26"/>
        <v>Betafin S444421</v>
      </c>
      <c r="U859" s="787"/>
      <c r="V859" s="787"/>
      <c r="W859" s="785">
        <f>IFERROR(VLOOKUP($Q859,'391'!$S:$AG,15,0),0)</f>
        <v>0</v>
      </c>
      <c r="X859" s="1090">
        <f t="shared" si="510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06"/>
      <c r="B860" s="2076"/>
      <c r="C860" s="128" t="s">
        <v>46</v>
      </c>
      <c r="D860" s="863" t="s">
        <v>10</v>
      </c>
      <c r="E860" s="934">
        <v>45091</v>
      </c>
      <c r="F860" s="39">
        <f t="shared" si="525"/>
        <v>1185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4">
        <f t="shared" si="520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26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0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27" t="s">
        <v>137</v>
      </c>
      <c r="B861" s="2028"/>
      <c r="C861" s="88"/>
      <c r="D861" s="864"/>
      <c r="E861" s="864"/>
      <c r="F861" s="865"/>
      <c r="G861" s="1297">
        <v>0</v>
      </c>
      <c r="H861" s="1297">
        <f t="shared" ref="H861:K861" si="527">SUM(H854:H860)</f>
        <v>0</v>
      </c>
      <c r="I861" s="1297">
        <f t="shared" si="527"/>
        <v>0</v>
      </c>
      <c r="J861" s="1297">
        <f t="shared" si="527"/>
        <v>0</v>
      </c>
      <c r="K861" s="1297">
        <f t="shared" si="527"/>
        <v>0</v>
      </c>
      <c r="L861" s="1534">
        <f t="shared" si="520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0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05">
        <f>IF(L867=0,"",MAX($A$16:A861)+1)</f>
        <v>53</v>
      </c>
      <c r="B862" s="2074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4">
        <f t="shared" si="520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0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06"/>
      <c r="B863" s="2075"/>
      <c r="C863" s="226" t="s">
        <v>127</v>
      </c>
      <c r="D863" s="875" t="s">
        <v>10</v>
      </c>
      <c r="E863" s="973">
        <v>46246</v>
      </c>
      <c r="F863" s="938">
        <f>$L$7-E863</f>
        <v>30</v>
      </c>
      <c r="G863" s="974">
        <v>15804.399999999992</v>
      </c>
      <c r="H863" s="958">
        <v>23030</v>
      </c>
      <c r="I863" s="958"/>
      <c r="J863" s="1481">
        <f>usage!I85-J864</f>
        <v>1741.8</v>
      </c>
      <c r="K863" s="958"/>
      <c r="L863" s="1534">
        <f t="shared" si="520"/>
        <v>37092.599999999991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(Finland)LF746246</v>
      </c>
      <c r="U863" s="787"/>
      <c r="V863" s="787"/>
      <c r="W863" s="785">
        <f>IFERROR(VLOOKUP($Q863,'391'!$S:$AG,15,0),0)</f>
        <v>0</v>
      </c>
      <c r="X863" s="1090">
        <f t="shared" si="510"/>
        <v>15804.399999999992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06"/>
      <c r="B864" s="2075"/>
      <c r="C864" s="226" t="s">
        <v>209</v>
      </c>
      <c r="D864" s="875" t="s">
        <v>10</v>
      </c>
      <c r="E864" s="973">
        <v>46258</v>
      </c>
      <c r="F864" s="938">
        <f>$L$7-E864</f>
        <v>18</v>
      </c>
      <c r="G864" s="974">
        <v>71760</v>
      </c>
      <c r="H864" s="958"/>
      <c r="I864" s="958"/>
      <c r="J864" s="1481"/>
      <c r="K864" s="1405"/>
      <c r="L864" s="1534">
        <f t="shared" si="520"/>
        <v>71760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0"/>
        <v>71760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06"/>
      <c r="B865" s="2075"/>
      <c r="C865" s="226"/>
      <c r="D865" s="875" t="s">
        <v>10</v>
      </c>
      <c r="E865" s="973">
        <v>44673</v>
      </c>
      <c r="F865" s="938">
        <f t="shared" ref="F865:F866" si="528">$L$7-E865</f>
        <v>1603</v>
      </c>
      <c r="G865" s="974">
        <v>0</v>
      </c>
      <c r="H865" s="958"/>
      <c r="I865" s="958"/>
      <c r="J865" s="1397"/>
      <c r="K865" s="958"/>
      <c r="L865" s="1534">
        <f t="shared" si="520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0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06"/>
      <c r="B866" s="2075"/>
      <c r="C866" s="226" t="s">
        <v>1171</v>
      </c>
      <c r="D866" s="875" t="s">
        <v>10</v>
      </c>
      <c r="E866" s="973"/>
      <c r="F866" s="938">
        <f t="shared" si="528"/>
        <v>46276</v>
      </c>
      <c r="G866" s="974">
        <v>0</v>
      </c>
      <c r="H866" s="958"/>
      <c r="I866" s="958"/>
      <c r="J866" s="1397"/>
      <c r="K866" s="958"/>
      <c r="L866" s="1534">
        <f t="shared" si="520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0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27" t="s">
        <v>224</v>
      </c>
      <c r="B867" s="2028"/>
      <c r="C867" s="88"/>
      <c r="D867" s="864"/>
      <c r="E867" s="864"/>
      <c r="F867" s="865"/>
      <c r="G867" s="1297">
        <v>87564.4</v>
      </c>
      <c r="H867" s="1297">
        <f t="shared" ref="H867:L867" si="529">+SUM(H862:H866)</f>
        <v>23030</v>
      </c>
      <c r="I867" s="1297">
        <f t="shared" si="529"/>
        <v>0</v>
      </c>
      <c r="J867" s="1297">
        <f>+SUM(J862:J866)</f>
        <v>1741.8</v>
      </c>
      <c r="K867" s="1297">
        <f t="shared" si="529"/>
        <v>0</v>
      </c>
      <c r="L867" s="1297">
        <f t="shared" si="529"/>
        <v>108852.59999999999</v>
      </c>
      <c r="M867" s="59">
        <f>IFERROR((R867/$S$2),"")</f>
        <v>2057.2444444444445</v>
      </c>
      <c r="N867" s="366">
        <f>(L867/M867)</f>
        <v>52.911845402696159</v>
      </c>
      <c r="O867" s="59">
        <f>IFERROR(SUMIF(ETM!$A:$A,$Q867,ETM!$E:$E),"")</f>
        <v>2145.4999999999995</v>
      </c>
      <c r="P867" s="880">
        <f>IFERROR(L867/O867,0)</f>
        <v>50.735306455371713</v>
      </c>
      <c r="Q867" s="814" t="s">
        <v>663</v>
      </c>
      <c r="R867" s="785">
        <f>IFERROR(VLOOKUP($Q867,'391'!$S:$Z,8,0),"")</f>
        <v>9257.6</v>
      </c>
      <c r="S867" s="796"/>
      <c r="T867" s="797"/>
      <c r="U867" s="797"/>
      <c r="V867" s="797"/>
      <c r="W867" s="785">
        <f>IFERROR(VLOOKUP($Q867,'391'!$S:$AG,15,0),0)</f>
        <v>74015.199999999997</v>
      </c>
      <c r="X867" s="1090">
        <f t="shared" si="510"/>
        <v>13549.199999999997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05">
        <f>IF(L875=0,"",MAX($A$16:A867)+1)</f>
        <v>54</v>
      </c>
      <c r="B868" s="2074" t="s">
        <v>597</v>
      </c>
      <c r="C868" s="120" t="s">
        <v>1851</v>
      </c>
      <c r="D868" s="887" t="s">
        <v>10</v>
      </c>
      <c r="E868" s="888">
        <v>46263</v>
      </c>
      <c r="F868" s="70">
        <f t="shared" ref="F868:F871" si="530">$L$7-E868</f>
        <v>13</v>
      </c>
      <c r="G868" s="12">
        <v>0</v>
      </c>
      <c r="H868" s="12"/>
      <c r="I868" s="12"/>
      <c r="J868" s="1368"/>
      <c r="K868" s="958">
        <f>IFERROR(SUMIF(INTAKE!$A:$A,$T868,INTAKE!$P:$P),0)</f>
        <v>0</v>
      </c>
      <c r="L868" s="1703">
        <f t="shared" ref="L868:L874" si="531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32">$Q$875&amp;C868&amp;E868</f>
        <v>Sodium BicabonateV3.346263</v>
      </c>
      <c r="U868" s="787"/>
      <c r="V868" s="787"/>
      <c r="W868" s="785">
        <f>IFERROR(VLOOKUP($Q868,'391'!$S:$AG,15,0),0)</f>
        <v>0</v>
      </c>
      <c r="X868" s="1090">
        <f t="shared" si="510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06"/>
      <c r="B869" s="2075"/>
      <c r="C869" s="120" t="s">
        <v>1904</v>
      </c>
      <c r="D869" s="887" t="s">
        <v>10</v>
      </c>
      <c r="E869" s="888">
        <v>46263</v>
      </c>
      <c r="F869" s="70">
        <f t="shared" si="530"/>
        <v>13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3">
        <f t="shared" si="531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32"/>
        <v>Sodium BicabonateV4.246263</v>
      </c>
      <c r="U869" s="787"/>
      <c r="V869" s="787"/>
      <c r="W869" s="785">
        <f>IFERROR(VLOOKUP($Q869,'391'!$S:$AG,15,0),0)</f>
        <v>0</v>
      </c>
      <c r="X869" s="1090">
        <f t="shared" si="510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06"/>
      <c r="B870" s="2075"/>
      <c r="C870" s="120" t="s">
        <v>1876</v>
      </c>
      <c r="D870" s="887" t="s">
        <v>10</v>
      </c>
      <c r="E870" s="888">
        <v>46263</v>
      </c>
      <c r="F870" s="70">
        <f t="shared" si="530"/>
        <v>13</v>
      </c>
      <c r="G870" s="12">
        <v>2500</v>
      </c>
      <c r="H870" s="12"/>
      <c r="I870" s="12"/>
      <c r="J870" s="1368"/>
      <c r="K870" s="958">
        <f>IFERROR(SUMIF(INTAKE!$A:$A,$T870,INTAKE!$P:$P),0)</f>
        <v>0</v>
      </c>
      <c r="L870" s="1703">
        <f t="shared" si="531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32"/>
        <v>Sodium BicabonateZ2.246263</v>
      </c>
      <c r="U870" s="787"/>
      <c r="V870" s="787"/>
      <c r="W870" s="785">
        <f>IFERROR(VLOOKUP($Q870,'391'!$S:$AG,15,0),0)</f>
        <v>0</v>
      </c>
      <c r="X870" s="1090">
        <f t="shared" ref="X870:X898" si="533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06"/>
      <c r="B871" s="2080"/>
      <c r="C871" s="120" t="s">
        <v>192</v>
      </c>
      <c r="D871" s="887" t="s">
        <v>10</v>
      </c>
      <c r="E871" s="888">
        <v>46263</v>
      </c>
      <c r="F871" s="70">
        <f t="shared" si="530"/>
        <v>13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2">
        <f t="shared" si="531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32"/>
        <v>Sodium BicabonateZ3.246263</v>
      </c>
      <c r="U871" s="787"/>
      <c r="V871" s="787"/>
      <c r="W871" s="785">
        <f>IFERROR(VLOOKUP($Q871,'391'!$S:$AG,15,0),0)</f>
        <v>0</v>
      </c>
      <c r="X871" s="1090">
        <f t="shared" ref="X871:X872" si="534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hidden="1" customHeight="1" x14ac:dyDescent="0.25">
      <c r="A872" s="2006"/>
      <c r="B872" s="2080"/>
      <c r="C872" s="120"/>
      <c r="D872" s="887" t="s">
        <v>10</v>
      </c>
      <c r="E872" s="888">
        <v>46263</v>
      </c>
      <c r="F872" s="70">
        <f t="shared" ref="F872" si="535">$L$7-E872</f>
        <v>13</v>
      </c>
      <c r="G872" s="12">
        <v>0</v>
      </c>
      <c r="H872" s="1379"/>
      <c r="I872" s="12"/>
      <c r="J872" s="1368"/>
      <c r="K872" s="958">
        <f>IFERROR(SUMIF(INTAKE!$A:$A,$T872,INTAKE!$P:$P),0)</f>
        <v>0</v>
      </c>
      <c r="L872" s="1712">
        <f t="shared" ref="L872" si="536">+G872+H872+I872-J872-K872</f>
        <v>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32"/>
        <v>Sodium Bicabonate46263</v>
      </c>
      <c r="U872" s="787"/>
      <c r="V872" s="787"/>
      <c r="W872" s="785">
        <f>IFERROR(VLOOKUP($Q872,'391'!$S:$AG,15,0),0)</f>
        <v>0</v>
      </c>
      <c r="X872" s="1090">
        <f t="shared" si="534"/>
        <v>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hidden="1" customHeight="1" x14ac:dyDescent="0.25">
      <c r="A873" s="2006"/>
      <c r="B873" s="2080"/>
      <c r="C873" s="120"/>
      <c r="D873" s="887" t="s">
        <v>10</v>
      </c>
      <c r="E873" s="888">
        <v>46263</v>
      </c>
      <c r="F873" s="70">
        <f t="shared" ref="F873:F874" si="537">$L$7-E873</f>
        <v>13</v>
      </c>
      <c r="G873" s="12">
        <v>0</v>
      </c>
      <c r="H873" s="1379"/>
      <c r="I873" s="12"/>
      <c r="J873" s="1368"/>
      <c r="K873" s="958">
        <f>IFERROR(SUMIF(INTAKE!$A:$A,$T873,INTAKE!$P:$P),0)</f>
        <v>0</v>
      </c>
      <c r="L873" s="1712">
        <f t="shared" si="531"/>
        <v>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32"/>
        <v>Sodium Bicabonate46263</v>
      </c>
      <c r="U873" s="787"/>
      <c r="V873" s="787"/>
      <c r="W873" s="785">
        <f>IFERROR(VLOOKUP($Q873,'391'!$S:$AG,15,0),0)</f>
        <v>0</v>
      </c>
      <c r="X873" s="1090">
        <f t="shared" si="533"/>
        <v>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06"/>
      <c r="B874" s="2076"/>
      <c r="C874" s="61" t="s">
        <v>46</v>
      </c>
      <c r="D874" s="863" t="s">
        <v>10</v>
      </c>
      <c r="E874" s="886">
        <v>46263</v>
      </c>
      <c r="F874" s="39">
        <f t="shared" si="537"/>
        <v>13</v>
      </c>
      <c r="G874" s="37">
        <v>2537.4600000000005</v>
      </c>
      <c r="H874" s="37"/>
      <c r="I874" s="37">
        <f>K868+K869+K870</f>
        <v>0</v>
      </c>
      <c r="J874" s="1398">
        <f>usage!I73</f>
        <v>1022.95</v>
      </c>
      <c r="K874" s="37"/>
      <c r="L874" s="1534">
        <f t="shared" si="531"/>
        <v>1514.5100000000004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32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33"/>
        <v>2537.4600000000005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27" t="s">
        <v>598</v>
      </c>
      <c r="B875" s="2028"/>
      <c r="C875" s="929"/>
      <c r="D875" s="864"/>
      <c r="E875" s="864"/>
      <c r="F875" s="865"/>
      <c r="G875" s="1297">
        <v>10037.460000000001</v>
      </c>
      <c r="H875" s="1297">
        <f t="shared" ref="H875:L875" si="538">SUM(H868:H874)</f>
        <v>0</v>
      </c>
      <c r="I875" s="1297">
        <f t="shared" si="538"/>
        <v>0</v>
      </c>
      <c r="J875" s="1297">
        <f t="shared" si="538"/>
        <v>1022.95</v>
      </c>
      <c r="K875" s="1297">
        <f t="shared" si="538"/>
        <v>0</v>
      </c>
      <c r="L875" s="1297">
        <f t="shared" si="538"/>
        <v>9014.51</v>
      </c>
      <c r="M875" s="59">
        <f>IFERROR((R875/$S$2),"")</f>
        <v>701.54000000000008</v>
      </c>
      <c r="N875" s="366">
        <f>IFERROR(L875/M875,0)</f>
        <v>12.849602303503719</v>
      </c>
      <c r="O875" s="59">
        <f>IFERROR(SUMIF(ETM!$A:$A,$Q875,ETM!$E:$E),"")</f>
        <v>512.83333333333337</v>
      </c>
      <c r="P875" s="880">
        <f>IFERROR(L875/O875,0)</f>
        <v>17.577855053623658</v>
      </c>
      <c r="Q875" s="814" t="s">
        <v>664</v>
      </c>
      <c r="R875" s="785">
        <f>IFERROR(VLOOKUP($Q875,'391'!$S:$Z,8,0),"")</f>
        <v>3156.9300000000003</v>
      </c>
      <c r="S875" s="796"/>
      <c r="T875" s="797"/>
      <c r="U875" s="797"/>
      <c r="V875" s="797"/>
      <c r="W875" s="785">
        <f>IFERROR(VLOOKUP($Q875,'391'!$S:$AG,15,0),0)</f>
        <v>12149.19</v>
      </c>
      <c r="X875" s="1090">
        <f t="shared" si="533"/>
        <v>-2111.7299999999996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81">
        <f>IF(L882=0,"",MAX($A$16:A875)+1)</f>
        <v>55</v>
      </c>
      <c r="B876" s="2074" t="s">
        <v>13</v>
      </c>
      <c r="C876" s="120"/>
      <c r="D876" s="887" t="s">
        <v>10</v>
      </c>
      <c r="E876" s="962">
        <v>45862</v>
      </c>
      <c r="F876" s="70">
        <f t="shared" ref="F876:F880" si="539">$L$7-E876</f>
        <v>414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3">
        <f t="shared" ref="L876:L881" si="540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41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33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78"/>
      <c r="B877" s="2075"/>
      <c r="C877" s="120" t="s">
        <v>1838</v>
      </c>
      <c r="D877" s="887" t="s">
        <v>10</v>
      </c>
      <c r="E877" s="962">
        <v>46262</v>
      </c>
      <c r="F877" s="70">
        <f t="shared" si="539"/>
        <v>14</v>
      </c>
      <c r="G877" s="12">
        <v>975</v>
      </c>
      <c r="H877" s="12"/>
      <c r="I877" s="12"/>
      <c r="J877" s="1368"/>
      <c r="K877" s="12">
        <f>IFERROR(SUMIF(INTAKE!$A:$A,$T877,INTAKE!$P:$P),0)</f>
        <v>175</v>
      </c>
      <c r="L877" s="1703">
        <f t="shared" si="540"/>
        <v>800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41"/>
        <v>Endox Dry (Singapore)Z3.146262</v>
      </c>
      <c r="U877" s="787"/>
      <c r="V877" s="787"/>
      <c r="W877" s="785">
        <f>IFERROR(VLOOKUP($Q877,'391'!$S:$AG,15,0),0)</f>
        <v>0</v>
      </c>
      <c r="X877" s="1090">
        <f t="shared" si="533"/>
        <v>975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78"/>
      <c r="B878" s="2075"/>
      <c r="C878" s="120" t="s">
        <v>1838</v>
      </c>
      <c r="D878" s="887" t="s">
        <v>10</v>
      </c>
      <c r="E878" s="962">
        <v>46270</v>
      </c>
      <c r="F878" s="70">
        <f t="shared" si="539"/>
        <v>6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3">
        <f t="shared" si="540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41"/>
        <v>Endox Dry (Singapore)Z3.146270</v>
      </c>
      <c r="U878" s="787"/>
      <c r="V878" s="787"/>
      <c r="W878" s="785">
        <f>IFERROR(VLOOKUP($Q878,'391'!$S:$AG,15,0),0)</f>
        <v>0</v>
      </c>
      <c r="X878" s="1090">
        <f t="shared" si="533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customHeight="1" x14ac:dyDescent="0.25">
      <c r="A879" s="2078"/>
      <c r="B879" s="2080"/>
      <c r="C879" s="120" t="s">
        <v>596</v>
      </c>
      <c r="D879" s="887" t="s">
        <v>10</v>
      </c>
      <c r="E879" s="962">
        <v>46275</v>
      </c>
      <c r="F879" s="70">
        <f t="shared" si="539"/>
        <v>1</v>
      </c>
      <c r="G879" s="12">
        <v>1000</v>
      </c>
      <c r="H879" s="12"/>
      <c r="I879" s="12"/>
      <c r="J879" s="1368"/>
      <c r="K879" s="12">
        <f>IFERROR(SUMIF(INTAKE!$A:$A,$T879,INTAKE!$P:$P),0)</f>
        <v>0</v>
      </c>
      <c r="L879" s="1712">
        <f t="shared" si="540"/>
        <v>1000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41"/>
        <v>Endox Dry (Singapore)V2.146275</v>
      </c>
      <c r="U879" s="787"/>
      <c r="V879" s="787"/>
      <c r="W879" s="785">
        <f>IFERROR(VLOOKUP($Q879,'391'!$S:$AG,15,0),0)</f>
        <v>0</v>
      </c>
      <c r="X879" s="1090">
        <f t="shared" si="533"/>
        <v>1000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78"/>
      <c r="B880" s="2075"/>
      <c r="C880" s="120"/>
      <c r="D880" s="887" t="s">
        <v>10</v>
      </c>
      <c r="E880" s="962">
        <v>46275</v>
      </c>
      <c r="F880" s="70">
        <f t="shared" ref="F880:F881" si="542">$L$7-E880</f>
        <v>1</v>
      </c>
      <c r="G880" s="12"/>
      <c r="H880" s="12"/>
      <c r="I880" s="12"/>
      <c r="J880" s="1368"/>
      <c r="K880" s="12">
        <f>IFERROR(SUMIF(INTAKE!$A:$A,$T880,INTAKE!$P:$P),0)</f>
        <v>0</v>
      </c>
      <c r="L880" s="1703">
        <f t="shared" si="540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41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33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78"/>
      <c r="B881" s="2075"/>
      <c r="C881" s="187" t="s">
        <v>46</v>
      </c>
      <c r="D881" s="852" t="s">
        <v>10</v>
      </c>
      <c r="E881" s="968">
        <v>46262</v>
      </c>
      <c r="F881" s="73">
        <f t="shared" si="542"/>
        <v>14</v>
      </c>
      <c r="G881" s="58">
        <v>162.60000000000008</v>
      </c>
      <c r="H881" s="11"/>
      <c r="I881" s="58">
        <f>+SUM(K876:K880)</f>
        <v>175</v>
      </c>
      <c r="J881" s="1365">
        <f>+usage!I113</f>
        <v>122.07</v>
      </c>
      <c r="K881" s="12">
        <f>IFERROR(SUMIF(INTAKE!$A:$A,$T881,INTAKE!$P:$P),0)</f>
        <v>0</v>
      </c>
      <c r="L881" s="1534">
        <f t="shared" si="540"/>
        <v>215.53000000000009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41"/>
        <v>Endox Dry (Singapore)Feedmill46262</v>
      </c>
      <c r="U881" s="787"/>
      <c r="V881" s="787"/>
      <c r="W881" s="785">
        <f>IFERROR(VLOOKUP($Q881,'391'!$S:$AG,15,0),0)</f>
        <v>0</v>
      </c>
      <c r="X881" s="1090">
        <f t="shared" si="533"/>
        <v>162.60000000000008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27" t="s">
        <v>16</v>
      </c>
      <c r="B882" s="2028"/>
      <c r="C882" s="88"/>
      <c r="D882" s="864"/>
      <c r="E882" s="864"/>
      <c r="F882" s="865"/>
      <c r="G882" s="1297">
        <v>3137.6</v>
      </c>
      <c r="H882" s="1297">
        <f t="shared" ref="H882:L882" si="543">SUM(H876:H881)</f>
        <v>0</v>
      </c>
      <c r="I882" s="1297">
        <f t="shared" si="543"/>
        <v>175</v>
      </c>
      <c r="J882" s="1297">
        <f t="shared" si="543"/>
        <v>122.07</v>
      </c>
      <c r="K882" s="1297">
        <f t="shared" si="543"/>
        <v>175</v>
      </c>
      <c r="L882" s="1297">
        <f t="shared" si="543"/>
        <v>3015.53</v>
      </c>
      <c r="M882" s="59">
        <f>IFERROR((R882/$S$2),"")</f>
        <v>133.55333333333334</v>
      </c>
      <c r="N882" s="854">
        <f>(L882/M882)</f>
        <v>22.579219288174514</v>
      </c>
      <c r="O882" s="59">
        <f>IFERROR(SUMIF(ETM!$A:$A,$Q882,ETM!$E:$E),"")</f>
        <v>130.5</v>
      </c>
      <c r="P882" s="880">
        <f>IFERROR(L882/O882,0)</f>
        <v>23.107509578544065</v>
      </c>
      <c r="Q882" s="814" t="s">
        <v>665</v>
      </c>
      <c r="R882" s="785">
        <f>IFERROR(VLOOKUP($Q882,'391'!$S:$Z,8,0),"")</f>
        <v>600.99</v>
      </c>
      <c r="S882" s="796"/>
      <c r="T882" s="797"/>
      <c r="U882" s="797"/>
      <c r="V882" s="797"/>
      <c r="W882" s="785">
        <f>IFERROR(VLOOKUP($Q882,'391'!$S:$AG,15,0),0)</f>
        <v>2746.6</v>
      </c>
      <c r="X882" s="1090">
        <f t="shared" si="533"/>
        <v>391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05" t="str">
        <f>IF(L890=0,"",MAX($A$16:A882)+1)</f>
        <v/>
      </c>
      <c r="B883" s="2074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44">$L$7-E883</f>
        <v>1942</v>
      </c>
      <c r="G883" s="12">
        <v>0</v>
      </c>
      <c r="H883" s="12"/>
      <c r="I883" s="12"/>
      <c r="J883" s="1368"/>
      <c r="K883" s="12"/>
      <c r="L883" s="1534">
        <f t="shared" ref="L883:L898" si="545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33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06"/>
      <c r="B884" s="2075"/>
      <c r="C884" s="160" t="s">
        <v>123</v>
      </c>
      <c r="D884" s="887" t="s">
        <v>10</v>
      </c>
      <c r="E884" s="962">
        <v>45290</v>
      </c>
      <c r="F884" s="70">
        <f t="shared" si="544"/>
        <v>986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4">
        <f t="shared" si="545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46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33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06"/>
      <c r="B885" s="2075"/>
      <c r="C885" s="160"/>
      <c r="D885" s="887" t="s">
        <v>10</v>
      </c>
      <c r="E885" s="962">
        <v>45121</v>
      </c>
      <c r="F885" s="70">
        <f t="shared" si="544"/>
        <v>1155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4">
        <f t="shared" si="545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46"/>
        <v>Mycosorb A+45121</v>
      </c>
      <c r="U885" s="787"/>
      <c r="V885" s="787"/>
      <c r="W885" s="785">
        <f>IFERROR(VLOOKUP($Q885,'391'!$S:$AG,15,0),0)</f>
        <v>0</v>
      </c>
      <c r="X885" s="1090">
        <f t="shared" si="533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06"/>
      <c r="B886" s="2075"/>
      <c r="C886" s="160"/>
      <c r="D886" s="887" t="s">
        <v>10</v>
      </c>
      <c r="E886" s="962">
        <v>45121</v>
      </c>
      <c r="F886" s="70">
        <f t="shared" si="544"/>
        <v>1155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4">
        <f t="shared" si="545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46"/>
        <v>Mycosorb A+45121</v>
      </c>
      <c r="U886" s="787"/>
      <c r="V886" s="787"/>
      <c r="W886" s="785">
        <f>IFERROR(VLOOKUP($Q886,'391'!$S:$AG,15,0),0)</f>
        <v>0</v>
      </c>
      <c r="X886" s="1090">
        <f t="shared" si="533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06"/>
      <c r="B887" s="2075"/>
      <c r="C887" s="143"/>
      <c r="D887" s="887" t="s">
        <v>10</v>
      </c>
      <c r="E887" s="962">
        <v>43600</v>
      </c>
      <c r="F887" s="70">
        <f t="shared" si="544"/>
        <v>2676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4">
        <f t="shared" si="545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46"/>
        <v>Mycosorb A+43600</v>
      </c>
      <c r="U887" s="787"/>
      <c r="V887" s="787"/>
      <c r="W887" s="785">
        <f>IFERROR(VLOOKUP($Q887,'391'!$S:$AG,15,0),0)</f>
        <v>0</v>
      </c>
      <c r="X887" s="1090">
        <f t="shared" si="533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06"/>
      <c r="B888" s="2075"/>
      <c r="C888" s="123" t="s">
        <v>46</v>
      </c>
      <c r="D888" s="850" t="s">
        <v>10</v>
      </c>
      <c r="E888" s="960">
        <v>45290</v>
      </c>
      <c r="F888" s="42">
        <f t="shared" si="544"/>
        <v>986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4">
        <f t="shared" si="545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46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33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06"/>
      <c r="B889" s="2076"/>
      <c r="C889" s="119" t="s">
        <v>46</v>
      </c>
      <c r="D889" s="863" t="s">
        <v>10</v>
      </c>
      <c r="E889" s="934">
        <v>42341</v>
      </c>
      <c r="F889" s="39">
        <f t="shared" si="544"/>
        <v>3935</v>
      </c>
      <c r="G889" s="37">
        <v>0</v>
      </c>
      <c r="H889" s="37"/>
      <c r="I889" s="37"/>
      <c r="J889" s="1385"/>
      <c r="K889" s="37"/>
      <c r="L889" s="1534">
        <f t="shared" si="545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46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33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27" t="s">
        <v>282</v>
      </c>
      <c r="B890" s="2028"/>
      <c r="C890" s="88"/>
      <c r="D890" s="864"/>
      <c r="E890" s="864"/>
      <c r="F890" s="865"/>
      <c r="G890" s="1297">
        <v>0</v>
      </c>
      <c r="H890" s="1297">
        <f t="shared" ref="H890:K890" si="547">SUM(H883:H889)</f>
        <v>0</v>
      </c>
      <c r="I890" s="1297">
        <f t="shared" si="547"/>
        <v>0</v>
      </c>
      <c r="J890" s="1297">
        <f t="shared" si="547"/>
        <v>0</v>
      </c>
      <c r="K890" s="1297">
        <f t="shared" si="547"/>
        <v>0</v>
      </c>
      <c r="L890" s="1534">
        <f t="shared" si="545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33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29">
        <f>IF(L899=0,"",MAX($A$16:A890)+1)</f>
        <v>56</v>
      </c>
      <c r="B891" s="2051" t="s">
        <v>1238</v>
      </c>
      <c r="C891" s="160"/>
      <c r="D891" s="866" t="s">
        <v>10</v>
      </c>
      <c r="E891" s="935">
        <v>44768</v>
      </c>
      <c r="F891" s="75">
        <f t="shared" ref="F891:F898" si="548">$L$7-E891</f>
        <v>1508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4">
        <f t="shared" si="545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33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30"/>
      <c r="B892" s="2073"/>
      <c r="C892" s="160" t="s">
        <v>194</v>
      </c>
      <c r="D892" s="866" t="s">
        <v>10</v>
      </c>
      <c r="E892" s="935">
        <v>46220</v>
      </c>
      <c r="F892" s="75">
        <f t="shared" ref="F892" si="549">$L$7-E892</f>
        <v>56</v>
      </c>
      <c r="G892" s="63">
        <v>50</v>
      </c>
      <c r="H892" s="63"/>
      <c r="I892" s="63"/>
      <c r="J892" s="1378"/>
      <c r="K892" s="63">
        <f>IFERROR(SUMIF(INTAKE!$A:$A,$T892,INTAKE!$P:$P),0)</f>
        <v>50</v>
      </c>
      <c r="L892" s="1703">
        <f t="shared" si="545"/>
        <v>0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50">$Q$898&amp;C892&amp;E892</f>
        <v>Allplex B (Local)V7.246220</v>
      </c>
      <c r="U892" s="787"/>
      <c r="V892" s="787"/>
      <c r="W892" s="785">
        <f>IFERROR(VLOOKUP($Q892,'391'!$S:$AG,15,0),0)</f>
        <v>0</v>
      </c>
      <c r="X892" s="1090">
        <f t="shared" si="533"/>
        <v>50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customHeight="1" x14ac:dyDescent="0.25">
      <c r="A893" s="2030"/>
      <c r="B893" s="2073"/>
      <c r="C893" s="160" t="s">
        <v>197</v>
      </c>
      <c r="D893" s="866" t="s">
        <v>10</v>
      </c>
      <c r="E893" s="935">
        <v>46251</v>
      </c>
      <c r="F893" s="75">
        <f t="shared" si="548"/>
        <v>25</v>
      </c>
      <c r="G893" s="63">
        <v>1000</v>
      </c>
      <c r="H893" s="63"/>
      <c r="I893" s="63"/>
      <c r="J893" s="1378"/>
      <c r="K893" s="63">
        <f>IFERROR(SUMIF(INTAKE!$A:$A,$T893,INTAKE!$P:$P),0)</f>
        <v>25</v>
      </c>
      <c r="L893" s="1703">
        <f t="shared" si="545"/>
        <v>975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50"/>
        <v>Allplex B (Local)V8.246251</v>
      </c>
      <c r="U893" s="787"/>
      <c r="V893" s="787"/>
      <c r="W893" s="785">
        <f>IFERROR(VLOOKUP($Q893,'391'!$S:$AG,15,0),0)</f>
        <v>0</v>
      </c>
      <c r="X893" s="1090">
        <f t="shared" si="533"/>
        <v>1000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30"/>
      <c r="B894" s="2073"/>
      <c r="C894" s="160"/>
      <c r="D894" s="866" t="s">
        <v>10</v>
      </c>
      <c r="E894" s="935">
        <v>46220</v>
      </c>
      <c r="F894" s="75">
        <f t="shared" ref="F894" si="551">$L$7-E894</f>
        <v>56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3">
        <f t="shared" si="545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50"/>
        <v>Allplex B (Local)46220</v>
      </c>
      <c r="U894" s="787"/>
      <c r="V894" s="787"/>
      <c r="W894" s="785">
        <f>IFERROR(VLOOKUP($Q894,'391'!$S:$AG,15,0),0)</f>
        <v>0</v>
      </c>
      <c r="X894" s="1090">
        <f t="shared" si="533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30"/>
      <c r="B895" s="2073"/>
      <c r="C895" s="160"/>
      <c r="D895" s="866" t="s">
        <v>10</v>
      </c>
      <c r="E895" s="935">
        <v>46063</v>
      </c>
      <c r="F895" s="75">
        <f t="shared" si="548"/>
        <v>213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4">
        <f t="shared" si="545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50"/>
        <v>Allplex B (Local)46063</v>
      </c>
      <c r="U895" s="787"/>
      <c r="V895" s="787"/>
      <c r="W895" s="785">
        <f>IFERROR(VLOOKUP($Q895,'391'!$S:$AG,15,0),0)</f>
        <v>0</v>
      </c>
      <c r="X895" s="1090">
        <f t="shared" si="533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30"/>
      <c r="B896" s="2073"/>
      <c r="C896" s="160"/>
      <c r="D896" s="866" t="s">
        <v>10</v>
      </c>
      <c r="E896" s="935">
        <v>44231</v>
      </c>
      <c r="F896" s="75">
        <f t="shared" si="548"/>
        <v>2045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4">
        <f t="shared" si="545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50"/>
        <v>Allplex B (Local)44231</v>
      </c>
      <c r="U896" s="787"/>
      <c r="V896" s="787"/>
      <c r="W896" s="785">
        <f>IFERROR(VLOOKUP($Q896,'391'!$S:$AG,15,0),0)</f>
        <v>0</v>
      </c>
      <c r="X896" s="1090">
        <f t="shared" si="533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30"/>
      <c r="B897" s="2073"/>
      <c r="C897" s="160"/>
      <c r="D897" s="866" t="s">
        <v>10</v>
      </c>
      <c r="E897" s="935">
        <v>44172</v>
      </c>
      <c r="F897" s="75">
        <f t="shared" si="548"/>
        <v>2104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4">
        <f t="shared" si="545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50"/>
        <v>Allplex B (Local)44172</v>
      </c>
      <c r="U897" s="787"/>
      <c r="V897" s="787"/>
      <c r="W897" s="785">
        <f>IFERROR(VLOOKUP($Q897,'391'!$S:$AG,15,0),0)</f>
        <v>0</v>
      </c>
      <c r="X897" s="1090">
        <f t="shared" si="533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30"/>
      <c r="B898" s="2073"/>
      <c r="C898" s="123" t="s">
        <v>46</v>
      </c>
      <c r="D898" s="850" t="s">
        <v>10</v>
      </c>
      <c r="E898" s="960">
        <v>46220</v>
      </c>
      <c r="F898" s="42">
        <f t="shared" si="548"/>
        <v>56</v>
      </c>
      <c r="G898" s="56">
        <v>94.140000000000015</v>
      </c>
      <c r="H898" s="56"/>
      <c r="I898" s="56">
        <f>+SUM(K891:K895)</f>
        <v>75</v>
      </c>
      <c r="J898" s="1369">
        <f>+usage!I125</f>
        <v>87.08</v>
      </c>
      <c r="K898" s="63">
        <f>IFERROR(SUMIF(INTAKE!$A:$A,$T898,INTAKE!$P:$P),0)</f>
        <v>0</v>
      </c>
      <c r="L898" s="1534">
        <f t="shared" si="545"/>
        <v>82.060000000000016</v>
      </c>
      <c r="M898" s="223"/>
      <c r="N898" s="920"/>
      <c r="O898" s="223"/>
      <c r="P898" s="736"/>
      <c r="Q898" s="666" t="s">
        <v>1208</v>
      </c>
      <c r="R898" s="785">
        <f>IFERROR(VLOOKUP($Q898,'391'!$S:$Z,8,0),"")</f>
        <v>248.19</v>
      </c>
      <c r="S898" s="786"/>
      <c r="T898" s="787" t="str">
        <f t="shared" si="550"/>
        <v>Allplex B (Local)Feedmill46220</v>
      </c>
      <c r="U898" s="787"/>
      <c r="V898" s="787"/>
      <c r="W898" s="785">
        <f>IFERROR(VLOOKUP($Q898,'391'!$S:$AG,15,0),0)</f>
        <v>1202.82</v>
      </c>
      <c r="X898" s="1090">
        <f t="shared" si="533"/>
        <v>-1108.6799999999998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27" t="s">
        <v>17</v>
      </c>
      <c r="B899" s="2028"/>
      <c r="C899" s="88"/>
      <c r="D899" s="864"/>
      <c r="E899" s="864"/>
      <c r="F899" s="865"/>
      <c r="G899" s="1297">
        <v>1144.1400000000001</v>
      </c>
      <c r="H899" s="1297">
        <f t="shared" ref="H899:I899" si="552">SUM(H891:H898)</f>
        <v>0</v>
      </c>
      <c r="I899" s="1297">
        <f t="shared" si="552"/>
        <v>75</v>
      </c>
      <c r="J899" s="1297">
        <f t="shared" ref="J899:L899" si="553">SUM(J891:J898)</f>
        <v>87.08</v>
      </c>
      <c r="K899" s="1297">
        <f t="shared" si="553"/>
        <v>75</v>
      </c>
      <c r="L899" s="1297">
        <f t="shared" si="553"/>
        <v>1057.06</v>
      </c>
      <c r="M899" s="59">
        <f>IFERROR(((R899+R898)/$S$2),"")</f>
        <v>55.153333333333336</v>
      </c>
      <c r="N899" s="366">
        <f>(L899/M899)</f>
        <v>19.165840686570771</v>
      </c>
      <c r="O899" s="59">
        <f>IFERROR(SUMIF(ETM!$A:$A,$Q899,ETM!$E:$E),"")</f>
        <v>28.166666666666671</v>
      </c>
      <c r="P899" s="880">
        <f>IFERROR(L899/O899,0)</f>
        <v>37.528757396449699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-58.679999999999836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81">
        <f>IF(L909=0,"",MAX($A$16:A899)+1)</f>
        <v>57</v>
      </c>
      <c r="B900" s="2074" t="s">
        <v>1236</v>
      </c>
      <c r="C900" s="120"/>
      <c r="D900" s="887" t="s">
        <v>10</v>
      </c>
      <c r="E900" s="962">
        <v>43329</v>
      </c>
      <c r="F900" s="70">
        <f t="shared" ref="F900:F908" si="554">$L$7-E900</f>
        <v>2947</v>
      </c>
      <c r="G900" s="12">
        <v>0</v>
      </c>
      <c r="H900" s="11"/>
      <c r="I900" s="11"/>
      <c r="J900" s="1388"/>
      <c r="K900" s="11"/>
      <c r="L900" s="1534">
        <f t="shared" ref="L900:L908" si="555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56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78"/>
      <c r="B901" s="2075"/>
      <c r="C901" s="160" t="s">
        <v>247</v>
      </c>
      <c r="D901" s="887" t="s">
        <v>10</v>
      </c>
      <c r="E901" s="962">
        <v>46251</v>
      </c>
      <c r="F901" s="70">
        <f t="shared" si="554"/>
        <v>25</v>
      </c>
      <c r="G901" s="12">
        <v>11000</v>
      </c>
      <c r="H901" s="11"/>
      <c r="I901" s="11"/>
      <c r="J901" s="1388"/>
      <c r="K901" s="1399">
        <f>IFERROR(SUMIF(INTAKE!$A:$A,$T901,INTAKE!$P:$P),0)</f>
        <v>1000</v>
      </c>
      <c r="L901" s="1703">
        <f t="shared" si="555"/>
        <v>10000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56"/>
        <v>11000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78"/>
      <c r="B902" s="2075"/>
      <c r="C902" s="160" t="s">
        <v>1190</v>
      </c>
      <c r="D902" s="887" t="s">
        <v>10</v>
      </c>
      <c r="E902" s="962">
        <v>46265</v>
      </c>
      <c r="F902" s="70">
        <f t="shared" si="554"/>
        <v>11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3">
        <f t="shared" si="555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56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 x14ac:dyDescent="0.25">
      <c r="A903" s="2078"/>
      <c r="B903" s="2075"/>
      <c r="C903" s="160"/>
      <c r="D903" s="887" t="s">
        <v>10</v>
      </c>
      <c r="E903" s="962">
        <v>46251</v>
      </c>
      <c r="F903" s="70">
        <f t="shared" ref="F903:F906" si="557">$L$7-E903</f>
        <v>25</v>
      </c>
      <c r="G903" s="12">
        <v>0</v>
      </c>
      <c r="H903" s="11"/>
      <c r="I903" s="11"/>
      <c r="J903" s="1388"/>
      <c r="K903" s="11">
        <f>IFERROR(SUMIF(INTAKE!$A:$A,$T903,INTAKE!$P:$P),0)</f>
        <v>0</v>
      </c>
      <c r="L903" s="1703">
        <f t="shared" si="555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56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78"/>
      <c r="B904" s="2075"/>
      <c r="C904" s="160"/>
      <c r="D904" s="887" t="s">
        <v>10</v>
      </c>
      <c r="E904" s="962">
        <v>46265</v>
      </c>
      <c r="F904" s="70">
        <f t="shared" si="557"/>
        <v>11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3">
        <f t="shared" si="555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56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78"/>
      <c r="B905" s="2075"/>
      <c r="C905" s="160"/>
      <c r="D905" s="887" t="s">
        <v>10</v>
      </c>
      <c r="E905" s="962">
        <v>46265</v>
      </c>
      <c r="F905" s="70">
        <f t="shared" ref="F905" si="558">$L$7-E905</f>
        <v>11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3">
        <f t="shared" si="555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56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78"/>
      <c r="B906" s="2075"/>
      <c r="C906" s="160"/>
      <c r="D906" s="887" t="s">
        <v>10</v>
      </c>
      <c r="E906" s="962">
        <v>46265</v>
      </c>
      <c r="F906" s="70">
        <f t="shared" si="557"/>
        <v>11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2">
        <f t="shared" si="555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56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78"/>
      <c r="B907" s="2075"/>
      <c r="C907" s="160"/>
      <c r="D907" s="887" t="s">
        <v>10</v>
      </c>
      <c r="E907" s="962">
        <v>46265</v>
      </c>
      <c r="F907" s="70">
        <f t="shared" si="554"/>
        <v>11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3">
        <f t="shared" si="555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56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8"/>
      <c r="B908" s="2075"/>
      <c r="C908" s="187" t="s">
        <v>46</v>
      </c>
      <c r="D908" s="852" t="s">
        <v>10</v>
      </c>
      <c r="E908" s="968">
        <v>46251</v>
      </c>
      <c r="F908" s="73">
        <f t="shared" si="554"/>
        <v>25</v>
      </c>
      <c r="G908" s="58">
        <v>1384.1199999999997</v>
      </c>
      <c r="H908" s="58"/>
      <c r="I908" s="58">
        <f>+SUM(K901:K906)</f>
        <v>1000</v>
      </c>
      <c r="J908" s="1365">
        <f>+usage!I127</f>
        <v>675.64</v>
      </c>
      <c r="K908" s="11">
        <f>IFERROR(SUMIF(INTAKE!$A:$A,$T908,INTAKE!$P:$P),0)</f>
        <v>0</v>
      </c>
      <c r="L908" s="1534">
        <f t="shared" si="555"/>
        <v>1708.48</v>
      </c>
      <c r="M908" s="101"/>
      <c r="N908" s="249"/>
      <c r="O908" s="101"/>
      <c r="P908" s="750"/>
      <c r="Q908" s="666" t="s">
        <v>1205</v>
      </c>
      <c r="R908" s="785">
        <f>IFERROR(VLOOKUP($Q908,'391'!$S:$Z,8,0),"")</f>
        <v>3035.46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27241.14</v>
      </c>
      <c r="X908" s="1090">
        <f t="shared" si="556"/>
        <v>-25857.02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27" t="s">
        <v>18</v>
      </c>
      <c r="B909" s="2028"/>
      <c r="C909" s="88"/>
      <c r="D909" s="864"/>
      <c r="E909" s="864"/>
      <c r="F909" s="865"/>
      <c r="G909" s="1297">
        <v>24384.12</v>
      </c>
      <c r="H909" s="1297">
        <f t="shared" ref="H909:I909" si="559">SUM(H900:H908)</f>
        <v>0</v>
      </c>
      <c r="I909" s="1297">
        <f t="shared" si="559"/>
        <v>1000</v>
      </c>
      <c r="J909" s="1297">
        <f t="shared" ref="J909:L909" si="560">SUM(J900:J908)</f>
        <v>675.64</v>
      </c>
      <c r="K909" s="1297">
        <f t="shared" si="560"/>
        <v>1000</v>
      </c>
      <c r="L909" s="1297">
        <f t="shared" si="560"/>
        <v>23708.48</v>
      </c>
      <c r="M909" s="59">
        <f>IFERROR(((R909+R908)/$S$2),"")</f>
        <v>674.54666666666662</v>
      </c>
      <c r="N909" s="366">
        <f>(L909/M909)</f>
        <v>35.147279160324963</v>
      </c>
      <c r="O909" s="59">
        <f>IFERROR(SUMIF(ETM!$A:$A,$Q909,ETM!$E:$E),"")</f>
        <v>660.16666666666663</v>
      </c>
      <c r="P909" s="880">
        <f>IFERROR(L909/O909,0)</f>
        <v>35.912870487250693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-2857.0200000000004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05">
        <f>IF(L927=0,"",MAX($A$16:A909)+1)</f>
        <v>58</v>
      </c>
      <c r="B910" s="2074" t="s">
        <v>1237</v>
      </c>
      <c r="C910" s="160"/>
      <c r="D910" s="881" t="s">
        <v>10</v>
      </c>
      <c r="E910" s="976">
        <v>45989</v>
      </c>
      <c r="F910" s="71">
        <f t="shared" ref="F910:F912" si="561">$L$7-E910</f>
        <v>287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3">
        <f t="shared" ref="L910:L926" si="562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63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64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06"/>
      <c r="B911" s="2075"/>
      <c r="C911" s="160" t="s">
        <v>1661</v>
      </c>
      <c r="D911" s="881" t="s">
        <v>10</v>
      </c>
      <c r="E911" s="976">
        <v>46251</v>
      </c>
      <c r="F911" s="71">
        <f t="shared" si="561"/>
        <v>25</v>
      </c>
      <c r="G911" s="11">
        <v>3000</v>
      </c>
      <c r="H911" s="12"/>
      <c r="I911" s="12"/>
      <c r="J911" s="1368"/>
      <c r="K911" s="11">
        <f>IFERROR(SUMIF(INTAKE!$A:$A,$T911,INTAKE!$P:$P),0)</f>
        <v>0</v>
      </c>
      <c r="L911" s="1703">
        <f t="shared" si="562"/>
        <v>3000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63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64"/>
        <v>3000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06"/>
      <c r="B912" s="2075"/>
      <c r="C912" s="160" t="s">
        <v>509</v>
      </c>
      <c r="D912" s="881" t="s">
        <v>10</v>
      </c>
      <c r="E912" s="976">
        <v>46265</v>
      </c>
      <c r="F912" s="71">
        <f t="shared" si="561"/>
        <v>11</v>
      </c>
      <c r="G912" s="11">
        <v>8000</v>
      </c>
      <c r="H912" s="12"/>
      <c r="I912" s="12"/>
      <c r="J912" s="1368"/>
      <c r="K912" s="11">
        <f>IFERROR(SUMIF(INTAKE!$A:$A,$T912,INTAKE!$P:$P),0)</f>
        <v>0</v>
      </c>
      <c r="L912" s="1703">
        <f t="shared" si="562"/>
        <v>8000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63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64"/>
        <v>8000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06"/>
      <c r="B913" s="2075"/>
      <c r="C913" s="160"/>
      <c r="D913" s="881" t="s">
        <v>10</v>
      </c>
      <c r="E913" s="976">
        <v>46265</v>
      </c>
      <c r="F913" s="71">
        <f t="shared" ref="F913" si="565">$L$7-E913</f>
        <v>11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3">
        <f t="shared" si="562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63"/>
        <v>Allplex S (Local)46265</v>
      </c>
      <c r="U913" s="787"/>
      <c r="V913" s="787"/>
      <c r="W913" s="785">
        <f>IFERROR(VLOOKUP($Q913,'391'!$S:$AG,15,0),0)</f>
        <v>0</v>
      </c>
      <c r="X913" s="1090">
        <f t="shared" si="564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06"/>
      <c r="B914" s="2080"/>
      <c r="C914" s="160"/>
      <c r="D914" s="881" t="s">
        <v>10</v>
      </c>
      <c r="E914" s="976">
        <v>46020</v>
      </c>
      <c r="F914" s="71">
        <f t="shared" ref="F914" si="566">$L$7-E914</f>
        <v>256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3">
        <f t="shared" ref="L914:L921" si="567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63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68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06"/>
      <c r="B915" s="2080"/>
      <c r="C915" s="160"/>
      <c r="D915" s="881" t="s">
        <v>10</v>
      </c>
      <c r="E915" s="976">
        <v>45989</v>
      </c>
      <c r="F915" s="71">
        <f t="shared" ref="F915" si="569">$L$7-E915</f>
        <v>287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3">
        <f t="shared" si="567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63"/>
        <v>Allplex S (Local)45989</v>
      </c>
      <c r="U915" s="787"/>
      <c r="V915" s="787"/>
      <c r="W915" s="785">
        <f>IFERROR(VLOOKUP($Q915,'391'!$S:$AG,15,0),0)</f>
        <v>0</v>
      </c>
      <c r="X915" s="1090">
        <f t="shared" si="568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06"/>
      <c r="B916" s="2080"/>
      <c r="C916" s="160"/>
      <c r="D916" s="881" t="s">
        <v>10</v>
      </c>
      <c r="E916" s="976">
        <v>45989</v>
      </c>
      <c r="F916" s="71">
        <f t="shared" ref="F916" si="570">$L$7-E916</f>
        <v>287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3">
        <f t="shared" si="567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63"/>
        <v>Allplex S (Local)45989</v>
      </c>
      <c r="U916" s="787"/>
      <c r="V916" s="787"/>
      <c r="W916" s="785">
        <f>IFERROR(VLOOKUP($Q916,'391'!$S:$AG,15,0),0)</f>
        <v>0</v>
      </c>
      <c r="X916" s="1090">
        <f t="shared" si="568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06"/>
      <c r="B917" s="2080"/>
      <c r="C917" s="160"/>
      <c r="D917" s="881" t="s">
        <v>10</v>
      </c>
      <c r="E917" s="976">
        <v>45989</v>
      </c>
      <c r="F917" s="71">
        <f t="shared" ref="F917" si="571">$L$7-E917</f>
        <v>287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3">
        <f t="shared" si="567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63"/>
        <v>Allplex S (Local)45989</v>
      </c>
      <c r="U917" s="787"/>
      <c r="V917" s="787"/>
      <c r="W917" s="785">
        <f>IFERROR(VLOOKUP($Q917,'391'!$S:$AG,15,0),0)</f>
        <v>0</v>
      </c>
      <c r="X917" s="1090">
        <f t="shared" si="568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06"/>
      <c r="B918" s="2080"/>
      <c r="C918" s="160"/>
      <c r="D918" s="881" t="s">
        <v>10</v>
      </c>
      <c r="E918" s="976">
        <v>45989</v>
      </c>
      <c r="F918" s="71">
        <f t="shared" ref="F918" si="572">$L$7-E918</f>
        <v>287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3">
        <f t="shared" si="567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63"/>
        <v>Allplex S (Local)45989</v>
      </c>
      <c r="U918" s="787"/>
      <c r="V918" s="787"/>
      <c r="W918" s="785">
        <f>IFERROR(VLOOKUP($Q918,'391'!$S:$AG,15,0),0)</f>
        <v>0</v>
      </c>
      <c r="X918" s="1090">
        <f t="shared" si="568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06"/>
      <c r="B919" s="2080"/>
      <c r="C919" s="160"/>
      <c r="D919" s="881" t="s">
        <v>10</v>
      </c>
      <c r="E919" s="976">
        <v>45989</v>
      </c>
      <c r="F919" s="71">
        <f t="shared" ref="F919" si="573">$L$7-E919</f>
        <v>287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3">
        <f t="shared" si="567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63"/>
        <v>Allplex S (Local)45989</v>
      </c>
      <c r="U919" s="787"/>
      <c r="V919" s="787"/>
      <c r="W919" s="785">
        <f>IFERROR(VLOOKUP($Q919,'391'!$S:$AG,15,0),0)</f>
        <v>0</v>
      </c>
      <c r="X919" s="1090">
        <f t="shared" si="568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06"/>
      <c r="B920" s="2080"/>
      <c r="C920" s="160"/>
      <c r="D920" s="881" t="s">
        <v>10</v>
      </c>
      <c r="E920" s="976">
        <v>45989</v>
      </c>
      <c r="F920" s="71">
        <f t="shared" ref="F920" si="574">$L$7-E920</f>
        <v>287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3">
        <f t="shared" si="567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68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06"/>
      <c r="B921" s="2080"/>
      <c r="C921" s="160"/>
      <c r="D921" s="881" t="s">
        <v>10</v>
      </c>
      <c r="E921" s="976">
        <v>45989</v>
      </c>
      <c r="F921" s="71">
        <f t="shared" ref="F921" si="575">$L$7-E921</f>
        <v>287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3">
        <f t="shared" si="567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68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06"/>
      <c r="B922" s="2075"/>
      <c r="C922" s="160"/>
      <c r="D922" s="881" t="s">
        <v>10</v>
      </c>
      <c r="E922" s="976">
        <v>45989</v>
      </c>
      <c r="F922" s="71">
        <f t="shared" ref="F922" si="576">$L$7-E922</f>
        <v>287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3">
        <f t="shared" si="562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64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06"/>
      <c r="B923" s="2075"/>
      <c r="C923" s="160"/>
      <c r="D923" s="881" t="s">
        <v>10</v>
      </c>
      <c r="E923" s="976">
        <v>45989</v>
      </c>
      <c r="F923" s="71">
        <f t="shared" ref="F923" si="577">$L$7-E923</f>
        <v>287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3">
        <f t="shared" si="562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64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06"/>
      <c r="B924" s="2075"/>
      <c r="C924" s="160"/>
      <c r="D924" s="881" t="s">
        <v>10</v>
      </c>
      <c r="E924" s="976">
        <v>45989</v>
      </c>
      <c r="F924" s="71">
        <f t="shared" ref="F924" si="578">$L$7-E924</f>
        <v>287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3">
        <f t="shared" si="562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64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06"/>
      <c r="B925" s="2075"/>
      <c r="C925" s="160"/>
      <c r="D925" s="881" t="s">
        <v>10</v>
      </c>
      <c r="E925" s="976">
        <v>45989</v>
      </c>
      <c r="F925" s="71">
        <f t="shared" ref="F925" si="579">$L$7-E925</f>
        <v>287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3">
        <f t="shared" si="562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64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06"/>
      <c r="B926" s="2075"/>
      <c r="C926" s="107" t="s">
        <v>46</v>
      </c>
      <c r="D926" s="850" t="s">
        <v>10</v>
      </c>
      <c r="E926" s="960">
        <v>46251</v>
      </c>
      <c r="F926" s="42">
        <f t="shared" ref="F926" si="580">$L$7-E926</f>
        <v>25</v>
      </c>
      <c r="G926" s="56">
        <v>1256.1000000000013</v>
      </c>
      <c r="H926" s="56"/>
      <c r="I926" s="56">
        <f>+SUM(K910:K923)</f>
        <v>0</v>
      </c>
      <c r="J926" s="1369">
        <f>+usage!I126</f>
        <v>207.5</v>
      </c>
      <c r="K926" s="11">
        <f>IFERROR(SUMIF(INTAKE!$A:$A,$T926,INTAKE!$P:$P),0)</f>
        <v>0</v>
      </c>
      <c r="L926" s="1534">
        <f t="shared" si="562"/>
        <v>1048.6000000000013</v>
      </c>
      <c r="M926" s="101"/>
      <c r="N926" s="249"/>
      <c r="O926" s="369"/>
      <c r="P926" s="750"/>
      <c r="Q926" s="666" t="s">
        <v>1206</v>
      </c>
      <c r="R926" s="785">
        <f>IFERROR(VLOOKUP($Q926,'391'!$S:$Z,8,0),"")</f>
        <v>2298.36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14425.28</v>
      </c>
      <c r="X926" s="1090">
        <f t="shared" si="564"/>
        <v>-13169.18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27" t="s">
        <v>19</v>
      </c>
      <c r="B927" s="2028"/>
      <c r="C927" s="88"/>
      <c r="D927" s="864"/>
      <c r="E927" s="864"/>
      <c r="F927" s="865"/>
      <c r="G927" s="1297">
        <v>12256.100000000002</v>
      </c>
      <c r="H927" s="1297">
        <f t="shared" ref="H927:L927" si="581">SUM(H910:H926)</f>
        <v>0</v>
      </c>
      <c r="I927" s="1297">
        <f t="shared" si="581"/>
        <v>0</v>
      </c>
      <c r="J927" s="1297">
        <f t="shared" si="581"/>
        <v>207.5</v>
      </c>
      <c r="K927" s="1297">
        <f t="shared" si="581"/>
        <v>0</v>
      </c>
      <c r="L927" s="1297">
        <f t="shared" si="581"/>
        <v>12048.600000000002</v>
      </c>
      <c r="M927" s="59">
        <f>IFERROR(((R927+R926)/$S$2),"")</f>
        <v>510.74666666666667</v>
      </c>
      <c r="N927" s="854">
        <f>(L927/M927)</f>
        <v>23.590168641988203</v>
      </c>
      <c r="O927" s="59">
        <f>IFERROR(SUMIF(ETM!$A:$A,$Q927,ETM!$E:$E),"")</f>
        <v>415.66666666666669</v>
      </c>
      <c r="P927" s="855">
        <f>IFERROR(L927/O927,0)</f>
        <v>28.986206896551728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-2169.1799999999985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81" t="str">
        <f>IF(L932=0,"",MAX($A$16:A927)+1)</f>
        <v/>
      </c>
      <c r="B928" s="2023" t="s">
        <v>204</v>
      </c>
      <c r="C928" s="2211" t="s">
        <v>139</v>
      </c>
      <c r="D928" s="887" t="s">
        <v>10</v>
      </c>
      <c r="E928" s="888">
        <v>41811</v>
      </c>
      <c r="F928" s="70">
        <f>$L$7-E928</f>
        <v>4465</v>
      </c>
      <c r="G928" s="12">
        <v>0</v>
      </c>
      <c r="H928" s="12"/>
      <c r="I928" s="12"/>
      <c r="J928" s="1368"/>
      <c r="K928" s="12"/>
      <c r="L928" s="1534">
        <f t="shared" ref="L928:L940" si="582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83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84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78"/>
      <c r="B929" s="2024"/>
      <c r="C929" s="2212"/>
      <c r="D929" s="887" t="s">
        <v>10</v>
      </c>
      <c r="E929" s="888">
        <v>41811</v>
      </c>
      <c r="F929" s="70">
        <f>$L$7-E929</f>
        <v>4465</v>
      </c>
      <c r="G929" s="12">
        <v>0</v>
      </c>
      <c r="H929" s="12"/>
      <c r="I929" s="12"/>
      <c r="J929" s="1368"/>
      <c r="K929" s="12"/>
      <c r="L929" s="1534">
        <f t="shared" si="582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83"/>
        <v>ALLPLEX S (USA)41811</v>
      </c>
      <c r="U929" s="787"/>
      <c r="V929" s="787"/>
      <c r="W929" s="785">
        <f>IFERROR(VLOOKUP($Q929,'391'!$S:$AG,15,0),0)</f>
        <v>0</v>
      </c>
      <c r="X929" s="1090">
        <f t="shared" si="584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78"/>
      <c r="B930" s="2024"/>
      <c r="C930" s="2212"/>
      <c r="D930" s="887" t="s">
        <v>10</v>
      </c>
      <c r="E930" s="888">
        <v>41811</v>
      </c>
      <c r="F930" s="70">
        <f>$L$7-E930</f>
        <v>4465</v>
      </c>
      <c r="G930" s="12">
        <v>0</v>
      </c>
      <c r="H930" s="12"/>
      <c r="I930" s="12"/>
      <c r="J930" s="1368"/>
      <c r="K930" s="12"/>
      <c r="L930" s="1534">
        <f t="shared" si="582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83"/>
        <v>ALLPLEX S (USA)41811</v>
      </c>
      <c r="U930" s="787"/>
      <c r="V930" s="787"/>
      <c r="W930" s="785">
        <f>IFERROR(VLOOKUP($Q930,'391'!$S:$AG,15,0),0)</f>
        <v>0</v>
      </c>
      <c r="X930" s="1090">
        <f t="shared" si="584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78"/>
      <c r="B931" s="2024"/>
      <c r="C931" s="119" t="s">
        <v>46</v>
      </c>
      <c r="D931" s="863" t="s">
        <v>10</v>
      </c>
      <c r="E931" s="886">
        <v>41811</v>
      </c>
      <c r="F931" s="39">
        <f>$L$7-E931</f>
        <v>4465</v>
      </c>
      <c r="G931" s="37">
        <v>0</v>
      </c>
      <c r="H931" s="37"/>
      <c r="I931" s="37"/>
      <c r="J931" s="1385"/>
      <c r="K931" s="37"/>
      <c r="L931" s="1534">
        <f t="shared" si="582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83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84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27" t="s">
        <v>202</v>
      </c>
      <c r="B932" s="2028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4">
        <f t="shared" si="582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83"/>
        <v>ALLPLEX S (USA)</v>
      </c>
      <c r="U932" s="797"/>
      <c r="V932" s="797"/>
      <c r="W932" s="785">
        <f>IFERROR(VLOOKUP($Q932,'391'!$S:$AG,15,0),0)</f>
        <v>0</v>
      </c>
      <c r="X932" s="1090">
        <f t="shared" si="584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81">
        <f>IF(L941=0,"",MAX($A$16:A932)+1)</f>
        <v>59</v>
      </c>
      <c r="B933" s="2074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85">$L$7-E933</f>
        <v>3681</v>
      </c>
      <c r="G933" s="12">
        <v>0</v>
      </c>
      <c r="H933" s="12"/>
      <c r="I933" s="12"/>
      <c r="J933" s="1368"/>
      <c r="K933" s="12"/>
      <c r="L933" s="1534">
        <f t="shared" si="582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83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84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78"/>
      <c r="B934" s="2080"/>
      <c r="C934" s="120" t="s">
        <v>264</v>
      </c>
      <c r="D934" s="887" t="s">
        <v>10</v>
      </c>
      <c r="E934" s="888">
        <v>42700</v>
      </c>
      <c r="F934" s="75">
        <f t="shared" si="585"/>
        <v>3576</v>
      </c>
      <c r="G934" s="12">
        <v>0</v>
      </c>
      <c r="H934" s="12"/>
      <c r="I934" s="12"/>
      <c r="J934" s="1368"/>
      <c r="K934" s="12"/>
      <c r="L934" s="1534">
        <f t="shared" si="582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83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84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78"/>
      <c r="B935" s="2080"/>
      <c r="C935" s="120"/>
      <c r="D935" s="887" t="s">
        <v>10</v>
      </c>
      <c r="E935" s="888">
        <v>46123</v>
      </c>
      <c r="F935" s="75">
        <f t="shared" si="585"/>
        <v>153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3">
        <f t="shared" si="582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86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84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78"/>
      <c r="B936" s="2080"/>
      <c r="C936" s="120" t="s">
        <v>581</v>
      </c>
      <c r="D936" s="887" t="s">
        <v>10</v>
      </c>
      <c r="E936" s="888">
        <v>46247</v>
      </c>
      <c r="F936" s="75">
        <f t="shared" si="585"/>
        <v>29</v>
      </c>
      <c r="G936" s="12">
        <v>525</v>
      </c>
      <c r="H936" s="12"/>
      <c r="I936" s="12"/>
      <c r="J936" s="1368"/>
      <c r="K936" s="12">
        <f>IFERROR(SUMIF(INTAKE!$A:$A,$T936,INTAKE!$P:$P),0)</f>
        <v>150</v>
      </c>
      <c r="L936" s="1703">
        <f t="shared" si="582"/>
        <v>375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86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84"/>
        <v>525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78"/>
      <c r="B937" s="2080"/>
      <c r="C937" s="120" t="s">
        <v>581</v>
      </c>
      <c r="D937" s="887" t="s">
        <v>10</v>
      </c>
      <c r="E937" s="888">
        <v>46270</v>
      </c>
      <c r="F937" s="75">
        <f t="shared" ref="F937" si="587">$L$7-E937</f>
        <v>6</v>
      </c>
      <c r="G937" s="12">
        <v>1000</v>
      </c>
      <c r="H937" s="12"/>
      <c r="I937" s="12"/>
      <c r="J937" s="1368"/>
      <c r="K937" s="12">
        <f>IFERROR(SUMIF(INTAKE!$A:$A,$T937,INTAKE!$P:$P),0)</f>
        <v>0</v>
      </c>
      <c r="L937" s="1712">
        <f t="shared" si="582"/>
        <v>1000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86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84"/>
        <v>1000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78"/>
      <c r="B938" s="2080"/>
      <c r="C938" s="120"/>
      <c r="D938" s="887" t="s">
        <v>10</v>
      </c>
      <c r="E938" s="888">
        <v>46247</v>
      </c>
      <c r="F938" s="75">
        <f t="shared" ref="F938" si="588">$L$7-E938</f>
        <v>29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3">
        <f t="shared" si="582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86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84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78"/>
      <c r="B939" s="2080"/>
      <c r="C939" s="120"/>
      <c r="D939" s="887" t="s">
        <v>10</v>
      </c>
      <c r="E939" s="888">
        <v>45659</v>
      </c>
      <c r="F939" s="75">
        <f t="shared" si="585"/>
        <v>617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4">
        <f t="shared" si="582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86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84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78"/>
      <c r="B940" s="2076"/>
      <c r="C940" s="123" t="s">
        <v>46</v>
      </c>
      <c r="D940" s="850" t="s">
        <v>10</v>
      </c>
      <c r="E940" s="851">
        <v>46247</v>
      </c>
      <c r="F940" s="911">
        <f t="shared" si="585"/>
        <v>29</v>
      </c>
      <c r="G940" s="56">
        <v>67.819999999999965</v>
      </c>
      <c r="H940" s="56"/>
      <c r="I940" s="56">
        <f>SUM(K936:K937)</f>
        <v>150</v>
      </c>
      <c r="J940" s="1369">
        <f>+usage!I92</f>
        <v>45.96</v>
      </c>
      <c r="K940" s="12">
        <f>IFERROR(SUMIF(INTAKE!$A:$A,$T940,INTAKE!$P:$P),0)</f>
        <v>0</v>
      </c>
      <c r="L940" s="1534">
        <f t="shared" si="582"/>
        <v>171.85999999999996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86"/>
        <v>Pigortek 659 (France)Feedmill46247</v>
      </c>
      <c r="U940" s="787"/>
      <c r="V940" s="787"/>
      <c r="W940" s="785">
        <f>IFERROR(VLOOKUP($Q940,'391'!$S:$AG,15,0),0)</f>
        <v>0</v>
      </c>
      <c r="X940" s="1090">
        <f t="shared" si="584"/>
        <v>67.819999999999965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27" t="s">
        <v>518</v>
      </c>
      <c r="B941" s="2028"/>
      <c r="C941" s="88"/>
      <c r="D941" s="864"/>
      <c r="E941" s="864"/>
      <c r="F941" s="865"/>
      <c r="G941" s="1297">
        <v>1592.82</v>
      </c>
      <c r="H941" s="1297">
        <f t="shared" ref="H941:L941" si="589">SUM(H933:H940)</f>
        <v>0</v>
      </c>
      <c r="I941" s="1297">
        <f t="shared" si="589"/>
        <v>150</v>
      </c>
      <c r="J941" s="1297">
        <f t="shared" si="589"/>
        <v>45.96</v>
      </c>
      <c r="K941" s="1297">
        <f t="shared" si="589"/>
        <v>150</v>
      </c>
      <c r="L941" s="1297">
        <f t="shared" si="589"/>
        <v>1546.86</v>
      </c>
      <c r="M941" s="59">
        <f>IFERROR((R941/$S$2),"")</f>
        <v>65.12222222222222</v>
      </c>
      <c r="N941" s="854">
        <f>(L941/M941)</f>
        <v>23.753182050844565</v>
      </c>
      <c r="O941" s="59">
        <f>IFERROR(SUMIF(ETM!$A:$A,$Q941,ETM!$E:$E),"")</f>
        <v>61.833333333333329</v>
      </c>
      <c r="P941" s="880">
        <f>IFERROR(L941/O941,0)</f>
        <v>25.016603773584905</v>
      </c>
      <c r="Q941" s="814" t="s">
        <v>670</v>
      </c>
      <c r="R941" s="785">
        <f>IFERROR(VLOOKUP($Q941,'391'!$S:$Z,8,0),"")</f>
        <v>293.05</v>
      </c>
      <c r="S941" s="796"/>
      <c r="T941" s="797"/>
      <c r="U941" s="797"/>
      <c r="V941" s="797"/>
      <c r="W941" s="785">
        <f>IFERROR(VLOOKUP($Q941,'391'!$S:$AG,15,0),0)</f>
        <v>1915.54</v>
      </c>
      <c r="X941" s="1090">
        <f t="shared" si="584"/>
        <v>-322.72000000000003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customHeight="1" x14ac:dyDescent="0.25">
      <c r="A942" s="2005">
        <f>IF(L953=0,"",MAX($A$16:A941)+1)</f>
        <v>60</v>
      </c>
      <c r="B942" s="2023" t="s">
        <v>1374</v>
      </c>
      <c r="C942" s="143" t="s">
        <v>1795</v>
      </c>
      <c r="D942" s="1747" t="s">
        <v>10</v>
      </c>
      <c r="E942" s="882">
        <v>46186</v>
      </c>
      <c r="F942" s="359">
        <f t="shared" ref="F942:F947" si="590">$L$7-E942</f>
        <v>90</v>
      </c>
      <c r="G942" s="12">
        <v>18000</v>
      </c>
      <c r="H942" s="12"/>
      <c r="I942" s="12"/>
      <c r="J942" s="1368"/>
      <c r="K942" s="12">
        <f>IFERROR(SUMIF(INTAKE!$A:$A,$T942,INTAKE!$P:$P),0)</f>
        <v>4000</v>
      </c>
      <c r="L942" s="1703">
        <f t="shared" ref="L942:L952" si="591">+G942+H942+I942-J942-K942</f>
        <v>14000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592">$Q$953&amp;C942&amp;E942</f>
        <v>Myco curb liquidA16.2A46186</v>
      </c>
      <c r="U942" s="787"/>
      <c r="V942" s="787"/>
      <c r="W942" s="785">
        <f>IFERROR(VLOOKUP($Q942,'391'!$S:$AG,15,0),0)</f>
        <v>0</v>
      </c>
      <c r="X942" s="1090">
        <f t="shared" si="584"/>
        <v>18000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06"/>
      <c r="B943" s="2024"/>
      <c r="C943" s="143" t="s">
        <v>1795</v>
      </c>
      <c r="D943" s="1747" t="s">
        <v>10</v>
      </c>
      <c r="E943" s="882">
        <v>46191</v>
      </c>
      <c r="F943" s="359">
        <f t="shared" si="590"/>
        <v>85</v>
      </c>
      <c r="G943" s="12">
        <v>18000</v>
      </c>
      <c r="H943" s="12"/>
      <c r="I943" s="12"/>
      <c r="J943" s="1368"/>
      <c r="K943" s="12">
        <f>IFERROR(SUMIF(INTAKE!$A:$A,$T943,INTAKE!$P:$P),0)</f>
        <v>0</v>
      </c>
      <c r="L943" s="1703">
        <f t="shared" si="591"/>
        <v>18000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592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84"/>
        <v>18000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06"/>
      <c r="B944" s="2024"/>
      <c r="C944" s="143" t="s">
        <v>1795</v>
      </c>
      <c r="D944" s="1747" t="s">
        <v>10</v>
      </c>
      <c r="E944" s="882">
        <v>46213</v>
      </c>
      <c r="F944" s="359">
        <f t="shared" si="590"/>
        <v>63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3">
        <f t="shared" si="591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592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84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06"/>
      <c r="B945" s="2025"/>
      <c r="C945" s="143" t="s">
        <v>1891</v>
      </c>
      <c r="D945" s="1747" t="s">
        <v>10</v>
      </c>
      <c r="E945" s="882">
        <v>46233</v>
      </c>
      <c r="F945" s="359">
        <f t="shared" si="590"/>
        <v>43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3">
        <f t="shared" ref="L945" si="593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592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594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06"/>
      <c r="B946" s="2024"/>
      <c r="C946" s="143" t="s">
        <v>1891</v>
      </c>
      <c r="D946" s="1747" t="s">
        <v>10</v>
      </c>
      <c r="E946" s="882">
        <v>46239</v>
      </c>
      <c r="F946" s="359">
        <f t="shared" si="590"/>
        <v>37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3">
        <f t="shared" si="591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592"/>
        <v>Myco curb liquidA16.1B46239</v>
      </c>
      <c r="U946" s="787"/>
      <c r="V946" s="787"/>
      <c r="W946" s="785">
        <f>IFERROR(VLOOKUP($Q946,'391'!$S:$AG,15,0),0)</f>
        <v>0</v>
      </c>
      <c r="X946" s="1090">
        <f t="shared" si="584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06"/>
      <c r="B947" s="2026"/>
      <c r="C947" s="143" t="s">
        <v>1896</v>
      </c>
      <c r="D947" s="1747" t="s">
        <v>10</v>
      </c>
      <c r="E947" s="882">
        <v>46270</v>
      </c>
      <c r="F947" s="359">
        <f t="shared" si="590"/>
        <v>6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3">
        <f t="shared" si="591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92"/>
        <v>Myco curb liquidB13.146270</v>
      </c>
      <c r="U947" s="787"/>
      <c r="V947" s="787"/>
      <c r="W947" s="785">
        <f>IFERROR(VLOOKUP($Q947,'391'!$S:$AG,15,0),0)</f>
        <v>0</v>
      </c>
      <c r="X947" s="1090">
        <f t="shared" si="584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06"/>
      <c r="B948" s="2025"/>
      <c r="C948" s="143" t="s">
        <v>1896</v>
      </c>
      <c r="D948" s="1747" t="s">
        <v>10</v>
      </c>
      <c r="E948" s="882">
        <v>46272</v>
      </c>
      <c r="F948" s="359">
        <f t="shared" ref="F948:F949" si="595">$L$7-E948</f>
        <v>4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3">
        <f t="shared" ref="L948" si="596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92"/>
        <v>Myco curb liquidB13.146272</v>
      </c>
      <c r="U948" s="787"/>
      <c r="V948" s="787"/>
      <c r="W948" s="785">
        <f>IFERROR(VLOOKUP($Q948,'391'!$S:$AG,15,0),0)</f>
        <v>0</v>
      </c>
      <c r="X948" s="1090">
        <f t="shared" ref="X948" si="597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06"/>
      <c r="B949" s="2024"/>
      <c r="C949" s="1483" t="s">
        <v>1199</v>
      </c>
      <c r="D949" s="977" t="s">
        <v>10</v>
      </c>
      <c r="E949" s="853">
        <v>46158</v>
      </c>
      <c r="F949" s="41">
        <f t="shared" si="595"/>
        <v>118</v>
      </c>
      <c r="G949" s="56">
        <v>1353</v>
      </c>
      <c r="H949" s="56"/>
      <c r="I949" s="1401"/>
      <c r="J949" s="1369">
        <f>sdmixer!K13</f>
        <v>572</v>
      </c>
      <c r="K949" s="1379"/>
      <c r="L949" s="1534">
        <f t="shared" si="591"/>
        <v>781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92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84"/>
        <v>1353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06"/>
      <c r="B950" s="2024"/>
      <c r="C950" s="151" t="s">
        <v>495</v>
      </c>
      <c r="D950" s="977" t="s">
        <v>10</v>
      </c>
      <c r="E950" s="853">
        <v>46214</v>
      </c>
      <c r="F950" s="41">
        <f t="shared" ref="F950:F952" si="598">$L$7-E950</f>
        <v>62</v>
      </c>
      <c r="G950" s="56">
        <v>28092.699999999997</v>
      </c>
      <c r="H950" s="56"/>
      <c r="I950" s="1401">
        <v>2000</v>
      </c>
      <c r="J950" s="1775">
        <v>930</v>
      </c>
      <c r="K950" s="1379"/>
      <c r="L950" s="1534">
        <f t="shared" si="591"/>
        <v>29162.699999999997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92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84"/>
        <v>28092.699999999997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06"/>
      <c r="B951" s="2024"/>
      <c r="C951" s="149" t="s">
        <v>589</v>
      </c>
      <c r="D951" s="977" t="s">
        <v>10</v>
      </c>
      <c r="E951" s="851">
        <v>46255</v>
      </c>
      <c r="F951" s="41">
        <f t="shared" si="598"/>
        <v>21</v>
      </c>
      <c r="G951" s="56">
        <v>28200</v>
      </c>
      <c r="H951" s="56"/>
      <c r="I951" s="56">
        <v>2000</v>
      </c>
      <c r="J951" s="1369">
        <f>usage!I104-J949-J950</f>
        <v>1047.8199999999997</v>
      </c>
      <c r="K951" s="1710"/>
      <c r="L951" s="1534">
        <f t="shared" si="591"/>
        <v>29152.18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84"/>
        <v>28200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06"/>
      <c r="B952" s="2024"/>
      <c r="C952" s="149" t="s">
        <v>1199</v>
      </c>
      <c r="D952" s="977" t="s">
        <v>10</v>
      </c>
      <c r="E952" s="851">
        <v>44818</v>
      </c>
      <c r="F952" s="41">
        <f t="shared" si="598"/>
        <v>1458</v>
      </c>
      <c r="G952" s="56">
        <v>0</v>
      </c>
      <c r="H952" s="56"/>
      <c r="I952" s="56"/>
      <c r="J952" s="1369"/>
      <c r="K952" s="56"/>
      <c r="L952" s="1534">
        <f t="shared" si="591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84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27" t="s">
        <v>132</v>
      </c>
      <c r="B953" s="2028"/>
      <c r="C953" s="88"/>
      <c r="D953" s="864"/>
      <c r="E953" s="864"/>
      <c r="F953" s="865"/>
      <c r="G953" s="1297">
        <v>183645.7</v>
      </c>
      <c r="H953" s="1297">
        <f>+SUM(H942:H951)</f>
        <v>0</v>
      </c>
      <c r="I953" s="1297">
        <f t="shared" ref="I953:L953" si="599">+SUM(I942:I951)</f>
        <v>4000</v>
      </c>
      <c r="J953" s="1297">
        <f t="shared" si="599"/>
        <v>2549.8199999999997</v>
      </c>
      <c r="K953" s="1297">
        <f t="shared" si="599"/>
        <v>4000</v>
      </c>
      <c r="L953" s="1297">
        <f t="shared" si="599"/>
        <v>181095.88</v>
      </c>
      <c r="M953" s="982">
        <f>IFERROR((R953/$S$2),"")</f>
        <v>1209.1555555555556</v>
      </c>
      <c r="N953" s="366">
        <f>IFERROR(L953/M953,0)</f>
        <v>149.77053958685585</v>
      </c>
      <c r="O953" s="982">
        <f>IFERROR(SUMIF(ETM!$A:$A,$Q953,ETM!$E:$E),"")</f>
        <v>1829.3333333333335</v>
      </c>
      <c r="P953" s="855">
        <f>IFERROR(L953/O953,0)</f>
        <v>98.995561224489791</v>
      </c>
      <c r="Q953" s="814" t="s">
        <v>671</v>
      </c>
      <c r="R953" s="785">
        <f>IFERROR(VLOOKUP($Q953,'391'!$S:$Z,8,0),"")</f>
        <v>5441.2</v>
      </c>
      <c r="S953" s="796"/>
      <c r="T953" s="797"/>
      <c r="U953" s="797"/>
      <c r="V953" s="797"/>
      <c r="W953" s="785">
        <f>IFERROR(VLOOKUP($Q953,'391'!$S:$AG,15,0),0)</f>
        <v>152203.79</v>
      </c>
      <c r="X953" s="1090">
        <f t="shared" si="584"/>
        <v>31441.910000000003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29" t="str">
        <f>IF(L956=0,"",MAX($A$16:A953)+1)</f>
        <v/>
      </c>
      <c r="B954" s="2032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4766</v>
      </c>
      <c r="G954" s="63">
        <v>0</v>
      </c>
      <c r="H954" s="1402"/>
      <c r="I954" s="1402"/>
      <c r="J954" s="1403"/>
      <c r="K954" s="1402"/>
      <c r="L954" s="1534">
        <f t="shared" ref="L954:L962" si="600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84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31"/>
      <c r="B955" s="2034"/>
      <c r="C955" s="135" t="s">
        <v>46</v>
      </c>
      <c r="D955" s="850" t="s">
        <v>10</v>
      </c>
      <c r="E955" s="851">
        <v>41510</v>
      </c>
      <c r="F955" s="42">
        <f>$L$7-E955</f>
        <v>4766</v>
      </c>
      <c r="G955" s="56">
        <v>0</v>
      </c>
      <c r="H955" s="56"/>
      <c r="I955" s="56"/>
      <c r="J955" s="1369">
        <v>0</v>
      </c>
      <c r="K955" s="56"/>
      <c r="L955" s="1534">
        <f t="shared" si="600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84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27" t="s">
        <v>33</v>
      </c>
      <c r="B956" s="2028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4">
        <f t="shared" si="600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84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05">
        <f>IF(L963=0,"",MAX($A$16:A956)+1)</f>
        <v>61</v>
      </c>
      <c r="B957" s="2023" t="s">
        <v>496</v>
      </c>
      <c r="C957" s="160"/>
      <c r="D957" s="881" t="s">
        <v>10</v>
      </c>
      <c r="E957" s="882">
        <v>45807</v>
      </c>
      <c r="F957" s="71">
        <f t="shared" ref="F957:F959" si="601">$L$7-E957</f>
        <v>469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3">
        <f t="shared" si="600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02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84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06"/>
      <c r="B958" s="2024"/>
      <c r="C958" s="160"/>
      <c r="D958" s="881" t="s">
        <v>10</v>
      </c>
      <c r="E958" s="882">
        <v>45834</v>
      </c>
      <c r="F958" s="71">
        <f t="shared" si="601"/>
        <v>442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3">
        <f t="shared" si="600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02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84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06"/>
      <c r="B959" s="2024"/>
      <c r="C959" s="160" t="s">
        <v>151</v>
      </c>
      <c r="D959" s="881" t="s">
        <v>10</v>
      </c>
      <c r="E959" s="882">
        <v>46261</v>
      </c>
      <c r="F959" s="71">
        <f t="shared" si="601"/>
        <v>15</v>
      </c>
      <c r="G959" s="11">
        <v>24000</v>
      </c>
      <c r="H959" s="12"/>
      <c r="I959" s="12"/>
      <c r="J959" s="1368"/>
      <c r="K959" s="12">
        <f>IFERROR(SUMIF(INTAKE!$A:$A,$T959,INTAKE!$P:$P),0)</f>
        <v>4000</v>
      </c>
      <c r="L959" s="1703">
        <f t="shared" si="600"/>
        <v>20000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02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84"/>
        <v>24000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06"/>
      <c r="B960" s="2024"/>
      <c r="C960" s="160"/>
      <c r="D960" s="881" t="s">
        <v>10</v>
      </c>
      <c r="E960" s="882">
        <v>46261</v>
      </c>
      <c r="F960" s="71">
        <f t="shared" ref="F960:F962" si="603">$L$7-E960</f>
        <v>15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3">
        <f t="shared" si="600"/>
        <v>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02"/>
        <v>Acid Lac Premium Liquip (Singapore)46261</v>
      </c>
      <c r="U960" s="797"/>
      <c r="V960" s="797"/>
      <c r="W960" s="785">
        <f>IFERROR(VLOOKUP($Q960,'391'!$S:$AG,15,0),0)</f>
        <v>0</v>
      </c>
      <c r="X960" s="1090">
        <f t="shared" si="584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06"/>
      <c r="B961" s="2025"/>
      <c r="C961" s="160"/>
      <c r="D961" s="881" t="s">
        <v>10</v>
      </c>
      <c r="E961" s="882">
        <v>46058</v>
      </c>
      <c r="F961" s="71">
        <f t="shared" si="603"/>
        <v>218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3">
        <f t="shared" si="600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02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84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06"/>
      <c r="B962" s="2024"/>
      <c r="C962" s="151" t="s">
        <v>497</v>
      </c>
      <c r="D962" s="985" t="s">
        <v>10</v>
      </c>
      <c r="E962" s="853">
        <v>46233</v>
      </c>
      <c r="F962" s="856">
        <f t="shared" si="603"/>
        <v>43</v>
      </c>
      <c r="G962" s="56">
        <v>22464.6</v>
      </c>
      <c r="H962" s="56"/>
      <c r="I962" s="56">
        <f>SUM(K957:K961)</f>
        <v>4000</v>
      </c>
      <c r="J962" s="1369">
        <f>+usage!I96</f>
        <v>760.6</v>
      </c>
      <c r="K962" s="12">
        <f>IFERROR(SUMIF(INTAKE!$A:$A,$T962,INTAKE!$P:$P),0)</f>
        <v>0</v>
      </c>
      <c r="L962" s="1534">
        <f t="shared" si="600"/>
        <v>25704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02"/>
        <v>Acid Lac Premium Liquip (Singapore)LA146233</v>
      </c>
      <c r="U962" s="797"/>
      <c r="V962" s="797"/>
      <c r="W962" s="785">
        <f>IFERROR(VLOOKUP($Q962,'391'!$S:$AG,15,0),0)</f>
        <v>0</v>
      </c>
      <c r="X962" s="1090">
        <f t="shared" si="584"/>
        <v>22464.6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27" t="s">
        <v>498</v>
      </c>
      <c r="B963" s="2028"/>
      <c r="C963" s="88"/>
      <c r="D963" s="864"/>
      <c r="E963" s="864"/>
      <c r="F963" s="865"/>
      <c r="G963" s="1297">
        <v>46464.6</v>
      </c>
      <c r="H963" s="1297">
        <f>+SUM(H957:H962)</f>
        <v>0</v>
      </c>
      <c r="I963" s="1297">
        <f t="shared" ref="I963:L963" si="604">+SUM(I957:I962)</f>
        <v>4000</v>
      </c>
      <c r="J963" s="1297">
        <f t="shared" si="604"/>
        <v>760.6</v>
      </c>
      <c r="K963" s="1297">
        <f t="shared" si="604"/>
        <v>4000</v>
      </c>
      <c r="L963" s="1297">
        <f t="shared" si="604"/>
        <v>45704</v>
      </c>
      <c r="M963" s="982">
        <f>IFERROR((R963/$S$2),"")</f>
        <v>909.6444444444445</v>
      </c>
      <c r="N963" s="366">
        <f>(L963/M963)</f>
        <v>50.243807104118822</v>
      </c>
      <c r="O963" s="982">
        <f>IFERROR(SUMIF(ETM!$A:$A,$Q963,ETM!$E:$E),"")</f>
        <v>898.5</v>
      </c>
      <c r="P963" s="855">
        <f>IFERROR(L963/O963,0)</f>
        <v>50.867000556483028</v>
      </c>
      <c r="Q963" s="814" t="s">
        <v>496</v>
      </c>
      <c r="R963" s="785">
        <f>IFERROR(VLOOKUP($Q963,'391'!$S:$Z,8,0),"")</f>
        <v>4093.4</v>
      </c>
      <c r="S963" s="796"/>
      <c r="T963" s="797"/>
      <c r="U963" s="797"/>
      <c r="V963" s="797"/>
      <c r="W963" s="785">
        <f>IFERROR(VLOOKUP($Q963,'391'!$S:$AG,15,0),0)</f>
        <v>50812.9</v>
      </c>
      <c r="X963" s="1090">
        <f t="shared" si="584"/>
        <v>-4348.3000000000029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71">
        <f>IF(L969=0,"",MAX($A$16:A963)+1)</f>
        <v>62</v>
      </c>
      <c r="B964" s="2016" t="s">
        <v>545</v>
      </c>
      <c r="C964" s="1141"/>
      <c r="D964" s="959" t="s">
        <v>10</v>
      </c>
      <c r="E964" s="961">
        <v>45798</v>
      </c>
      <c r="F964" s="74">
        <f>$L$7-E964</f>
        <v>478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3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84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86"/>
      <c r="B965" s="2208"/>
      <c r="C965" s="1141"/>
      <c r="D965" s="959" t="s">
        <v>10</v>
      </c>
      <c r="E965" s="961">
        <v>45973</v>
      </c>
      <c r="F965" s="74">
        <f>$L$7-E965</f>
        <v>303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3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84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86"/>
      <c r="B966" s="2208"/>
      <c r="C966" s="1141" t="s">
        <v>251</v>
      </c>
      <c r="D966" s="959" t="s">
        <v>10</v>
      </c>
      <c r="E966" s="961">
        <v>46262</v>
      </c>
      <c r="F966" s="74">
        <f>$L$7-E966</f>
        <v>14</v>
      </c>
      <c r="G966" s="63">
        <v>450</v>
      </c>
      <c r="H966" s="64"/>
      <c r="I966" s="64"/>
      <c r="J966" s="1367"/>
      <c r="K966" s="64">
        <f>IFERROR(SUMIF(INTAKE!$A:$A,$T966,INTAKE!$P:$P),0)</f>
        <v>75</v>
      </c>
      <c r="L966" s="1703">
        <f>+G966+H966+I966-J966-K966</f>
        <v>375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84"/>
        <v>450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hidden="1" customHeight="1" x14ac:dyDescent="0.25">
      <c r="A967" s="2086"/>
      <c r="B967" s="2208"/>
      <c r="C967" s="1141"/>
      <c r="D967" s="959" t="s">
        <v>10</v>
      </c>
      <c r="E967" s="961">
        <v>46262</v>
      </c>
      <c r="F967" s="74">
        <f>$L$7-E967</f>
        <v>14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3">
        <f>+G967+H967+I967-J967-K967</f>
        <v>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(India)46262</v>
      </c>
      <c r="U967" s="797"/>
      <c r="V967" s="797"/>
      <c r="W967" s="785">
        <f>IFERROR(VLOOKUP($Q967,'391'!$S:$AG,15,0),0)</f>
        <v>0</v>
      </c>
      <c r="X967" s="1090">
        <f t="shared" si="584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86"/>
      <c r="B968" s="2208"/>
      <c r="C968" s="131" t="s">
        <v>46</v>
      </c>
      <c r="D968" s="875" t="s">
        <v>10</v>
      </c>
      <c r="E968" s="876">
        <v>46262</v>
      </c>
      <c r="F968" s="74">
        <f>$L$7-E968</f>
        <v>14</v>
      </c>
      <c r="G968" s="974">
        <v>56.52999999999998</v>
      </c>
      <c r="H968" s="958"/>
      <c r="I968" s="958">
        <f>+SUM(K964:K967)</f>
        <v>75</v>
      </c>
      <c r="J968" s="1397">
        <f>usage!I155</f>
        <v>41.89</v>
      </c>
      <c r="K968" s="64">
        <f>IFERROR(SUMIF(INTAKE!$A:$A,$T968,INTAKE!$P:$P),0)</f>
        <v>0</v>
      </c>
      <c r="L968" s="1534">
        <f>+G968+H968+I968-J968-K968</f>
        <v>89.639999999999972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84"/>
        <v>56.52999999999998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27" t="s">
        <v>544</v>
      </c>
      <c r="B969" s="2028"/>
      <c r="C969" s="88"/>
      <c r="D969" s="864"/>
      <c r="E969" s="864"/>
      <c r="F969" s="865"/>
      <c r="G969" s="1297">
        <v>506.53</v>
      </c>
      <c r="H969" s="1344">
        <f t="shared" ref="H969:I969" si="605">SUM(H964:H968)</f>
        <v>0</v>
      </c>
      <c r="I969" s="1297">
        <f t="shared" si="605"/>
        <v>75</v>
      </c>
      <c r="J969" s="1297">
        <f t="shared" ref="J969:L969" si="606">SUM(J964:J968)</f>
        <v>41.89</v>
      </c>
      <c r="K969" s="1297">
        <f t="shared" si="606"/>
        <v>75</v>
      </c>
      <c r="L969" s="1297">
        <f t="shared" si="606"/>
        <v>464.64</v>
      </c>
      <c r="M969" s="982">
        <f>IFERROR((R969/$S$2),"")</f>
        <v>9.724444444444444</v>
      </c>
      <c r="N969" s="366">
        <f>IFERROR((L969/M969),0)</f>
        <v>47.78062157221207</v>
      </c>
      <c r="O969" s="982">
        <f>IFERROR(SUMIF(ETM!$A:$A,$Q969,ETM!$E:$E),"")</f>
        <v>11.333333333333334</v>
      </c>
      <c r="P969" s="880">
        <f>IFERROR(L969/O969,0)</f>
        <v>40.997647058823524</v>
      </c>
      <c r="Q969" s="814" t="s">
        <v>545</v>
      </c>
      <c r="R969" s="785">
        <f>IFERROR(VLOOKUP($Q969,'391'!$S:$Z,8,0),"")</f>
        <v>43.76</v>
      </c>
      <c r="S969" s="796"/>
      <c r="T969" s="797"/>
      <c r="U969" s="797"/>
      <c r="V969" s="797"/>
      <c r="W969" s="785">
        <f>IFERROR(VLOOKUP($Q969,'391'!$S:$AG,15,0),0)</f>
        <v>621.95000000000005</v>
      </c>
      <c r="X969" s="1090">
        <f t="shared" si="584"/>
        <v>-115.42000000000007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71" t="str">
        <f>IF(L975=0,"",MAX($A$16:A969)+1)</f>
        <v/>
      </c>
      <c r="B970" s="2016" t="s">
        <v>1743</v>
      </c>
      <c r="C970" s="1141" t="s">
        <v>273</v>
      </c>
      <c r="D970" s="959" t="s">
        <v>10</v>
      </c>
      <c r="E970" s="961">
        <v>46017</v>
      </c>
      <c r="F970" s="74">
        <f>$L$7-E970</f>
        <v>259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3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07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86"/>
      <c r="B971" s="2208"/>
      <c r="C971" s="1141"/>
      <c r="D971" s="959" t="s">
        <v>10</v>
      </c>
      <c r="E971" s="961"/>
      <c r="F971" s="74">
        <f>$L$7-E971</f>
        <v>46276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3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08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07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86"/>
      <c r="B972" s="2208"/>
      <c r="C972" s="1141"/>
      <c r="D972" s="959" t="s">
        <v>10</v>
      </c>
      <c r="E972" s="961"/>
      <c r="F972" s="74">
        <f>$L$7-E972</f>
        <v>46276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4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08"/>
        <v>Enerzyme (Singapore)</v>
      </c>
      <c r="U972" s="797"/>
      <c r="V972" s="797"/>
      <c r="W972" s="785">
        <f>IFERROR(VLOOKUP($Q972,'391'!$S:$AG,15,0),0)</f>
        <v>0</v>
      </c>
      <c r="X972" s="1090">
        <f t="shared" si="607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86"/>
      <c r="B973" s="2208"/>
      <c r="C973" s="1141"/>
      <c r="D973" s="959" t="s">
        <v>10</v>
      </c>
      <c r="E973" s="961"/>
      <c r="F973" s="74">
        <f>$L$7-E973</f>
        <v>46276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4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08"/>
        <v>Enerzyme (Singapore)</v>
      </c>
      <c r="U973" s="797"/>
      <c r="V973" s="797"/>
      <c r="W973" s="785">
        <f>IFERROR(VLOOKUP($Q973,'391'!$S:$AG,15,0),0)</f>
        <v>0</v>
      </c>
      <c r="X973" s="1090">
        <f t="shared" si="607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86"/>
      <c r="B974" s="2208"/>
      <c r="C974" s="131" t="s">
        <v>46</v>
      </c>
      <c r="D974" s="875" t="s">
        <v>10</v>
      </c>
      <c r="E974" s="876">
        <v>46017</v>
      </c>
      <c r="F974" s="74">
        <f>$L$7-E974</f>
        <v>259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4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08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07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27" t="s">
        <v>1720</v>
      </c>
      <c r="B975" s="2028"/>
      <c r="C975" s="88"/>
      <c r="D975" s="864"/>
      <c r="E975" s="864"/>
      <c r="F975" s="865"/>
      <c r="G975" s="1297">
        <v>0</v>
      </c>
      <c r="H975" s="1344">
        <f t="shared" ref="H975:I975" si="609">SUM(H970:H974)</f>
        <v>0</v>
      </c>
      <c r="I975" s="1297">
        <f t="shared" si="609"/>
        <v>0</v>
      </c>
      <c r="J975" s="1297">
        <f t="shared" ref="J975:L975" si="610">SUM(J970:J974)</f>
        <v>0</v>
      </c>
      <c r="K975" s="1297">
        <f t="shared" si="610"/>
        <v>0</v>
      </c>
      <c r="L975" s="1297">
        <f t="shared" si="610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1718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07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71">
        <f>IF(L981=0,"",MAX($A$16:A975)+1)</f>
        <v>63</v>
      </c>
      <c r="B976" s="2016" t="s">
        <v>1665</v>
      </c>
      <c r="C976" s="1141" t="s">
        <v>324</v>
      </c>
      <c r="D976" s="959" t="s">
        <v>10</v>
      </c>
      <c r="E976" s="961">
        <v>46261</v>
      </c>
      <c r="F976" s="74">
        <f>$L$7-E976</f>
        <v>15</v>
      </c>
      <c r="G976" s="63">
        <v>2775</v>
      </c>
      <c r="H976" s="64"/>
      <c r="I976" s="64"/>
      <c r="J976" s="1367"/>
      <c r="K976" s="64">
        <f>IFERROR(SUMIF(INTAKE!$A:$A,$T976,INTAKE!$P:$P),0)</f>
        <v>150</v>
      </c>
      <c r="L976" s="1703">
        <f>+G976+H976+I976-J976-K976</f>
        <v>2625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11">G976-W976</f>
        <v>2775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hidden="1" customHeight="1" x14ac:dyDescent="0.25">
      <c r="A977" s="2086"/>
      <c r="B977" s="2208"/>
      <c r="C977" s="1141"/>
      <c r="D977" s="959" t="s">
        <v>10</v>
      </c>
      <c r="E977" s="961">
        <v>46261</v>
      </c>
      <c r="F977" s="74">
        <f>$L$7-E977</f>
        <v>15</v>
      </c>
      <c r="G977" s="63">
        <v>0</v>
      </c>
      <c r="H977" s="64"/>
      <c r="I977" s="64"/>
      <c r="J977" s="1367"/>
      <c r="K977" s="64">
        <f>IFERROR(SUMIF(INTAKE!$A:$A,$T977,INTAKE!$P:$P),0)</f>
        <v>0</v>
      </c>
      <c r="L977" s="1703">
        <f>+G977+H977+I977-J977-K977</f>
        <v>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12">$Q$981&amp;C977&amp;E977</f>
        <v>ROVABIO ADVANCE T-FLEX 25(SG)46261</v>
      </c>
      <c r="U977" s="797"/>
      <c r="V977" s="797"/>
      <c r="W977" s="785">
        <f>IFERROR(VLOOKUP($Q977,'391'!$S:$AG,15,0),0)</f>
        <v>0</v>
      </c>
      <c r="X977" s="1090">
        <f t="shared" si="611"/>
        <v>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86"/>
      <c r="B978" s="2208"/>
      <c r="C978" s="1141"/>
      <c r="D978" s="959" t="s">
        <v>10</v>
      </c>
      <c r="E978" s="961">
        <v>46190</v>
      </c>
      <c r="F978" s="74">
        <f>$L$7-E978</f>
        <v>86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4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12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11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86"/>
      <c r="B979" s="2208"/>
      <c r="C979" s="1141"/>
      <c r="D979" s="959" t="s">
        <v>10</v>
      </c>
      <c r="E979" s="961">
        <v>44443</v>
      </c>
      <c r="F979" s="74">
        <f>$L$7-E979</f>
        <v>1833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4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12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11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86"/>
      <c r="B980" s="2208"/>
      <c r="C980" s="131" t="s">
        <v>46</v>
      </c>
      <c r="D980" s="875" t="s">
        <v>10</v>
      </c>
      <c r="E980" s="876">
        <v>46261</v>
      </c>
      <c r="F980" s="74">
        <f>$L$7-E980</f>
        <v>15</v>
      </c>
      <c r="G980" s="974">
        <v>158.31000000000003</v>
      </c>
      <c r="H980" s="958"/>
      <c r="I980" s="958">
        <f>+SUM(K976:K977)</f>
        <v>150</v>
      </c>
      <c r="J980" s="1397">
        <f>usage!I203</f>
        <v>149.01</v>
      </c>
      <c r="K980" s="64">
        <f>IFERROR(SUMIF(INTAKE!$A:$A,$T980,INTAKE!$P:$P),0)</f>
        <v>0</v>
      </c>
      <c r="L980" s="1534">
        <f>+G980+H980+I980-J980-K980</f>
        <v>159.30000000000007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12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11"/>
        <v>158.31000000000003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27" t="s">
        <v>1670</v>
      </c>
      <c r="B981" s="2028"/>
      <c r="C981" s="88"/>
      <c r="D981" s="864"/>
      <c r="E981" s="864"/>
      <c r="F981" s="865"/>
      <c r="G981" s="1297">
        <v>2933.31</v>
      </c>
      <c r="H981" s="1344">
        <f t="shared" ref="H981:I981" si="613">SUM(H976:H980)</f>
        <v>0</v>
      </c>
      <c r="I981" s="1297">
        <f t="shared" si="613"/>
        <v>150</v>
      </c>
      <c r="J981" s="1297">
        <f t="shared" ref="J981:L981" si="614">SUM(J976:J980)</f>
        <v>149.01</v>
      </c>
      <c r="K981" s="1297">
        <f t="shared" si="614"/>
        <v>150</v>
      </c>
      <c r="L981" s="1297">
        <f t="shared" si="614"/>
        <v>2784.3</v>
      </c>
      <c r="M981" s="982">
        <f>IFERROR((R981/$S$2),"")</f>
        <v>106.49555555555555</v>
      </c>
      <c r="N981" s="366">
        <f>IFERROR((L981/M981),0)</f>
        <v>26.144753041337147</v>
      </c>
      <c r="O981" s="982">
        <f>IFERROR(SUMIF(ETM!$A:$A,$Q981,ETM!$E:$E),"")</f>
        <v>85</v>
      </c>
      <c r="P981" s="880">
        <f>IFERROR(L981/O981,0)</f>
        <v>32.756470588235295</v>
      </c>
      <c r="Q981" s="666" t="s">
        <v>1667</v>
      </c>
      <c r="R981" s="785">
        <f>IFERROR(VLOOKUP($Q981,'391'!$S:$Z,8,0),"")</f>
        <v>479.23</v>
      </c>
      <c r="S981" s="796"/>
      <c r="T981" s="797"/>
      <c r="U981" s="797"/>
      <c r="V981" s="797"/>
      <c r="W981" s="785">
        <f>IFERROR(VLOOKUP($Q981,'391'!$S:$AG,15,0),0)</f>
        <v>3311.54</v>
      </c>
      <c r="X981" s="1090">
        <f t="shared" si="611"/>
        <v>-378.23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71">
        <f>IF(L987=0,"",MAX($A$16:A981)+1)</f>
        <v>64</v>
      </c>
      <c r="B982" s="2016" t="s">
        <v>1654</v>
      </c>
      <c r="C982" s="1141"/>
      <c r="D982" s="959" t="s">
        <v>10</v>
      </c>
      <c r="E982" s="961">
        <v>45981</v>
      </c>
      <c r="F982" s="74">
        <f>$L$7-E982</f>
        <v>295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3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15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16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86"/>
      <c r="B983" s="2208"/>
      <c r="C983" s="1141" t="s">
        <v>1297</v>
      </c>
      <c r="D983" s="959" t="s">
        <v>10</v>
      </c>
      <c r="E983" s="961">
        <v>46233</v>
      </c>
      <c r="F983" s="74">
        <f>$L$7-E983</f>
        <v>43</v>
      </c>
      <c r="G983" s="63">
        <v>125</v>
      </c>
      <c r="H983" s="64"/>
      <c r="I983" s="64"/>
      <c r="J983" s="1367"/>
      <c r="K983" s="64">
        <f>IFERROR(SUMIF(INTAKE!$A:$A,$T983,INTAKE!$P:$P),0)</f>
        <v>125</v>
      </c>
      <c r="L983" s="1703">
        <f>+G983+H983+I983-J983-K983</f>
        <v>0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15"/>
        <v>ROVABIO# PHY PLUS 10000T (SG)Y5.146233</v>
      </c>
      <c r="U983" s="797"/>
      <c r="V983" s="797"/>
      <c r="W983" s="785">
        <f>IFERROR(VLOOKUP($Q983,'391'!$S:$AG,15,0),0)</f>
        <v>0</v>
      </c>
      <c r="X983" s="1090">
        <f t="shared" si="616"/>
        <v>125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customHeight="1" x14ac:dyDescent="0.25">
      <c r="A984" s="2086"/>
      <c r="B984" s="2208"/>
      <c r="C984" s="1141" t="s">
        <v>1297</v>
      </c>
      <c r="D984" s="959" t="s">
        <v>10</v>
      </c>
      <c r="E984" s="961">
        <v>46261</v>
      </c>
      <c r="F984" s="74">
        <f>$L$7-E984</f>
        <v>15</v>
      </c>
      <c r="G984" s="63">
        <v>1300</v>
      </c>
      <c r="H984" s="64"/>
      <c r="I984" s="64"/>
      <c r="J984" s="1367"/>
      <c r="K984" s="64">
        <f>IFERROR(SUMIF(INTAKE!$A:$A,$T984,INTAKE!$P:$P),0)</f>
        <v>0</v>
      </c>
      <c r="L984" s="1703">
        <f>+G984+H984+I984-J984-K984</f>
        <v>1300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15"/>
        <v>ROVABIO# PHY PLUS 10000T (SG)Y5.146261</v>
      </c>
      <c r="U984" s="797"/>
      <c r="V984" s="797"/>
      <c r="W984" s="785">
        <f>IFERROR(VLOOKUP($Q984,'391'!$S:$AG,15,0),0)</f>
        <v>0</v>
      </c>
      <c r="X984" s="1090">
        <f t="shared" si="616"/>
        <v>1300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86"/>
      <c r="B985" s="2208"/>
      <c r="C985" s="1141"/>
      <c r="D985" s="959" t="s">
        <v>10</v>
      </c>
      <c r="E985" s="961">
        <v>44443</v>
      </c>
      <c r="F985" s="74">
        <f>$L$7-E985</f>
        <v>1833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4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15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16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86"/>
      <c r="B986" s="2208"/>
      <c r="C986" s="131" t="s">
        <v>46</v>
      </c>
      <c r="D986" s="875" t="s">
        <v>10</v>
      </c>
      <c r="E986" s="876">
        <v>46233</v>
      </c>
      <c r="F986" s="74">
        <f>$L$7-E986</f>
        <v>43</v>
      </c>
      <c r="G986" s="974">
        <v>69.389999999999986</v>
      </c>
      <c r="H986" s="958"/>
      <c r="I986" s="958">
        <f>+SUM(K982:K984)</f>
        <v>125</v>
      </c>
      <c r="J986" s="1397">
        <f>usage!I202</f>
        <v>74.73</v>
      </c>
      <c r="K986" s="64">
        <f>IFERROR(SUMIF(INTAKE!$A:$A,$T986,INTAKE!$P:$P),0)</f>
        <v>0</v>
      </c>
      <c r="L986" s="1534">
        <f>+G986+H986+I986-J986-K986</f>
        <v>119.65999999999998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15"/>
        <v>ROVABIO# PHY PLUS 10000T (SG)Feedmill46233</v>
      </c>
      <c r="U986" s="797"/>
      <c r="V986" s="797"/>
      <c r="W986" s="785">
        <f>IFERROR(VLOOKUP($Q986,'391'!$S:$AG,15,0),0)</f>
        <v>0</v>
      </c>
      <c r="X986" s="1090">
        <f t="shared" si="616"/>
        <v>69.389999999999986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27" t="s">
        <v>1655</v>
      </c>
      <c r="B987" s="2028"/>
      <c r="C987" s="88"/>
      <c r="D987" s="864"/>
      <c r="E987" s="864"/>
      <c r="F987" s="865"/>
      <c r="G987" s="1297">
        <v>1494.3899999999999</v>
      </c>
      <c r="H987" s="1344">
        <f t="shared" ref="H987:I987" si="617">SUM(H982:H986)</f>
        <v>0</v>
      </c>
      <c r="I987" s="1297">
        <f t="shared" si="617"/>
        <v>125</v>
      </c>
      <c r="J987" s="1297">
        <f t="shared" ref="J987:L987" si="618">SUM(J982:J986)</f>
        <v>74.73</v>
      </c>
      <c r="K987" s="1297">
        <f t="shared" si="618"/>
        <v>125</v>
      </c>
      <c r="L987" s="1297">
        <f t="shared" si="618"/>
        <v>1419.66</v>
      </c>
      <c r="M987" s="982">
        <f>IFERROR((R987/$S$2),"")</f>
        <v>53.1</v>
      </c>
      <c r="N987" s="366">
        <f>IFERROR((L987/M987),0)</f>
        <v>26.735593220338984</v>
      </c>
      <c r="O987" s="982">
        <f>IFERROR(SUMIF(ETM!$A:$A,$Q987,ETM!$E:$E),"")</f>
        <v>42.5</v>
      </c>
      <c r="P987" s="880">
        <f>IFERROR(L987/O987,0)</f>
        <v>33.403764705882352</v>
      </c>
      <c r="Q987" s="666" t="s">
        <v>1654</v>
      </c>
      <c r="R987" s="785">
        <f>IFERROR(VLOOKUP($Q987,'391'!$S:$Z,8,0),"")</f>
        <v>238.95000000000002</v>
      </c>
      <c r="S987" s="796"/>
      <c r="T987" s="797"/>
      <c r="U987" s="797"/>
      <c r="V987" s="797"/>
      <c r="W987" s="785">
        <f>IFERROR(VLOOKUP($Q987,'391'!$S:$AG,15,0),0)</f>
        <v>1683.3700000000001</v>
      </c>
      <c r="X987" s="1090">
        <f t="shared" si="616"/>
        <v>-188.98000000000025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71">
        <f>IF(L993=0,"",MAX($A$16:A987)+1)</f>
        <v>65</v>
      </c>
      <c r="B988" s="2098" t="s">
        <v>1336</v>
      </c>
      <c r="C988" s="114"/>
      <c r="D988" s="959" t="s">
        <v>10</v>
      </c>
      <c r="E988" s="961">
        <v>45035</v>
      </c>
      <c r="F988" s="74">
        <f>$L$7-E988</f>
        <v>1241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4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84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86"/>
      <c r="B989" s="2205"/>
      <c r="C989" s="114" t="s">
        <v>1621</v>
      </c>
      <c r="D989" s="959" t="s">
        <v>10</v>
      </c>
      <c r="E989" s="961">
        <v>46213</v>
      </c>
      <c r="F989" s="74">
        <f>$L$7-E989</f>
        <v>63</v>
      </c>
      <c r="G989" s="63">
        <v>3648</v>
      </c>
      <c r="H989" s="64"/>
      <c r="I989" s="64"/>
      <c r="J989" s="1367"/>
      <c r="K989" s="64">
        <f>IFERROR(SUMIF(INTAKE!$A:$A,$T989,INTAKE!$P:$P),0)</f>
        <v>912</v>
      </c>
      <c r="L989" s="1703">
        <f>+G989+H989+I989-J989-K989</f>
        <v>2736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84"/>
        <v>3648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86"/>
      <c r="B990" s="2205"/>
      <c r="C990" s="114" t="s">
        <v>1621</v>
      </c>
      <c r="D990" s="959" t="s">
        <v>10</v>
      </c>
      <c r="E990" s="961">
        <v>46247</v>
      </c>
      <c r="F990" s="74">
        <f>$L$7-E990</f>
        <v>29</v>
      </c>
      <c r="G990" s="63">
        <v>7296</v>
      </c>
      <c r="H990" s="64"/>
      <c r="I990" s="64"/>
      <c r="J990" s="1367"/>
      <c r="K990" s="64"/>
      <c r="L990" s="1703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84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86"/>
      <c r="B991" s="2205"/>
      <c r="C991" s="114" t="s">
        <v>1621</v>
      </c>
      <c r="D991" s="959" t="s">
        <v>10</v>
      </c>
      <c r="E991" s="961">
        <v>46275</v>
      </c>
      <c r="F991" s="74">
        <f>$L$7-E991</f>
        <v>1</v>
      </c>
      <c r="G991" s="63">
        <v>7296</v>
      </c>
      <c r="H991" s="64"/>
      <c r="I991" s="64"/>
      <c r="J991" s="1367"/>
      <c r="K991" s="64"/>
      <c r="L991" s="1703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84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86"/>
      <c r="B992" s="2205"/>
      <c r="C992" s="131" t="s">
        <v>870</v>
      </c>
      <c r="D992" s="875" t="s">
        <v>10</v>
      </c>
      <c r="E992" s="876">
        <v>46213</v>
      </c>
      <c r="F992" s="74">
        <f>$L$7-E992</f>
        <v>63</v>
      </c>
      <c r="G992" s="974">
        <v>2493.4699999999998</v>
      </c>
      <c r="H992" s="958"/>
      <c r="I992" s="1405">
        <f>+SUM(K988:K991)</f>
        <v>912</v>
      </c>
      <c r="J992" s="1397">
        <f>+usage!I86</f>
        <v>220</v>
      </c>
      <c r="K992" s="64">
        <f>IFERROR(SUMIF(INTAKE!$A:$A,$T992,INTAKE!$P:$P),0)</f>
        <v>0</v>
      </c>
      <c r="L992" s="1534">
        <f>+G992+H992+I992-J992-K992</f>
        <v>3185.47</v>
      </c>
      <c r="M992" s="136"/>
      <c r="N992" s="848"/>
      <c r="O992" s="136"/>
      <c r="P992" s="740"/>
      <c r="Q992" s="666" t="s">
        <v>1324</v>
      </c>
      <c r="R992" s="785">
        <f>IFERROR(VLOOKUP($Q992,'391'!$S:$Z,8,0),"0")</f>
        <v>1210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14622.470000000001</v>
      </c>
      <c r="X992" s="1090">
        <f t="shared" si="584"/>
        <v>-12129.000000000002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27" t="s">
        <v>530</v>
      </c>
      <c r="B993" s="2028"/>
      <c r="C993" s="88"/>
      <c r="D993" s="864"/>
      <c r="E993" s="864"/>
      <c r="F993" s="865"/>
      <c r="G993" s="1297">
        <v>20733.47</v>
      </c>
      <c r="H993" s="1344">
        <f>SUM(H988:H992)</f>
        <v>0</v>
      </c>
      <c r="I993" s="1297">
        <f t="shared" ref="I993" si="619">SUM(I988:I992)</f>
        <v>912</v>
      </c>
      <c r="J993" s="1297">
        <f t="shared" ref="J993:L993" si="620">SUM(J988:J992)</f>
        <v>220</v>
      </c>
      <c r="K993" s="1297">
        <f t="shared" si="620"/>
        <v>912</v>
      </c>
      <c r="L993" s="1297">
        <f t="shared" si="620"/>
        <v>20513.47</v>
      </c>
      <c r="M993" s="982">
        <f>IFERROR((S993/$S$2),"")</f>
        <v>268.88888888888891</v>
      </c>
      <c r="N993" s="366">
        <f>(L993/M993)</f>
        <v>76.289764462809913</v>
      </c>
      <c r="O993" s="982">
        <f>IFERROR(SUMIF(ETM!$A:$A,$Q993,ETM!$E:$E),"")</f>
        <v>270.83333333333331</v>
      </c>
      <c r="P993" s="880">
        <f>IFERROR(L993/O993,0)</f>
        <v>75.742043076923082</v>
      </c>
      <c r="Q993" s="814" t="s">
        <v>672</v>
      </c>
      <c r="R993" s="785" t="str">
        <f>IFERROR(VLOOKUP($Q993,'391'!$S:$Z,8,0),"0")</f>
        <v>0</v>
      </c>
      <c r="S993" s="800">
        <f>+R993+R992</f>
        <v>1210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6111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29">
        <f>IF(L1000=0,"",MAX($A$16:A993)+1)</f>
        <v>66</v>
      </c>
      <c r="B994" s="2023" t="s">
        <v>60</v>
      </c>
      <c r="C994" s="139"/>
      <c r="D994" s="959" t="s">
        <v>10</v>
      </c>
      <c r="E994" s="961">
        <v>46039</v>
      </c>
      <c r="F994" s="938">
        <f t="shared" ref="F994:F996" si="621">$L$7-E994</f>
        <v>237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4">
        <f t="shared" ref="L994:L999" si="622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23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24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30"/>
      <c r="B995" s="2024"/>
      <c r="C995" s="139"/>
      <c r="D995" s="959" t="s">
        <v>10</v>
      </c>
      <c r="E995" s="961">
        <v>46079</v>
      </c>
      <c r="F995" s="938">
        <f t="shared" si="621"/>
        <v>197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3">
        <f t="shared" si="622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23"/>
        <v>Mycostatin-2046079</v>
      </c>
      <c r="U995" s="797"/>
      <c r="V995" s="797"/>
      <c r="W995" s="785">
        <f>IFERROR(VLOOKUP($Q995,'391'!$S:$AG,15,0),0)</f>
        <v>0</v>
      </c>
      <c r="X995" s="1090">
        <f t="shared" si="624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30"/>
      <c r="B996" s="2024"/>
      <c r="C996" s="139" t="s">
        <v>1249</v>
      </c>
      <c r="D996" s="959" t="s">
        <v>10</v>
      </c>
      <c r="E996" s="961">
        <v>46262</v>
      </c>
      <c r="F996" s="938">
        <f t="shared" si="621"/>
        <v>14</v>
      </c>
      <c r="G996" s="63">
        <v>950</v>
      </c>
      <c r="H996" s="974"/>
      <c r="I996" s="11"/>
      <c r="J996" s="1366"/>
      <c r="K996" s="63">
        <f>IFERROR(SUMIF(INTAKE!$A:$A,$T996,INTAKE!$P:$P),0)</f>
        <v>150</v>
      </c>
      <c r="L996" s="1703">
        <f t="shared" si="622"/>
        <v>800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23"/>
        <v>Mycostatin-20E146262</v>
      </c>
      <c r="U996" s="797"/>
      <c r="V996" s="797"/>
      <c r="W996" s="785">
        <f>IFERROR(VLOOKUP($Q996,'391'!$S:$AG,15,0),0)</f>
        <v>0</v>
      </c>
      <c r="X996" s="1090">
        <f t="shared" si="624"/>
        <v>950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 x14ac:dyDescent="0.25">
      <c r="A997" s="2030"/>
      <c r="B997" s="2025"/>
      <c r="C997" s="139"/>
      <c r="D997" s="959" t="s">
        <v>10</v>
      </c>
      <c r="E997" s="961">
        <v>46262</v>
      </c>
      <c r="F997" s="938">
        <f t="shared" ref="F997" si="625">$L$7-E997</f>
        <v>14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12">
        <f t="shared" si="622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23"/>
        <v>Mycostatin-2046262</v>
      </c>
      <c r="U997" s="797"/>
      <c r="V997" s="797"/>
      <c r="W997" s="785">
        <f>IFERROR(VLOOKUP($Q997,'391'!$S:$AG,15,0),0)</f>
        <v>0</v>
      </c>
      <c r="X997" s="1090">
        <f t="shared" si="624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30"/>
      <c r="B998" s="2025"/>
      <c r="C998" s="139"/>
      <c r="D998" s="959" t="s">
        <v>10</v>
      </c>
      <c r="E998" s="961">
        <v>45933</v>
      </c>
      <c r="F998" s="938">
        <f t="shared" ref="F998:F999" si="626">$L$7-E998</f>
        <v>343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3">
        <f t="shared" si="622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23"/>
        <v>Mycostatin-2045933</v>
      </c>
      <c r="U998" s="797"/>
      <c r="V998" s="797"/>
      <c r="W998" s="785">
        <f>IFERROR(VLOOKUP($Q998,'391'!$S:$AG,15,0),0)</f>
        <v>0</v>
      </c>
      <c r="X998" s="1090">
        <f t="shared" si="624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31"/>
      <c r="B999" s="2204"/>
      <c r="C999" s="61" t="s">
        <v>46</v>
      </c>
      <c r="D999" s="863" t="s">
        <v>10</v>
      </c>
      <c r="E999" s="886">
        <v>46262</v>
      </c>
      <c r="F999" s="39">
        <f t="shared" si="626"/>
        <v>14</v>
      </c>
      <c r="G999" s="37">
        <v>9.2299999999999045</v>
      </c>
      <c r="H999" s="37"/>
      <c r="I999" s="37">
        <f>+SUM(K994:K998)</f>
        <v>150</v>
      </c>
      <c r="J999" s="1365">
        <f>+usage!I136</f>
        <v>0</v>
      </c>
      <c r="K999" s="63">
        <f>IFERROR(SUMIF(INTAKE!$A:$A,$T999,INTAKE!$P:$P),0)</f>
        <v>0</v>
      </c>
      <c r="L999" s="1534">
        <f t="shared" si="622"/>
        <v>159.2299999999999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24"/>
        <v>9.2299999999999045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56" t="s">
        <v>61</v>
      </c>
      <c r="B1000" s="2057"/>
      <c r="C1000" s="88"/>
      <c r="D1000" s="864"/>
      <c r="E1000" s="864"/>
      <c r="F1000" s="865"/>
      <c r="G1000" s="1297">
        <v>959.2299999999999</v>
      </c>
      <c r="H1000" s="1297">
        <f>+SUM(H994:H999)</f>
        <v>0</v>
      </c>
      <c r="I1000" s="1297">
        <f>+SUM(I994:I999)</f>
        <v>150</v>
      </c>
      <c r="J1000" s="1297">
        <f>+SUM(J994:J999)</f>
        <v>0</v>
      </c>
      <c r="K1000" s="1297">
        <f>+SUM(K994:K999)</f>
        <v>150</v>
      </c>
      <c r="L1000" s="1297">
        <f>+SUM(L994:L999)</f>
        <v>959.2299999999999</v>
      </c>
      <c r="M1000" s="59">
        <f>IFERROR((R1000/$S$2),"")</f>
        <v>25.457777777777778</v>
      </c>
      <c r="N1000" s="366">
        <f>IFERROR(L1000/M1000,0)</f>
        <v>37.679251047486026</v>
      </c>
      <c r="O1000" s="59">
        <f>IFERROR(SUMIF(ETM!$A:$A,$Q1000,ETM!$E:$E),"")</f>
        <v>9.1666666666666661</v>
      </c>
      <c r="P1000" s="880">
        <f>IFERROR(L1000/O1000,0)</f>
        <v>104.64327272727273</v>
      </c>
      <c r="Q1000" s="1819" t="s">
        <v>60</v>
      </c>
      <c r="R1000" s="785">
        <f>IFERROR(VLOOKUP($Q1000,'391'!$S:$Z,8,0),"")</f>
        <v>114.56</v>
      </c>
      <c r="S1000" s="796"/>
      <c r="T1000" s="797"/>
      <c r="U1000" s="797"/>
      <c r="V1000" s="797"/>
      <c r="W1000" s="785">
        <f>IFERROR(VLOOKUP($Q1000,'391'!$S:$AG,15,0),0)</f>
        <v>1264.72</v>
      </c>
      <c r="X1000" s="1090">
        <f t="shared" si="624"/>
        <v>-305.49000000000012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29" t="str">
        <f>IF(L1007=0,"",MAX($A$16:A1000)+1)</f>
        <v/>
      </c>
      <c r="B1001" s="2023" t="s">
        <v>1714</v>
      </c>
      <c r="C1001" s="139" t="s">
        <v>283</v>
      </c>
      <c r="D1001" s="959" t="s">
        <v>10</v>
      </c>
      <c r="E1001" s="961">
        <v>46017</v>
      </c>
      <c r="F1001" s="74">
        <f>$L$7-E1001</f>
        <v>259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3">
        <f t="shared" ref="L1001:L1006" si="627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28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30"/>
      <c r="B1002" s="2024"/>
      <c r="C1002" s="139"/>
      <c r="D1002" s="959" t="s">
        <v>10</v>
      </c>
      <c r="E1002" s="961">
        <v>45744</v>
      </c>
      <c r="F1002" s="938">
        <f t="shared" ref="F1002:F1006" si="629">$L$7-E1002</f>
        <v>532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3">
        <f t="shared" si="627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30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28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30"/>
      <c r="B1003" s="2024"/>
      <c r="C1003" s="139"/>
      <c r="D1003" s="959" t="s">
        <v>10</v>
      </c>
      <c r="E1003" s="961">
        <v>45933</v>
      </c>
      <c r="F1003" s="938">
        <f t="shared" si="629"/>
        <v>343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3">
        <f t="shared" si="627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30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28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30"/>
      <c r="B1004" s="2025"/>
      <c r="C1004" s="139"/>
      <c r="D1004" s="959" t="s">
        <v>10</v>
      </c>
      <c r="E1004" s="961">
        <v>45933</v>
      </c>
      <c r="F1004" s="938">
        <f t="shared" si="629"/>
        <v>343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2">
        <f t="shared" si="627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30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28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30"/>
      <c r="B1005" s="2025"/>
      <c r="C1005" s="139"/>
      <c r="D1005" s="959" t="s">
        <v>10</v>
      </c>
      <c r="E1005" s="961">
        <v>45933</v>
      </c>
      <c r="F1005" s="938">
        <f t="shared" si="629"/>
        <v>343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3">
        <f t="shared" si="627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30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8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31"/>
      <c r="B1006" s="2204"/>
      <c r="C1006" s="61" t="s">
        <v>46</v>
      </c>
      <c r="D1006" s="863" t="s">
        <v>10</v>
      </c>
      <c r="E1006" s="886">
        <v>46017</v>
      </c>
      <c r="F1006" s="39">
        <f t="shared" si="629"/>
        <v>259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4">
        <f t="shared" si="627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30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28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27" t="s">
        <v>1714</v>
      </c>
      <c r="B1007" s="2028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1714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28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53">
        <f>IF(L1016=0,"",MAX($A$16:A1007)+1)</f>
        <v>67</v>
      </c>
      <c r="B1008" s="2206" t="s">
        <v>1248</v>
      </c>
      <c r="C1008" s="193"/>
      <c r="D1008" s="987" t="s">
        <v>10</v>
      </c>
      <c r="E1008" s="988">
        <v>46059</v>
      </c>
      <c r="F1008" s="989">
        <f t="shared" ref="F1008:F1010" si="631">$L$7-E1008</f>
        <v>217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3">
        <f t="shared" ref="L1008:L1015" si="632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24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54"/>
      <c r="B1009" s="2207"/>
      <c r="C1009" s="193" t="s">
        <v>273</v>
      </c>
      <c r="D1009" s="987" t="s">
        <v>10</v>
      </c>
      <c r="E1009" s="988">
        <v>46248</v>
      </c>
      <c r="F1009" s="989">
        <f t="shared" si="631"/>
        <v>28</v>
      </c>
      <c r="G1009" s="1370">
        <v>1000</v>
      </c>
      <c r="H1009" s="1395"/>
      <c r="I1009" s="1395"/>
      <c r="J1009" s="1396"/>
      <c r="K1009" s="1395">
        <f>IFERROR(SUMIF(INTAKE!$A:$A,$T1009,INTAKE!$P:$P),0)</f>
        <v>0</v>
      </c>
      <c r="L1009" s="1703">
        <f t="shared" si="632"/>
        <v>1000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24"/>
        <v>1000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54"/>
      <c r="B1010" s="2207"/>
      <c r="C1010" s="193" t="s">
        <v>287</v>
      </c>
      <c r="D1010" s="987" t="s">
        <v>10</v>
      </c>
      <c r="E1010" s="988">
        <v>46254</v>
      </c>
      <c r="F1010" s="989">
        <f t="shared" si="631"/>
        <v>22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3">
        <f t="shared" si="632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24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54"/>
      <c r="B1011" s="2207"/>
      <c r="C1011" s="193"/>
      <c r="D1011" s="987" t="s">
        <v>10</v>
      </c>
      <c r="E1011" s="988">
        <v>46254</v>
      </c>
      <c r="F1011" s="989">
        <f t="shared" ref="F1011:F1015" si="633">$L$7-E1011</f>
        <v>22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3">
        <f t="shared" si="632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24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54"/>
      <c r="B1012" s="2207"/>
      <c r="C1012" s="193"/>
      <c r="D1012" s="987" t="s">
        <v>10</v>
      </c>
      <c r="E1012" s="988">
        <v>42742</v>
      </c>
      <c r="F1012" s="989">
        <f t="shared" si="633"/>
        <v>3534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4">
        <f t="shared" si="632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24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54"/>
      <c r="B1013" s="2207"/>
      <c r="C1013" s="193"/>
      <c r="D1013" s="987" t="s">
        <v>10</v>
      </c>
      <c r="E1013" s="988">
        <v>42749</v>
      </c>
      <c r="F1013" s="989">
        <f t="shared" si="633"/>
        <v>3527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4">
        <f t="shared" si="632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24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54"/>
      <c r="B1014" s="2207"/>
      <c r="C1014" s="193"/>
      <c r="D1014" s="987" t="s">
        <v>10</v>
      </c>
      <c r="E1014" s="988">
        <v>42770</v>
      </c>
      <c r="F1014" s="989">
        <f t="shared" si="633"/>
        <v>3506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4">
        <f t="shared" si="632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24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55"/>
      <c r="B1015" s="2210"/>
      <c r="C1015" s="61" t="s">
        <v>46</v>
      </c>
      <c r="D1015" s="990" t="s">
        <v>10</v>
      </c>
      <c r="E1015" s="991">
        <v>46248</v>
      </c>
      <c r="F1015" s="992">
        <f t="shared" si="633"/>
        <v>28</v>
      </c>
      <c r="G1015" s="1406">
        <v>965.25999999999988</v>
      </c>
      <c r="H1015" s="1406"/>
      <c r="I1015" s="1406">
        <f>+SUM(K1008:K1011)</f>
        <v>0</v>
      </c>
      <c r="J1015" s="1407">
        <f>+usage!I106</f>
        <v>100.48</v>
      </c>
      <c r="K1015" s="1395">
        <f>IFERROR(SUMIF(INTAKE!$A:$A,$T1015,INTAKE!$P:$P),0)</f>
        <v>0</v>
      </c>
      <c r="L1015" s="1534">
        <f t="shared" si="632"/>
        <v>864.77999999999986</v>
      </c>
      <c r="M1015" s="384"/>
      <c r="N1015" s="384"/>
      <c r="O1015" s="384"/>
      <c r="P1015" s="757"/>
      <c r="Q1015" s="795" t="s">
        <v>1229</v>
      </c>
      <c r="R1015" s="785">
        <f>IFERROR(VLOOKUP($Q1015,'391'!$S:$Z,8,0),"0")</f>
        <v>535.72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4475.82</v>
      </c>
      <c r="X1015" s="1090">
        <f t="shared" si="624"/>
        <v>-3510.56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27" t="s">
        <v>62</v>
      </c>
      <c r="B1016" s="2028"/>
      <c r="C1016" s="88"/>
      <c r="D1016" s="864"/>
      <c r="E1016" s="864"/>
      <c r="F1016" s="865"/>
      <c r="G1016" s="1297">
        <v>3965.2599999999998</v>
      </c>
      <c r="H1016" s="1297">
        <f t="shared" ref="H1016:L1016" si="634">+SUM(H1008:H1015)</f>
        <v>0</v>
      </c>
      <c r="I1016" s="1297">
        <f t="shared" si="634"/>
        <v>0</v>
      </c>
      <c r="J1016" s="1297">
        <f t="shared" si="634"/>
        <v>100.48</v>
      </c>
      <c r="K1016" s="1297">
        <f t="shared" si="634"/>
        <v>0</v>
      </c>
      <c r="L1016" s="1297">
        <f t="shared" si="634"/>
        <v>3864.7799999999997</v>
      </c>
      <c r="M1016" s="982">
        <f>IFERROR((S1016/$S$2),"")</f>
        <v>119.0488888888889</v>
      </c>
      <c r="N1016" s="366">
        <f>IFERROR(L1016/M1016,0)</f>
        <v>32.463805719405656</v>
      </c>
      <c r="O1016" s="982">
        <f>IFERROR(SUMIF(ETM!$A:$A,$Q1016,ETM!$E:$E),"")</f>
        <v>112.83333333333334</v>
      </c>
      <c r="P1016" s="880">
        <f>IFERROR(L1016/O1016,0)</f>
        <v>34.252112259970453</v>
      </c>
      <c r="Q1016" s="814" t="s">
        <v>673</v>
      </c>
      <c r="R1016" s="785" t="str">
        <f>IFERROR(VLOOKUP($Q1016,'391'!$S:$Z,8,0),"0")</f>
        <v>0</v>
      </c>
      <c r="S1016" s="796">
        <f>+R1015+R1016</f>
        <v>535.72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-510.55999999999995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29" t="str">
        <f>IF(L1023=0,"",MAX($A$16:A1016)+1)</f>
        <v/>
      </c>
      <c r="B1017" s="2206" t="s">
        <v>63</v>
      </c>
      <c r="C1017" s="139"/>
      <c r="D1017" s="887" t="s">
        <v>10</v>
      </c>
      <c r="E1017" s="888">
        <v>45624</v>
      </c>
      <c r="F1017" s="70">
        <f t="shared" ref="F1017" si="635">$L$7-E1017</f>
        <v>652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3">
        <f t="shared" ref="L1017:L1022" si="636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37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38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30"/>
      <c r="B1018" s="2207"/>
      <c r="C1018" s="139"/>
      <c r="D1018" s="887" t="s">
        <v>10</v>
      </c>
      <c r="E1018" s="888">
        <v>45519</v>
      </c>
      <c r="F1018" s="70">
        <f t="shared" ref="F1018:F1022" si="639">$L$7-E1018</f>
        <v>757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4">
        <f t="shared" si="636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37"/>
        <v>Novasil Plus45519</v>
      </c>
      <c r="U1018" s="797"/>
      <c r="V1018" s="797"/>
      <c r="W1018" s="785">
        <f>IFERROR(VLOOKUP($Q1018,'391'!$S:$AG,15,0),0)</f>
        <v>0</v>
      </c>
      <c r="X1018" s="1090">
        <f t="shared" si="638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30"/>
      <c r="B1019" s="2207"/>
      <c r="C1019" s="139"/>
      <c r="D1019" s="887"/>
      <c r="E1019" s="888"/>
      <c r="F1019" s="70">
        <f t="shared" si="639"/>
        <v>46276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4">
        <f t="shared" si="636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37"/>
        <v>Novasil Plus</v>
      </c>
      <c r="U1019" s="797"/>
      <c r="V1019" s="797"/>
      <c r="W1019" s="785">
        <f>IFERROR(VLOOKUP($Q1019,'391'!$S:$AG,15,0),0)</f>
        <v>0</v>
      </c>
      <c r="X1019" s="1090">
        <f t="shared" si="638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30"/>
      <c r="B1020" s="2207"/>
      <c r="C1020" s="139"/>
      <c r="D1020" s="987" t="s">
        <v>10</v>
      </c>
      <c r="E1020" s="988">
        <v>46238</v>
      </c>
      <c r="F1020" s="70">
        <f t="shared" ref="F1020" si="640">$L$7-E1020</f>
        <v>38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3">
        <f t="shared" si="636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7"/>
        <v>Novasil Plus46238</v>
      </c>
      <c r="U1020" s="797"/>
      <c r="V1020" s="797"/>
      <c r="W1020" s="785">
        <f>IFERROR(VLOOKUP($Q1020,'391'!$S:$AG,15,0),0)</f>
        <v>0</v>
      </c>
      <c r="X1020" s="1090">
        <f t="shared" si="638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30"/>
      <c r="B1021" s="2207"/>
      <c r="C1021" s="139"/>
      <c r="D1021" s="987" t="s">
        <v>10</v>
      </c>
      <c r="E1021" s="988">
        <v>46177</v>
      </c>
      <c r="F1021" s="70">
        <f t="shared" si="639"/>
        <v>99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3">
        <f t="shared" si="636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7"/>
        <v>Novasil Plus46177</v>
      </c>
      <c r="U1021" s="797"/>
      <c r="V1021" s="797"/>
      <c r="W1021" s="785">
        <f>IFERROR(VLOOKUP($Q1021,'391'!$S:$AG,15,0),0)</f>
        <v>0</v>
      </c>
      <c r="X1021" s="1090">
        <f t="shared" si="638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30"/>
      <c r="B1022" s="2207"/>
      <c r="C1022" s="138" t="s">
        <v>46</v>
      </c>
      <c r="D1022" s="852" t="s">
        <v>10</v>
      </c>
      <c r="E1022" s="853">
        <v>46238</v>
      </c>
      <c r="F1022" s="70">
        <f t="shared" si="639"/>
        <v>38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4">
        <f t="shared" si="636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37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38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27" t="s">
        <v>64</v>
      </c>
      <c r="B1023" s="2028"/>
      <c r="C1023" s="88"/>
      <c r="D1023" s="864"/>
      <c r="E1023" s="864"/>
      <c r="F1023" s="865"/>
      <c r="G1023" s="1297">
        <v>0</v>
      </c>
      <c r="H1023" s="1297">
        <f t="shared" ref="H1023:L1023" si="641">SUM(H1017:H1022)</f>
        <v>0</v>
      </c>
      <c r="I1023" s="1297">
        <f t="shared" si="641"/>
        <v>0</v>
      </c>
      <c r="J1023" s="1297">
        <f t="shared" si="641"/>
        <v>0</v>
      </c>
      <c r="K1023" s="1297">
        <f t="shared" si="641"/>
        <v>0</v>
      </c>
      <c r="L1023" s="1297">
        <f t="shared" si="641"/>
        <v>0</v>
      </c>
      <c r="M1023" s="982">
        <f>IFERROR((R1023/$S$2),"")</f>
        <v>37.506666666666668</v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>
        <f>IFERROR(VLOOKUP($Q1023,'391'!$S:$Z,8,0),"")</f>
        <v>168.78</v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38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29" t="str">
        <f>IF(L1029=0,"",MAX($A$16:A1023)+1)</f>
        <v/>
      </c>
      <c r="B1024" s="2051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319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2">
        <f t="shared" ref="L1024:L1039" si="642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38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30"/>
      <c r="B1025" s="2073"/>
      <c r="C1025" s="158"/>
      <c r="D1025" s="881" t="s">
        <v>10</v>
      </c>
      <c r="E1025" s="882">
        <v>44133</v>
      </c>
      <c r="F1025" s="71">
        <f>$L$7-E1025</f>
        <v>2143</v>
      </c>
      <c r="G1025" s="64">
        <v>0</v>
      </c>
      <c r="H1025" s="64"/>
      <c r="I1025" s="64"/>
      <c r="J1025" s="1367"/>
      <c r="K1025" s="64"/>
      <c r="L1025" s="1534">
        <f t="shared" si="642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43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38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30"/>
      <c r="B1026" s="2073"/>
      <c r="C1026" s="158"/>
      <c r="D1026" s="881" t="s">
        <v>10</v>
      </c>
      <c r="E1026" s="882">
        <v>44133</v>
      </c>
      <c r="F1026" s="71">
        <f>$L$7-E1026</f>
        <v>2143</v>
      </c>
      <c r="G1026" s="64">
        <v>0</v>
      </c>
      <c r="H1026" s="64"/>
      <c r="I1026" s="64"/>
      <c r="J1026" s="1367"/>
      <c r="K1026" s="64"/>
      <c r="L1026" s="1534">
        <f t="shared" si="642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43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38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30"/>
      <c r="B1027" s="2073"/>
      <c r="C1027" s="158"/>
      <c r="D1027" s="881" t="s">
        <v>10</v>
      </c>
      <c r="E1027" s="882">
        <v>42962</v>
      </c>
      <c r="F1027" s="71">
        <f>$L$7-E1027</f>
        <v>3314</v>
      </c>
      <c r="G1027" s="64">
        <v>0</v>
      </c>
      <c r="H1027" s="64"/>
      <c r="I1027" s="64"/>
      <c r="J1027" s="1367"/>
      <c r="K1027" s="64"/>
      <c r="L1027" s="1534">
        <f t="shared" si="642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43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38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31"/>
      <c r="B1028" s="2052"/>
      <c r="C1028" s="128" t="s">
        <v>46</v>
      </c>
      <c r="D1028" s="863" t="s">
        <v>10</v>
      </c>
      <c r="E1028" s="993">
        <v>45957</v>
      </c>
      <c r="F1028" s="39">
        <f>$L$7-E1028</f>
        <v>319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4">
        <f t="shared" si="642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43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38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209" t="s">
        <v>328</v>
      </c>
      <c r="B1029" s="2028"/>
      <c r="C1029" s="88"/>
      <c r="D1029" s="930"/>
      <c r="E1029" s="930"/>
      <c r="F1029" s="931"/>
      <c r="G1029" s="1297">
        <v>0</v>
      </c>
      <c r="H1029" s="1297">
        <f t="shared" ref="H1029:L1029" si="644">SUM(H1024:H1028)</f>
        <v>0</v>
      </c>
      <c r="I1029" s="1297">
        <f t="shared" si="644"/>
        <v>0</v>
      </c>
      <c r="J1029" s="1297">
        <f t="shared" si="644"/>
        <v>0</v>
      </c>
      <c r="K1029" s="1297">
        <f t="shared" si="644"/>
        <v>0</v>
      </c>
      <c r="L1029" s="1297">
        <f t="shared" si="644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38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29" t="str">
        <f>IF(L1034=0,"",MAX($A$16:A1029)+1)</f>
        <v/>
      </c>
      <c r="B1030" s="2051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2332</v>
      </c>
      <c r="G1030" s="1409">
        <v>0</v>
      </c>
      <c r="H1030" s="1370"/>
      <c r="I1030" s="1370"/>
      <c r="J1030" s="1371"/>
      <c r="K1030" s="1370"/>
      <c r="L1030" s="1534">
        <f t="shared" si="642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38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30"/>
      <c r="B1031" s="2073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4">
        <f t="shared" si="642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8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30"/>
      <c r="B1032" s="2073"/>
      <c r="C1032" s="243" t="s">
        <v>287</v>
      </c>
      <c r="D1032" s="987" t="s">
        <v>10</v>
      </c>
      <c r="E1032" s="988">
        <v>43944</v>
      </c>
      <c r="F1032" s="994">
        <f>$L$7-E1032</f>
        <v>2332</v>
      </c>
      <c r="G1032" s="1409">
        <v>0</v>
      </c>
      <c r="H1032" s="1370"/>
      <c r="I1032" s="1370"/>
      <c r="J1032" s="1371"/>
      <c r="K1032" s="1370"/>
      <c r="L1032" s="1534">
        <f t="shared" si="642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8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30"/>
      <c r="B1033" s="2073"/>
      <c r="C1033" s="388" t="s">
        <v>46</v>
      </c>
      <c r="D1033" s="995" t="s">
        <v>10</v>
      </c>
      <c r="E1033" s="996">
        <v>43944</v>
      </c>
      <c r="F1033" s="997">
        <f>$L$7-E1033</f>
        <v>2332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4">
        <f t="shared" si="642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8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27" t="s">
        <v>537</v>
      </c>
      <c r="B1034" s="2028"/>
      <c r="C1034" s="88"/>
      <c r="D1034" s="864"/>
      <c r="E1034" s="864"/>
      <c r="F1034" s="865"/>
      <c r="G1034" s="1297">
        <v>0</v>
      </c>
      <c r="H1034" s="1297">
        <f t="shared" ref="H1034:I1034" si="645">SUM(H1030:H1033)</f>
        <v>0</v>
      </c>
      <c r="I1034" s="1297">
        <f t="shared" si="645"/>
        <v>0</v>
      </c>
      <c r="J1034" s="1297">
        <f t="shared" ref="J1034:K1034" si="646">SUM(J1030:J1033)</f>
        <v>0</v>
      </c>
      <c r="K1034" s="1297">
        <f t="shared" si="646"/>
        <v>0</v>
      </c>
      <c r="L1034" s="1534">
        <f t="shared" si="642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8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29">
        <f>IF(L1040=0,"",MAX($A$16:A1023)+1)</f>
        <v>68</v>
      </c>
      <c r="B1035" s="2051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45</v>
      </c>
      <c r="G1035" s="1409">
        <v>950</v>
      </c>
      <c r="H1035" s="1370"/>
      <c r="I1035" s="1370"/>
      <c r="J1035" s="1371"/>
      <c r="K1035" s="1370">
        <f>IFERROR(SUMIF(INTAKE!$A:$A,$T1035,INTAKE!$P:$P),0)</f>
        <v>100</v>
      </c>
      <c r="L1035" s="1703">
        <f t="shared" si="642"/>
        <v>850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38"/>
        <v>950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hidden="1" customHeight="1" x14ac:dyDescent="0.25">
      <c r="A1036" s="2030"/>
      <c r="B1036" s="2073"/>
      <c r="C1036" s="243"/>
      <c r="D1036" s="987" t="s">
        <v>10</v>
      </c>
      <c r="E1036" s="988">
        <v>46231</v>
      </c>
      <c r="F1036" s="994">
        <f>$L$7-E1036</f>
        <v>45</v>
      </c>
      <c r="G1036" s="1409">
        <v>0</v>
      </c>
      <c r="H1036" s="1370"/>
      <c r="I1036" s="1370"/>
      <c r="J1036" s="1371"/>
      <c r="K1036" s="1370">
        <f>IFERROR(SUMIF(INTAKE!$A:$A,$T1036,INTAKE!$P:$P),0)</f>
        <v>0</v>
      </c>
      <c r="L1036" s="1703">
        <f t="shared" si="642"/>
        <v>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(China)46231</v>
      </c>
      <c r="U1036" s="797"/>
      <c r="V1036" s="797"/>
      <c r="W1036" s="785">
        <f>IFERROR(VLOOKUP($Q1036,'391'!$S:$AG,15,0),0)</f>
        <v>0</v>
      </c>
      <c r="X1036" s="1090">
        <f t="shared" si="638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hidden="1" customHeight="1" x14ac:dyDescent="0.25">
      <c r="A1037" s="2030"/>
      <c r="B1037" s="2073"/>
      <c r="C1037" s="243"/>
      <c r="D1037" s="987" t="s">
        <v>10</v>
      </c>
      <c r="E1037" s="988">
        <v>46192</v>
      </c>
      <c r="F1037" s="994">
        <f>$L$7-E1037</f>
        <v>84</v>
      </c>
      <c r="G1037" s="1409">
        <v>0</v>
      </c>
      <c r="H1037" s="1370"/>
      <c r="I1037" s="1370"/>
      <c r="J1037" s="1371"/>
      <c r="K1037" s="1370">
        <f>IFERROR(SUMIF(INTAKE!$A:$A,$T1037,INTAKE!$P:$P),0)</f>
        <v>0</v>
      </c>
      <c r="L1037" s="1703">
        <f t="shared" si="642"/>
        <v>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(China)46192</v>
      </c>
      <c r="U1037" s="797"/>
      <c r="V1037" s="797"/>
      <c r="W1037" s="785">
        <f>IFERROR(VLOOKUP($Q1037,'391'!$S:$AG,15,0),0)</f>
        <v>0</v>
      </c>
      <c r="X1037" s="1090">
        <f t="shared" si="638"/>
        <v>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30"/>
      <c r="B1038" s="2077"/>
      <c r="C1038" s="243"/>
      <c r="D1038" s="987" t="s">
        <v>10</v>
      </c>
      <c r="E1038" s="988">
        <v>45278</v>
      </c>
      <c r="F1038" s="994">
        <f>$L$7-E1038</f>
        <v>998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4">
        <f t="shared" si="642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38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30"/>
      <c r="B1039" s="2073"/>
      <c r="C1039" s="388" t="s">
        <v>46</v>
      </c>
      <c r="D1039" s="995" t="s">
        <v>10</v>
      </c>
      <c r="E1039" s="996">
        <v>46231</v>
      </c>
      <c r="F1039" s="997">
        <f>$L$7-E1039</f>
        <v>45</v>
      </c>
      <c r="G1039" s="1376">
        <v>135.89999999999998</v>
      </c>
      <c r="H1039" s="1376"/>
      <c r="I1039" s="1376">
        <f>K1035+K1037+K1036</f>
        <v>100</v>
      </c>
      <c r="J1039" s="1377">
        <f>usage!I91</f>
        <v>205.8</v>
      </c>
      <c r="K1039" s="1370">
        <f>IFERROR(SUMIF(INTAKE!$A:$A,$T1039,INTAKE!$P:$P),0)</f>
        <v>0</v>
      </c>
      <c r="L1039" s="1534">
        <f t="shared" si="642"/>
        <v>30.099999999999966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38"/>
        <v>135.89999999999998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1085.9000000000001</v>
      </c>
      <c r="H1040" s="1297">
        <f t="shared" ref="H1040:I1040" si="647">SUM(H1035:H1039)</f>
        <v>0</v>
      </c>
      <c r="I1040" s="1297">
        <f t="shared" si="647"/>
        <v>100</v>
      </c>
      <c r="J1040" s="1297">
        <f t="shared" ref="J1040:L1040" si="648">SUM(J1035:J1039)</f>
        <v>205.8</v>
      </c>
      <c r="K1040" s="1297">
        <f t="shared" si="648"/>
        <v>100</v>
      </c>
      <c r="L1040" s="1297">
        <f t="shared" si="648"/>
        <v>880.09999999999991</v>
      </c>
      <c r="M1040" s="982">
        <f>IFERROR((R1040/$S$2),"")</f>
        <v>63.466666666666669</v>
      </c>
      <c r="N1040" s="854">
        <f>IFERROR(L1040/M1040,0)</f>
        <v>13.867121848739494</v>
      </c>
      <c r="O1040" s="982">
        <f>IFERROR(SUMIF(ETM!$A:$A,$Q1040,ETM!$E:$E),"")</f>
        <v>63.333333333333336</v>
      </c>
      <c r="P1040" s="880">
        <f>IFERROR(L1040/O1040,0)</f>
        <v>13.896315789473682</v>
      </c>
      <c r="Q1040" s="814" t="s">
        <v>674</v>
      </c>
      <c r="R1040" s="785">
        <f>IFERROR(VLOOKUP($Q1040,'391'!$S:$Z,8,0),"")</f>
        <v>285.60000000000002</v>
      </c>
      <c r="S1040" s="796"/>
      <c r="T1040" s="797"/>
      <c r="U1040" s="797"/>
      <c r="V1040" s="797"/>
      <c r="W1040" s="785">
        <f>IFERROR(VLOOKUP($Q1040,'391'!$S:$AG,15,0),0)</f>
        <v>1468.1000000000001</v>
      </c>
      <c r="X1040" s="1090">
        <f t="shared" si="638"/>
        <v>-382.20000000000005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29" t="str">
        <f>IF(L1048=0,"",MAX($A$16:A1040)+1)</f>
        <v/>
      </c>
      <c r="B1041" s="2032" t="s">
        <v>280</v>
      </c>
      <c r="C1041" s="143" t="s">
        <v>1249</v>
      </c>
      <c r="D1041" s="887" t="s">
        <v>10</v>
      </c>
      <c r="E1041" s="888">
        <v>45440</v>
      </c>
      <c r="F1041" s="70">
        <f t="shared" ref="F1041:F1047" si="649">$L$7-E1041</f>
        <v>836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4">
        <f t="shared" ref="L1041:L1055" si="650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51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38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30"/>
      <c r="B1042" s="2033"/>
      <c r="C1042" s="143"/>
      <c r="D1042" s="887" t="s">
        <v>10</v>
      </c>
      <c r="E1042" s="888">
        <v>45440</v>
      </c>
      <c r="F1042" s="70">
        <f t="shared" si="649"/>
        <v>836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4">
        <f t="shared" si="650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51"/>
        <v>Versazyme45440</v>
      </c>
      <c r="U1042" s="797"/>
      <c r="V1042" s="797"/>
      <c r="W1042" s="785">
        <f>IFERROR(VLOOKUP($Q1042,'391'!$S:$AG,15,0),0)</f>
        <v>0</v>
      </c>
      <c r="X1042" s="1090">
        <f t="shared" si="638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30"/>
      <c r="B1043" s="2033"/>
      <c r="C1043" s="143"/>
      <c r="D1043" s="887" t="s">
        <v>10</v>
      </c>
      <c r="E1043" s="888">
        <v>45415</v>
      </c>
      <c r="F1043" s="70">
        <f t="shared" si="649"/>
        <v>861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4">
        <f t="shared" si="650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51"/>
        <v>Versazyme45415</v>
      </c>
      <c r="U1043" s="797"/>
      <c r="V1043" s="797"/>
      <c r="W1043" s="785">
        <f>IFERROR(VLOOKUP($Q1043,'391'!$S:$AG,15,0),0)</f>
        <v>0</v>
      </c>
      <c r="X1043" s="1090">
        <f t="shared" si="638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30"/>
      <c r="B1044" s="2033"/>
      <c r="C1044" s="143"/>
      <c r="D1044" s="887" t="s">
        <v>10</v>
      </c>
      <c r="E1044" s="888">
        <v>45287</v>
      </c>
      <c r="F1044" s="70">
        <f t="shared" si="649"/>
        <v>989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4">
        <f t="shared" si="650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51"/>
        <v>Versazyme45287</v>
      </c>
      <c r="U1044" s="797"/>
      <c r="V1044" s="797"/>
      <c r="W1044" s="785">
        <f>IFERROR(VLOOKUP($Q1044,'391'!$S:$AG,15,0),0)</f>
        <v>0</v>
      </c>
      <c r="X1044" s="1090">
        <f t="shared" si="638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30"/>
      <c r="B1045" s="2033"/>
      <c r="C1045" s="143"/>
      <c r="D1045" s="887" t="s">
        <v>10</v>
      </c>
      <c r="E1045" s="888">
        <v>43642</v>
      </c>
      <c r="F1045" s="70">
        <f t="shared" si="649"/>
        <v>2634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4">
        <f t="shared" si="650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51"/>
        <v>Versazyme43642</v>
      </c>
      <c r="U1045" s="797"/>
      <c r="V1045" s="797"/>
      <c r="W1045" s="785">
        <f>IFERROR(VLOOKUP($Q1045,'391'!$S:$AG,15,0),0)</f>
        <v>0</v>
      </c>
      <c r="X1045" s="1090">
        <f t="shared" si="638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30"/>
      <c r="B1046" s="2033"/>
      <c r="C1046" s="143"/>
      <c r="D1046" s="887" t="s">
        <v>10</v>
      </c>
      <c r="E1046" s="888">
        <v>42921</v>
      </c>
      <c r="F1046" s="70">
        <f t="shared" si="649"/>
        <v>3355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4">
        <f t="shared" si="650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51"/>
        <v>Versazyme42921</v>
      </c>
      <c r="U1046" s="797"/>
      <c r="V1046" s="797"/>
      <c r="W1046" s="785">
        <f>IFERROR(VLOOKUP($Q1046,'391'!$S:$AG,15,0),0)</f>
        <v>0</v>
      </c>
      <c r="X1046" s="1090">
        <f t="shared" si="638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30"/>
      <c r="B1047" s="2033"/>
      <c r="C1047" s="138" t="s">
        <v>46</v>
      </c>
      <c r="D1047" s="852" t="s">
        <v>10</v>
      </c>
      <c r="E1047" s="853">
        <v>45440</v>
      </c>
      <c r="F1047" s="73">
        <f t="shared" si="649"/>
        <v>836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4">
        <f t="shared" si="650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51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38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27" t="s">
        <v>121</v>
      </c>
      <c r="B1048" s="2028"/>
      <c r="C1048" s="88"/>
      <c r="D1048" s="864"/>
      <c r="E1048" s="864"/>
      <c r="F1048" s="865"/>
      <c r="G1048" s="1297">
        <v>0</v>
      </c>
      <c r="H1048" s="1297">
        <f t="shared" ref="H1048:I1048" si="652">SUM(H1041:H1047)</f>
        <v>0</v>
      </c>
      <c r="I1048" s="1297">
        <f t="shared" si="652"/>
        <v>0</v>
      </c>
      <c r="J1048" s="1297">
        <f t="shared" ref="J1048:K1048" si="653">SUM(J1041:J1047)</f>
        <v>0</v>
      </c>
      <c r="K1048" s="1297">
        <f t="shared" si="653"/>
        <v>0</v>
      </c>
      <c r="L1048" s="1534">
        <f t="shared" si="650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38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9">
        <f>IF(L1056=0,"",MAX($A$16:A1048)+1)</f>
        <v>69</v>
      </c>
      <c r="B1049" s="2032" t="s">
        <v>1917</v>
      </c>
      <c r="C1049" s="127"/>
      <c r="D1049" s="881" t="s">
        <v>10</v>
      </c>
      <c r="E1049" s="882">
        <v>45128</v>
      </c>
      <c r="F1049" s="71">
        <f t="shared" ref="F1049:F1055" si="654">$L$7-E1049</f>
        <v>1148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4">
        <f t="shared" si="650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55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38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30"/>
      <c r="B1050" s="2033"/>
      <c r="C1050" s="127"/>
      <c r="D1050" s="881" t="s">
        <v>10</v>
      </c>
      <c r="E1050" s="882">
        <v>45680</v>
      </c>
      <c r="F1050" s="71">
        <f t="shared" si="654"/>
        <v>596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3">
        <f t="shared" si="650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55"/>
        <v>Roxolin45680</v>
      </c>
      <c r="U1050" s="797"/>
      <c r="V1050" s="797"/>
      <c r="W1050" s="785">
        <f>IFERROR(VLOOKUP($Q1050,'391'!$S:$AG,15,0),0)</f>
        <v>0</v>
      </c>
      <c r="X1050" s="1090">
        <f t="shared" si="638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30"/>
      <c r="B1051" s="2033"/>
      <c r="C1051" s="1199"/>
      <c r="D1051" s="881" t="s">
        <v>10</v>
      </c>
      <c r="E1051" s="882">
        <v>45996</v>
      </c>
      <c r="F1051" s="71">
        <f t="shared" si="654"/>
        <v>280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3">
        <f t="shared" si="650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55"/>
        <v>Roxolin45996</v>
      </c>
      <c r="U1051" s="797"/>
      <c r="V1051" s="797"/>
      <c r="W1051" s="785">
        <f>IFERROR(VLOOKUP($Q1051,'391'!$S:$AG,15,0),0)</f>
        <v>0</v>
      </c>
      <c r="X1051" s="1090">
        <f t="shared" si="638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30"/>
      <c r="B1052" s="2033"/>
      <c r="C1052" s="1199" t="s">
        <v>1249</v>
      </c>
      <c r="D1052" s="881" t="s">
        <v>10</v>
      </c>
      <c r="E1052" s="882">
        <v>46254</v>
      </c>
      <c r="F1052" s="71">
        <f t="shared" si="654"/>
        <v>22</v>
      </c>
      <c r="G1052" s="64">
        <v>700</v>
      </c>
      <c r="H1052" s="64"/>
      <c r="I1052" s="1410"/>
      <c r="J1052" s="1367"/>
      <c r="K1052" s="64">
        <f>IFERROR(SUMIF(INTAKE!$A:$A,$T1052,INTAKE!$P:$P),0)</f>
        <v>80</v>
      </c>
      <c r="L1052" s="1703">
        <f t="shared" si="650"/>
        <v>620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55"/>
        <v>RoxolinE146254</v>
      </c>
      <c r="U1052" s="797"/>
      <c r="V1052" s="797"/>
      <c r="W1052" s="785">
        <f>IFERROR(VLOOKUP($Q1052,'391'!$S:$AG,15,0),0)</f>
        <v>0</v>
      </c>
      <c r="X1052" s="1090">
        <f t="shared" si="638"/>
        <v>700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30"/>
      <c r="B1053" s="2033"/>
      <c r="C1053" s="1199" t="s">
        <v>1249</v>
      </c>
      <c r="D1053" s="881" t="s">
        <v>10</v>
      </c>
      <c r="E1053" s="882">
        <v>46275</v>
      </c>
      <c r="F1053" s="71">
        <f t="shared" ref="F1053" si="656">$L$7-E1053</f>
        <v>1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2">
        <f t="shared" si="650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55"/>
        <v>RoxolinE146275</v>
      </c>
      <c r="U1053" s="797"/>
      <c r="V1053" s="797"/>
      <c r="W1053" s="785">
        <f>IFERROR(VLOOKUP($Q1053,'391'!$S:$AG,15,0),0)</f>
        <v>0</v>
      </c>
      <c r="X1053" s="1090">
        <f t="shared" si="638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30"/>
      <c r="B1054" s="2116"/>
      <c r="C1054" s="1199"/>
      <c r="D1054" s="881" t="s">
        <v>10</v>
      </c>
      <c r="E1054" s="882">
        <v>45821</v>
      </c>
      <c r="F1054" s="71">
        <f t="shared" ref="F1054" si="657">$L$7-E1054</f>
        <v>455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2">
        <f t="shared" ref="L1054" si="658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5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59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31"/>
      <c r="B1055" s="2034"/>
      <c r="C1055" s="138" t="s">
        <v>46</v>
      </c>
      <c r="D1055" s="903" t="s">
        <v>10</v>
      </c>
      <c r="E1055" s="904">
        <v>46254</v>
      </c>
      <c r="F1055" s="258">
        <f t="shared" si="654"/>
        <v>22</v>
      </c>
      <c r="G1055" s="1214">
        <v>66</v>
      </c>
      <c r="H1055" s="1214"/>
      <c r="I1055" s="1214">
        <f>SUM(K1049:K1053)</f>
        <v>80</v>
      </c>
      <c r="J1055" s="1390">
        <f>usage!I138</f>
        <v>40</v>
      </c>
      <c r="K1055" s="64">
        <f>IFERROR(SUMIF(INTAKE!$A:$A,$T1055,INTAKE!$P:$P),0)</f>
        <v>0</v>
      </c>
      <c r="L1055" s="1534">
        <f t="shared" si="650"/>
        <v>106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55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38"/>
        <v>66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27" t="s">
        <v>218</v>
      </c>
      <c r="B1056" s="2028"/>
      <c r="C1056" s="88"/>
      <c r="D1056" s="864"/>
      <c r="E1056" s="864"/>
      <c r="F1056" s="865"/>
      <c r="G1056" s="1297">
        <v>1566</v>
      </c>
      <c r="H1056" s="1297">
        <f t="shared" ref="H1056:L1056" si="660">+SUM(H1049:H1055)</f>
        <v>0</v>
      </c>
      <c r="I1056" s="1297">
        <f t="shared" si="660"/>
        <v>80</v>
      </c>
      <c r="J1056" s="1297">
        <f>+SUM(J1049:J1055)</f>
        <v>40</v>
      </c>
      <c r="K1056" s="1297">
        <f t="shared" si="660"/>
        <v>80</v>
      </c>
      <c r="L1056" s="1297">
        <f t="shared" si="660"/>
        <v>1526</v>
      </c>
      <c r="M1056" s="982">
        <f>IFERROR((R1056/$S$2),"")</f>
        <v>16.888888888888889</v>
      </c>
      <c r="N1056" s="366">
        <f>IFERROR(L1056/M1056,0)</f>
        <v>90.35526315789474</v>
      </c>
      <c r="O1056" s="982">
        <f>IFERROR(SUMIF(ETM!$A:$A,$Q1056,ETM!$E:$E),"")</f>
        <v>32.833333333333336</v>
      </c>
      <c r="P1056" s="880">
        <f>IFERROR(L1056/O1056,0)</f>
        <v>46.477157360406089</v>
      </c>
      <c r="Q1056" s="814" t="s">
        <v>675</v>
      </c>
      <c r="R1056" s="785">
        <f>IFERROR(VLOOKUP($Q1056,'391'!$S:$Z,8,0),"0")</f>
        <v>76</v>
      </c>
      <c r="S1056" s="819">
        <f>+R1056+R1062</f>
        <v>92.8</v>
      </c>
      <c r="T1056" s="797"/>
      <c r="U1056" s="797"/>
      <c r="V1056" s="797"/>
      <c r="W1056" s="785">
        <f>IFERROR(VLOOKUP($Q1056,'391'!$S:$AG,15,0),0)</f>
        <v>922</v>
      </c>
      <c r="X1056" s="1090">
        <f>G1056-W1056</f>
        <v>644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29">
        <f>IF(L1062=0,"",MAX($A$16:A1056)+1)</f>
        <v>70</v>
      </c>
      <c r="B1057" s="2032" t="s">
        <v>1916</v>
      </c>
      <c r="C1057" s="1198"/>
      <c r="D1057" s="881" t="s">
        <v>10</v>
      </c>
      <c r="E1057" s="882">
        <v>45869</v>
      </c>
      <c r="F1057" s="71">
        <f>$L$7-E1057</f>
        <v>407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3">
        <f t="shared" ref="L1057:L1088" si="661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38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30"/>
      <c r="B1058" s="2033"/>
      <c r="C1058" s="1198"/>
      <c r="D1058" s="881" t="s">
        <v>10</v>
      </c>
      <c r="E1058" s="882">
        <v>45987</v>
      </c>
      <c r="F1058" s="71">
        <f>$L$7-E1058</f>
        <v>289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3">
        <f t="shared" si="661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38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30"/>
      <c r="B1059" s="2033"/>
      <c r="C1059" s="1198" t="s">
        <v>1313</v>
      </c>
      <c r="D1059" s="881" t="s">
        <v>10</v>
      </c>
      <c r="E1059" s="882">
        <v>46037</v>
      </c>
      <c r="F1059" s="71">
        <f>$L$7-E1059</f>
        <v>239</v>
      </c>
      <c r="G1059" s="64">
        <v>220</v>
      </c>
      <c r="H1059" s="64"/>
      <c r="I1059" s="64"/>
      <c r="J1059" s="1367"/>
      <c r="K1059" s="1348">
        <f>IFERROR(SUMIF(INTAKE!$A:$A,$T1059,INTAKE!$P:$P),0)</f>
        <v>0</v>
      </c>
      <c r="L1059" s="1703">
        <f t="shared" si="661"/>
        <v>220</v>
      </c>
      <c r="M1059" s="1837"/>
      <c r="N1059" s="1838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38"/>
        <v>220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30"/>
      <c r="B1060" s="2115"/>
      <c r="C1060" s="1198"/>
      <c r="D1060" s="881" t="s">
        <v>10</v>
      </c>
      <c r="E1060" s="882">
        <v>46037</v>
      </c>
      <c r="F1060" s="71">
        <f>$L$7-E1060</f>
        <v>239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3">
        <f t="shared" si="661"/>
        <v>0</v>
      </c>
      <c r="M1060" s="1839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38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31"/>
      <c r="B1061" s="2034"/>
      <c r="C1061" s="61" t="s">
        <v>46</v>
      </c>
      <c r="D1061" s="850" t="s">
        <v>10</v>
      </c>
      <c r="E1061" s="851">
        <v>46037</v>
      </c>
      <c r="F1061" s="42">
        <f>$L$7-E1061</f>
        <v>239</v>
      </c>
      <c r="G1061" s="207">
        <v>7.6599999999999859</v>
      </c>
      <c r="H1061" s="37"/>
      <c r="I1061" s="58">
        <f>SUM(K1057:K1060)</f>
        <v>0</v>
      </c>
      <c r="J1061" s="1385">
        <f>usage!I139</f>
        <v>0</v>
      </c>
      <c r="K1061" s="64">
        <f>IFERROR(SUMIF(INTAKE!$A:$A,$T1061,INTAKE!$P:$P),0)</f>
        <v>0</v>
      </c>
      <c r="L1061" s="1534">
        <f t="shared" si="661"/>
        <v>7.6599999999999859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38"/>
        <v>7.6599999999999859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27" t="s">
        <v>594</v>
      </c>
      <c r="B1062" s="2028"/>
      <c r="C1062" s="88"/>
      <c r="D1062" s="864"/>
      <c r="E1062" s="864"/>
      <c r="F1062" s="865"/>
      <c r="G1062" s="1297">
        <v>227.66</v>
      </c>
      <c r="H1062" s="1297">
        <f t="shared" ref="H1062:L1062" si="662">+SUM(H1057:H1061)</f>
        <v>0</v>
      </c>
      <c r="I1062" s="1297">
        <f t="shared" si="662"/>
        <v>0</v>
      </c>
      <c r="J1062" s="1297">
        <f t="shared" si="662"/>
        <v>0</v>
      </c>
      <c r="K1062" s="1297">
        <f t="shared" si="662"/>
        <v>0</v>
      </c>
      <c r="L1062" s="1297">
        <f t="shared" si="662"/>
        <v>227.66</v>
      </c>
      <c r="M1062" s="982">
        <f>IFERROR((R1062/$S$2),"")</f>
        <v>3.7333333333333334</v>
      </c>
      <c r="N1062" s="366">
        <f>IFERROR(L1062/M1062,0)</f>
        <v>60.980357142857144</v>
      </c>
      <c r="O1062" s="59">
        <f>IFERROR(SUMIF(ETM!$A:$A,$Q1062,ETM!$E:$E),"")</f>
        <v>0</v>
      </c>
      <c r="P1062" s="880">
        <f>IFERROR(L1062/O1062,0)</f>
        <v>0</v>
      </c>
      <c r="Q1062" s="814" t="s">
        <v>593</v>
      </c>
      <c r="R1062" s="785">
        <f>IFERROR(VLOOKUP($Q1062,'391'!$S:$Z,8,0),"0")</f>
        <v>16.8</v>
      </c>
      <c r="S1062" s="796"/>
      <c r="T1062" s="797"/>
      <c r="U1062" s="797"/>
      <c r="V1062" s="797"/>
      <c r="W1062" s="785">
        <f>IFERROR(VLOOKUP($Q1062,'391'!$S:$AG,15,0),0)</f>
        <v>250.06</v>
      </c>
      <c r="X1062" s="1090">
        <f t="shared" si="638"/>
        <v>-22.400000000000006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29" t="str">
        <f>IF(L1069=0,"",MAX($A$16:A1062)+1)</f>
        <v/>
      </c>
      <c r="B1063" s="2032" t="s">
        <v>963</v>
      </c>
      <c r="C1063" s="127" t="s">
        <v>324</v>
      </c>
      <c r="D1063" s="881" t="s">
        <v>10</v>
      </c>
      <c r="E1063" s="882">
        <v>45478</v>
      </c>
      <c r="F1063" s="71">
        <f t="shared" ref="F1063:F1068" si="663">$L$7-E1063</f>
        <v>798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4">
        <f t="shared" si="661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64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38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30"/>
      <c r="B1064" s="2033"/>
      <c r="C1064" s="127"/>
      <c r="D1064" s="881" t="s">
        <v>10</v>
      </c>
      <c r="E1064" s="882">
        <v>44379</v>
      </c>
      <c r="F1064" s="71">
        <f t="shared" si="663"/>
        <v>1897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4">
        <f t="shared" si="661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64"/>
        <v>Florpan-S44379</v>
      </c>
      <c r="U1064" s="797"/>
      <c r="V1064" s="797"/>
      <c r="W1064" s="785">
        <f>IFERROR(VLOOKUP($Q1064,'391'!$S:$AG,15,0),0)</f>
        <v>0</v>
      </c>
      <c r="X1064" s="1090">
        <f t="shared" si="638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30"/>
      <c r="B1065" s="2033"/>
      <c r="C1065" s="127"/>
      <c r="D1065" s="881" t="s">
        <v>10</v>
      </c>
      <c r="E1065" s="882">
        <v>44386</v>
      </c>
      <c r="F1065" s="71">
        <f t="shared" si="663"/>
        <v>1890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4">
        <f t="shared" si="661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64"/>
        <v>Florpan-S44386</v>
      </c>
      <c r="U1065" s="797"/>
      <c r="V1065" s="797"/>
      <c r="W1065" s="785">
        <f>IFERROR(VLOOKUP($Q1065,'391'!$S:$AG,15,0),0)</f>
        <v>0</v>
      </c>
      <c r="X1065" s="1090">
        <f t="shared" si="638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30"/>
      <c r="B1066" s="2033"/>
      <c r="C1066" s="127"/>
      <c r="D1066" s="881" t="s">
        <v>10</v>
      </c>
      <c r="E1066" s="882">
        <v>44386</v>
      </c>
      <c r="F1066" s="71">
        <f t="shared" si="663"/>
        <v>1890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4">
        <f t="shared" si="661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64"/>
        <v>Florpan-S44386</v>
      </c>
      <c r="U1066" s="797"/>
      <c r="V1066" s="797"/>
      <c r="W1066" s="785">
        <f>IFERROR(VLOOKUP($Q1066,'391'!$S:$AG,15,0),0)</f>
        <v>0</v>
      </c>
      <c r="X1066" s="1090">
        <f t="shared" si="638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30"/>
      <c r="B1067" s="2033"/>
      <c r="C1067" s="127"/>
      <c r="D1067" s="881" t="s">
        <v>10</v>
      </c>
      <c r="E1067" s="882">
        <v>42593</v>
      </c>
      <c r="F1067" s="71">
        <f t="shared" si="663"/>
        <v>3683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4">
        <f t="shared" si="661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64"/>
        <v>Florpan-S42593</v>
      </c>
      <c r="U1067" s="797"/>
      <c r="V1067" s="797"/>
      <c r="W1067" s="785">
        <f>IFERROR(VLOOKUP($Q1067,'391'!$S:$AG,15,0),0)</f>
        <v>0</v>
      </c>
      <c r="X1067" s="1090">
        <f t="shared" si="638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31"/>
      <c r="B1068" s="2034"/>
      <c r="C1068" s="97" t="s">
        <v>46</v>
      </c>
      <c r="D1068" s="850" t="s">
        <v>10</v>
      </c>
      <c r="E1068" s="853">
        <v>45478</v>
      </c>
      <c r="F1068" s="42">
        <f t="shared" si="663"/>
        <v>798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4">
        <f t="shared" si="661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1835.52</v>
      </c>
      <c r="T1068" s="797" t="str">
        <f t="shared" si="664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38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27" t="s">
        <v>616</v>
      </c>
      <c r="B1069" s="2028"/>
      <c r="C1069" s="88"/>
      <c r="D1069" s="864"/>
      <c r="E1069" s="864"/>
      <c r="F1069" s="865"/>
      <c r="G1069" s="1297">
        <v>0</v>
      </c>
      <c r="H1069" s="1297">
        <f t="shared" ref="H1069:I1069" si="665">SUM(H1063:H1068)</f>
        <v>0</v>
      </c>
      <c r="I1069" s="1297">
        <f t="shared" si="665"/>
        <v>0</v>
      </c>
      <c r="J1069" s="1297">
        <f t="shared" ref="J1069:K1069" si="666">SUM(J1063:J1068)</f>
        <v>0</v>
      </c>
      <c r="K1069" s="1297">
        <f t="shared" si="666"/>
        <v>0</v>
      </c>
      <c r="L1069" s="1534">
        <f t="shared" si="661"/>
        <v>0</v>
      </c>
      <c r="M1069" s="998">
        <f>IFERROR(S1068/$S$2,"")</f>
        <v>407.89333333333332</v>
      </c>
      <c r="N1069" s="366">
        <f>IFERROR(L1069/M1069,0)</f>
        <v>0</v>
      </c>
      <c r="O1069" s="982">
        <f>IFERROR(SUMIF(ETM!$A:$A,$Q1069,ETM!$E:$E),"")</f>
        <v>300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38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29">
        <f>IF(L1078=0,"",MAX($A$16:A1069)+1)</f>
        <v>71</v>
      </c>
      <c r="B1070" s="2066" t="s">
        <v>1137</v>
      </c>
      <c r="C1070" s="127"/>
      <c r="D1070" s="881" t="s">
        <v>10</v>
      </c>
      <c r="E1070" s="882">
        <v>46200</v>
      </c>
      <c r="F1070" s="71">
        <f t="shared" ref="F1070:F1077" si="667">$L$7-E1070</f>
        <v>76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3">
        <f t="shared" si="661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38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30"/>
      <c r="B1071" s="2068"/>
      <c r="C1071" s="127" t="s">
        <v>1211</v>
      </c>
      <c r="D1071" s="881" t="s">
        <v>10</v>
      </c>
      <c r="E1071" s="882">
        <v>46219</v>
      </c>
      <c r="F1071" s="71">
        <f t="shared" si="667"/>
        <v>57</v>
      </c>
      <c r="G1071" s="64">
        <v>5000</v>
      </c>
      <c r="H1071" s="64"/>
      <c r="I1071" s="64"/>
      <c r="J1071" s="1367"/>
      <c r="K1071" s="64">
        <f>IFERROR(SUMIF(INTAKE!$A:$A,$T1071,INTAKE!$P:$P),0)</f>
        <v>0</v>
      </c>
      <c r="L1071" s="1703">
        <f t="shared" si="661"/>
        <v>5000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4PD146219</v>
      </c>
      <c r="U1071" s="797"/>
      <c r="V1071" s="797"/>
      <c r="W1071" s="785">
        <f>IFERROR(VLOOKUP($Q1071,'391'!$S:$AG,15,0),0)</f>
        <v>0</v>
      </c>
      <c r="X1071" s="1090">
        <f t="shared" si="638"/>
        <v>5000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hidden="1" customHeight="1" x14ac:dyDescent="0.25">
      <c r="A1072" s="2030"/>
      <c r="B1072" s="2068"/>
      <c r="C1072" s="127"/>
      <c r="D1072" s="881" t="s">
        <v>10</v>
      </c>
      <c r="E1072" s="882">
        <v>45226</v>
      </c>
      <c r="F1072" s="71">
        <f t="shared" si="667"/>
        <v>1050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534">
        <f t="shared" si="661"/>
        <v>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FlorPAN-4S(Korea)45226</v>
      </c>
      <c r="U1072" s="797"/>
      <c r="V1072" s="797"/>
      <c r="W1072" s="785">
        <f>IFERROR(VLOOKUP($Q1072,'391'!$S:$AG,15,0),0)</f>
        <v>0</v>
      </c>
      <c r="X1072" s="1090">
        <f t="shared" si="638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30"/>
      <c r="B1073" s="2068"/>
      <c r="C1073" s="127"/>
      <c r="D1073" s="881" t="s">
        <v>10</v>
      </c>
      <c r="E1073" s="882">
        <v>45226</v>
      </c>
      <c r="F1073" s="71">
        <f t="shared" si="667"/>
        <v>1050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4">
        <f t="shared" si="661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38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30"/>
      <c r="B1074" s="2068"/>
      <c r="C1074" s="127"/>
      <c r="D1074" s="881" t="s">
        <v>10</v>
      </c>
      <c r="E1074" s="882">
        <v>45226</v>
      </c>
      <c r="F1074" s="71">
        <f t="shared" si="667"/>
        <v>1050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4">
        <f t="shared" si="661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8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30"/>
      <c r="B1075" s="2067"/>
      <c r="C1075" s="127"/>
      <c r="D1075" s="881" t="s">
        <v>10</v>
      </c>
      <c r="E1075" s="882">
        <v>45226</v>
      </c>
      <c r="F1075" s="71">
        <f t="shared" si="667"/>
        <v>1050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4">
        <f t="shared" si="661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8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30"/>
      <c r="B1076" s="2067"/>
      <c r="C1076" s="127"/>
      <c r="D1076" s="881" t="s">
        <v>10</v>
      </c>
      <c r="E1076" s="882">
        <v>45226</v>
      </c>
      <c r="F1076" s="71">
        <f t="shared" si="667"/>
        <v>1050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4">
        <f t="shared" si="661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8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31"/>
      <c r="B1077" s="2069"/>
      <c r="C1077" s="97" t="s">
        <v>46</v>
      </c>
      <c r="D1077" s="850" t="s">
        <v>10</v>
      </c>
      <c r="E1077" s="851">
        <v>46219</v>
      </c>
      <c r="F1077" s="42">
        <f t="shared" si="667"/>
        <v>57</v>
      </c>
      <c r="G1077" s="37">
        <v>962.27999999999986</v>
      </c>
      <c r="H1077" s="37"/>
      <c r="I1077" s="1214">
        <f>SUM(K1070:K1074)</f>
        <v>0</v>
      </c>
      <c r="J1077" s="1385">
        <f>usage!I132</f>
        <v>0</v>
      </c>
      <c r="K1077" s="64">
        <f>IFERROR(SUMIF(INTAKE!$A:$A,$T1077,INTAKE!$P:$P),0)</f>
        <v>0</v>
      </c>
      <c r="L1077" s="1534">
        <f t="shared" si="661"/>
        <v>962.27999999999986</v>
      </c>
      <c r="M1077" s="40"/>
      <c r="N1077" s="84"/>
      <c r="O1077" s="40"/>
      <c r="P1077" s="857"/>
      <c r="Q1077" s="795" t="s">
        <v>1141</v>
      </c>
      <c r="R1077" s="785" t="str">
        <f>IFERROR(VLOOKUP($Q1077,'391'!$S:$Z,8,0),"0")</f>
        <v>0</v>
      </c>
      <c r="S1077" s="796">
        <f>+R1077+R1078</f>
        <v>1835.52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38"/>
        <v>962.27999999999986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27" t="s">
        <v>968</v>
      </c>
      <c r="B1078" s="2028"/>
      <c r="C1078" s="88"/>
      <c r="D1078" s="864"/>
      <c r="E1078" s="864"/>
      <c r="F1078" s="865"/>
      <c r="G1078" s="1297">
        <v>5962.28</v>
      </c>
      <c r="H1078" s="1297">
        <f t="shared" ref="H1078:I1078" si="668">SUM(H1070:H1077)</f>
        <v>0</v>
      </c>
      <c r="I1078" s="1297">
        <f t="shared" si="668"/>
        <v>0</v>
      </c>
      <c r="J1078" s="1297">
        <f t="shared" ref="J1078:L1078" si="669">SUM(J1070:J1077)</f>
        <v>0</v>
      </c>
      <c r="K1078" s="1297">
        <f t="shared" si="669"/>
        <v>0</v>
      </c>
      <c r="L1078" s="1297">
        <f t="shared" si="669"/>
        <v>5962.28</v>
      </c>
      <c r="M1078" s="998">
        <f>M1069</f>
        <v>407.89333333333332</v>
      </c>
      <c r="N1078" s="366">
        <f>IFERROR(L1078/M1078,0)</f>
        <v>14.617252876569038</v>
      </c>
      <c r="O1078" s="982">
        <f>O1069</f>
        <v>300</v>
      </c>
      <c r="P1078" s="880">
        <f>IFERROR(L1078/O1078,0)</f>
        <v>19.874266666666667</v>
      </c>
      <c r="Q1078" s="814" t="s">
        <v>969</v>
      </c>
      <c r="R1078" s="785">
        <f>IFERROR(VLOOKUP($Q1078,'391'!$S:$Z,8,0),"0")</f>
        <v>1835.52</v>
      </c>
      <c r="S1078" s="796"/>
      <c r="T1078" s="797"/>
      <c r="U1078" s="797"/>
      <c r="V1078" s="797"/>
      <c r="W1078" s="785">
        <f>IFERROR(VLOOKUP($Q1078,'391'!$S:$AG,15,0),0)</f>
        <v>5962.28</v>
      </c>
      <c r="X1078" s="1090">
        <f t="shared" si="638"/>
        <v>0</v>
      </c>
      <c r="Y1078" s="1259">
        <f>+W1078+W1077</f>
        <v>5962.28</v>
      </c>
      <c r="Z1078" s="1091">
        <f>G1078-Y1078</f>
        <v>0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29" t="str">
        <f>IF(L1084=0,"",MAX($A$16:A1069)+1)</f>
        <v/>
      </c>
      <c r="B1079" s="2032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2662</v>
      </c>
      <c r="G1079" s="64">
        <v>0</v>
      </c>
      <c r="H1079" s="1358"/>
      <c r="I1079" s="1358"/>
      <c r="J1079" s="1411"/>
      <c r="K1079" s="1358"/>
      <c r="L1079" s="1534">
        <f t="shared" si="661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38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30"/>
      <c r="B1080" s="2033"/>
      <c r="C1080" s="127" t="s">
        <v>146</v>
      </c>
      <c r="D1080" s="881" t="s">
        <v>10</v>
      </c>
      <c r="E1080" s="882">
        <v>43614</v>
      </c>
      <c r="F1080" s="71">
        <f>$L$7-E1080</f>
        <v>2662</v>
      </c>
      <c r="G1080" s="64">
        <v>0</v>
      </c>
      <c r="H1080" s="1410"/>
      <c r="I1080" s="1410"/>
      <c r="J1080" s="1412"/>
      <c r="K1080" s="1410"/>
      <c r="L1080" s="1534">
        <f t="shared" si="661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38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30"/>
      <c r="B1081" s="2033"/>
      <c r="C1081" s="127" t="s">
        <v>255</v>
      </c>
      <c r="D1081" s="881" t="s">
        <v>10</v>
      </c>
      <c r="E1081" s="882">
        <v>43550</v>
      </c>
      <c r="F1081" s="71">
        <f>$L$7-E1081</f>
        <v>2726</v>
      </c>
      <c r="G1081" s="64">
        <v>0</v>
      </c>
      <c r="H1081" s="64"/>
      <c r="I1081" s="64"/>
      <c r="J1081" s="1367"/>
      <c r="K1081" s="64"/>
      <c r="L1081" s="1534">
        <f t="shared" si="661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8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30"/>
      <c r="B1082" s="2033"/>
      <c r="C1082" s="127" t="s">
        <v>255</v>
      </c>
      <c r="D1082" s="881" t="s">
        <v>10</v>
      </c>
      <c r="E1082" s="882">
        <v>43550</v>
      </c>
      <c r="F1082" s="71">
        <f>$L$7-E1082</f>
        <v>2726</v>
      </c>
      <c r="G1082" s="64">
        <v>0</v>
      </c>
      <c r="H1082" s="64"/>
      <c r="I1082" s="64"/>
      <c r="J1082" s="1367"/>
      <c r="K1082" s="64"/>
      <c r="L1082" s="1534">
        <f t="shared" si="661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70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31"/>
      <c r="B1083" s="2034"/>
      <c r="C1083" s="138" t="s">
        <v>46</v>
      </c>
      <c r="D1083" s="850" t="s">
        <v>10</v>
      </c>
      <c r="E1083" s="882">
        <v>43614</v>
      </c>
      <c r="F1083" s="42">
        <f>$L$7-E1083</f>
        <v>2662</v>
      </c>
      <c r="G1083" s="37">
        <v>0</v>
      </c>
      <c r="H1083" s="37"/>
      <c r="I1083" s="37"/>
      <c r="J1083" s="1385">
        <f>+usage!I145</f>
        <v>0</v>
      </c>
      <c r="K1083" s="37"/>
      <c r="L1083" s="1534">
        <f t="shared" si="661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70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27" t="s">
        <v>503</v>
      </c>
      <c r="B1084" s="2028"/>
      <c r="C1084" s="88"/>
      <c r="D1084" s="864"/>
      <c r="E1084" s="864"/>
      <c r="F1084" s="865"/>
      <c r="G1084" s="1297">
        <v>0</v>
      </c>
      <c r="H1084" s="1297">
        <f t="shared" ref="H1084:K1084" si="671">SUM(H1079:H1083)</f>
        <v>0</v>
      </c>
      <c r="I1084" s="1297">
        <f t="shared" si="671"/>
        <v>0</v>
      </c>
      <c r="J1084" s="1297">
        <f t="shared" si="671"/>
        <v>0</v>
      </c>
      <c r="K1084" s="1297">
        <f t="shared" si="671"/>
        <v>0</v>
      </c>
      <c r="L1084" s="1534">
        <f t="shared" si="661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70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29" t="str">
        <f>IF(L1091=0,"",MAX($A$16:A1084)+1)</f>
        <v/>
      </c>
      <c r="B1085" s="2032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72">$L$7-E1085</f>
        <v>1696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4">
        <f t="shared" si="661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73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70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30"/>
      <c r="B1086" s="2033"/>
      <c r="C1086" s="127" t="s">
        <v>596</v>
      </c>
      <c r="D1086" s="881" t="s">
        <v>10</v>
      </c>
      <c r="E1086" s="882">
        <v>44622</v>
      </c>
      <c r="F1086" s="71">
        <f t="shared" si="672"/>
        <v>1654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4">
        <f t="shared" si="661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73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70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30"/>
      <c r="B1087" s="2033"/>
      <c r="C1087" s="127"/>
      <c r="D1087" s="881" t="s">
        <v>10</v>
      </c>
      <c r="E1087" s="882">
        <v>44622</v>
      </c>
      <c r="F1087" s="71">
        <f t="shared" si="672"/>
        <v>1654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4">
        <f t="shared" si="661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73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70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30"/>
      <c r="B1088" s="2033"/>
      <c r="C1088" s="127"/>
      <c r="D1088" s="881" t="s">
        <v>10</v>
      </c>
      <c r="E1088" s="882">
        <v>44356</v>
      </c>
      <c r="F1088" s="71">
        <f t="shared" si="672"/>
        <v>1920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4">
        <f t="shared" si="661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73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70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30"/>
      <c r="B1089" s="2033"/>
      <c r="C1089" s="127"/>
      <c r="D1089" s="881" t="s">
        <v>10</v>
      </c>
      <c r="E1089" s="882">
        <v>43895</v>
      </c>
      <c r="F1089" s="71">
        <f t="shared" si="672"/>
        <v>2381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4">
        <f t="shared" ref="L1089:L1119" si="674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73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70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31"/>
      <c r="B1090" s="2034"/>
      <c r="C1090" s="138" t="s">
        <v>46</v>
      </c>
      <c r="D1090" s="850" t="s">
        <v>10</v>
      </c>
      <c r="E1090" s="851">
        <v>44622</v>
      </c>
      <c r="F1090" s="42">
        <f t="shared" si="672"/>
        <v>1654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4">
        <f t="shared" si="674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73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70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27" t="s">
        <v>1123</v>
      </c>
      <c r="B1091" s="2028"/>
      <c r="C1091" s="88"/>
      <c r="D1091" s="864"/>
      <c r="E1091" s="864"/>
      <c r="F1091" s="865"/>
      <c r="G1091" s="1297">
        <v>0</v>
      </c>
      <c r="H1091" s="1297">
        <f t="shared" ref="H1091:I1091" si="675">SUM(H1085:H1090)</f>
        <v>0</v>
      </c>
      <c r="I1091" s="1297">
        <f t="shared" si="675"/>
        <v>0</v>
      </c>
      <c r="J1091" s="1297">
        <f t="shared" ref="J1091:K1091" si="676">SUM(J1085:J1090)</f>
        <v>0</v>
      </c>
      <c r="K1091" s="1297">
        <f t="shared" si="676"/>
        <v>0</v>
      </c>
      <c r="L1091" s="1534">
        <f t="shared" si="674"/>
        <v>0</v>
      </c>
      <c r="M1091" s="59">
        <f>IFERROR(S1091/$S$2,"")</f>
        <v>17.777777777777779</v>
      </c>
      <c r="N1091" s="366">
        <f>IFERROR(L1091/M1091,0)</f>
        <v>0</v>
      </c>
      <c r="O1091" s="59">
        <f>IFERROR(SUMIF(ETM!$A:$A,$Q1091,ETM!$E:$E),"")</f>
        <v>32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80</v>
      </c>
      <c r="T1091" s="797"/>
      <c r="U1091" s="797"/>
      <c r="V1091" s="797"/>
      <c r="W1091" s="785">
        <f>IFERROR(VLOOKUP($Q1091,'391'!$S:$AG,15,0),0)</f>
        <v>0</v>
      </c>
      <c r="X1091" s="1090">
        <f t="shared" si="670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29">
        <f>IF(L1098=0,"",MAX($A$16:A1091)+1)</f>
        <v>72</v>
      </c>
      <c r="B1092" s="2032" t="s">
        <v>349</v>
      </c>
      <c r="C1092" s="160"/>
      <c r="D1092" s="881" t="s">
        <v>10</v>
      </c>
      <c r="E1092" s="882">
        <v>45953</v>
      </c>
      <c r="F1092" s="71">
        <f t="shared" ref="F1092" si="677">$L$7-E1092</f>
        <v>323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3">
        <f t="shared" si="674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78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70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30"/>
      <c r="B1093" s="2033"/>
      <c r="C1093" s="160"/>
      <c r="D1093" s="881" t="s">
        <v>10</v>
      </c>
      <c r="E1093" s="882">
        <v>45999</v>
      </c>
      <c r="F1093" s="71">
        <f t="shared" ref="F1093" si="679">$L$7-E1093</f>
        <v>277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3">
        <f t="shared" si="674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78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70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30"/>
      <c r="B1094" s="2033"/>
      <c r="C1094" s="160" t="s">
        <v>490</v>
      </c>
      <c r="D1094" s="881" t="s">
        <v>10</v>
      </c>
      <c r="E1094" s="882">
        <v>46205</v>
      </c>
      <c r="F1094" s="71">
        <f t="shared" ref="F1094:F1095" si="680">$L$7-E1094</f>
        <v>71</v>
      </c>
      <c r="G1094" s="64">
        <v>5400</v>
      </c>
      <c r="H1094" s="1348"/>
      <c r="I1094" s="64"/>
      <c r="J1094" s="1367"/>
      <c r="K1094" s="64">
        <f>IFERROR(SUMIF(INTAKE!$A:$A,$T1094,INTAKE!$P:$P),0)</f>
        <v>0</v>
      </c>
      <c r="L1094" s="1703">
        <f t="shared" si="674"/>
        <v>5400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78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70"/>
        <v>5400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30"/>
      <c r="B1095" s="2033"/>
      <c r="C1095" s="160" t="s">
        <v>490</v>
      </c>
      <c r="D1095" s="881" t="s">
        <v>10</v>
      </c>
      <c r="E1095" s="882">
        <v>46233</v>
      </c>
      <c r="F1095" s="71">
        <f t="shared" si="680"/>
        <v>43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3">
        <f t="shared" si="674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78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70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hidden="1" customHeight="1" x14ac:dyDescent="0.25">
      <c r="A1096" s="2030"/>
      <c r="B1096" s="2033"/>
      <c r="C1096" s="160"/>
      <c r="D1096" s="881" t="s">
        <v>10</v>
      </c>
      <c r="E1096" s="882">
        <v>46233</v>
      </c>
      <c r="F1096" s="71">
        <f t="shared" ref="F1096:F1097" si="681">$L$7-E1096</f>
        <v>43</v>
      </c>
      <c r="G1096" s="64">
        <v>0</v>
      </c>
      <c r="H1096" s="64"/>
      <c r="I1096" s="64"/>
      <c r="J1096" s="1367"/>
      <c r="K1096" s="64">
        <f>IFERROR(SUMIF(INTAKE!$A:$A,$T1096,INTAKE!$P:$P),0)</f>
        <v>0</v>
      </c>
      <c r="L1096" s="1703">
        <f t="shared" si="674"/>
        <v>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8"/>
        <v>Avi - Mul Top Feed Grade (Italy)46233</v>
      </c>
      <c r="U1096" s="797"/>
      <c r="V1096" s="797"/>
      <c r="W1096" s="785">
        <f>IFERROR(VLOOKUP($Q1096,'391'!$S:$AG,15,0),0)</f>
        <v>0</v>
      </c>
      <c r="X1096" s="1090">
        <f t="shared" si="670"/>
        <v>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31"/>
      <c r="B1097" s="2034"/>
      <c r="C1097" s="61" t="s">
        <v>867</v>
      </c>
      <c r="D1097" s="850" t="s">
        <v>10</v>
      </c>
      <c r="E1097" s="851">
        <v>46205</v>
      </c>
      <c r="F1097" s="42">
        <f t="shared" si="681"/>
        <v>71</v>
      </c>
      <c r="G1097" s="37">
        <v>999.31999999999994</v>
      </c>
      <c r="H1097" s="37"/>
      <c r="I1097" s="37">
        <f>+SUM(K1092:K1095)</f>
        <v>0</v>
      </c>
      <c r="J1097" s="1385">
        <f>+usage!I102</f>
        <v>322.5</v>
      </c>
      <c r="K1097" s="64">
        <f>IFERROR(SUMIF(INTAKE!$A:$A,$T1097,INTAKE!$P:$P),0)</f>
        <v>0</v>
      </c>
      <c r="L1097" s="1534">
        <f t="shared" si="674"/>
        <v>676.81999999999994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78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70"/>
        <v>999.31999999999994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27" t="s">
        <v>329</v>
      </c>
      <c r="B1098" s="2028"/>
      <c r="C1098" s="88"/>
      <c r="D1098" s="864"/>
      <c r="E1098" s="864"/>
      <c r="F1098" s="865"/>
      <c r="G1098" s="1297">
        <v>22599.32</v>
      </c>
      <c r="H1098" s="1297">
        <f>+SUM(H1092:H1097)</f>
        <v>0</v>
      </c>
      <c r="I1098" s="1297">
        <f t="shared" ref="I1098:L1098" si="682">+SUM(I1092:I1097)</f>
        <v>0</v>
      </c>
      <c r="J1098" s="1297">
        <f t="shared" si="682"/>
        <v>322.5</v>
      </c>
      <c r="K1098" s="1297">
        <f t="shared" si="682"/>
        <v>0</v>
      </c>
      <c r="L1098" s="1297">
        <f t="shared" si="682"/>
        <v>22276.82</v>
      </c>
      <c r="M1098" s="59">
        <f>IFERROR(R1098/$S$2,"")</f>
        <v>297.28888888888889</v>
      </c>
      <c r="N1098" s="366">
        <f>IFERROR(L1098/M1098,0)</f>
        <v>74.933241142173713</v>
      </c>
      <c r="O1098" s="59">
        <f>IFERROR(SUMIF(ETM!$A:$A,$Q1098,ETM!$E:$E),"")</f>
        <v>266</v>
      </c>
      <c r="P1098" s="880">
        <f>IFERROR(L1098/O1098,0)</f>
        <v>83.747443609022554</v>
      </c>
      <c r="Q1098" s="814" t="s">
        <v>678</v>
      </c>
      <c r="R1098" s="785">
        <f>IFERROR(VLOOKUP($Q1098,'391'!$S:$Z,8,0),"")</f>
        <v>1337.8</v>
      </c>
      <c r="S1098" s="796"/>
      <c r="T1098" s="797"/>
      <c r="U1098" s="797"/>
      <c r="V1098" s="797"/>
      <c r="W1098" s="785">
        <f>IFERROR(VLOOKUP($Q1098,'391'!$S:$AG,15,0),0)</f>
        <v>24268.02</v>
      </c>
      <c r="X1098" s="1090">
        <f t="shared" si="670"/>
        <v>-1668.7000000000007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29">
        <f>IF(L1106=0,"",MAX($A$16:A1098)+1)</f>
        <v>73</v>
      </c>
      <c r="B1099" s="2032" t="s">
        <v>1913</v>
      </c>
      <c r="C1099" s="127" t="s">
        <v>255</v>
      </c>
      <c r="D1099" s="881" t="s">
        <v>10</v>
      </c>
      <c r="E1099" s="882">
        <v>46241</v>
      </c>
      <c r="F1099" s="71">
        <f t="shared" ref="F1099" si="683">$L$7-E1099</f>
        <v>35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3">
        <f t="shared" si="674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84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70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30"/>
      <c r="B1100" s="2033"/>
      <c r="C1100" s="127"/>
      <c r="D1100" s="881" t="s">
        <v>10</v>
      </c>
      <c r="E1100" s="882">
        <v>46241</v>
      </c>
      <c r="F1100" s="71">
        <f t="shared" ref="F1100:F1105" si="685">$L$7-E1100</f>
        <v>35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4">
        <f t="shared" si="674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84"/>
        <v>Actisaf46241</v>
      </c>
      <c r="U1100" s="797"/>
      <c r="V1100" s="797"/>
      <c r="W1100" s="785">
        <f>IFERROR(VLOOKUP($Q1100,'391'!$S:$AG,15,0),0)</f>
        <v>0</v>
      </c>
      <c r="X1100" s="1090">
        <f t="shared" si="670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30"/>
      <c r="B1101" s="2033"/>
      <c r="C1101" s="127"/>
      <c r="D1101" s="881" t="s">
        <v>10</v>
      </c>
      <c r="E1101" s="882">
        <v>44894</v>
      </c>
      <c r="F1101" s="71">
        <f t="shared" si="685"/>
        <v>1382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4">
        <f t="shared" si="674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84"/>
        <v>Actisaf44894</v>
      </c>
      <c r="U1101" s="797"/>
      <c r="V1101" s="797"/>
      <c r="W1101" s="785">
        <f>IFERROR(VLOOKUP($Q1101,'391'!$S:$AG,15,0),0)</f>
        <v>0</v>
      </c>
      <c r="X1101" s="1090">
        <f t="shared" si="670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30"/>
      <c r="B1102" s="2033"/>
      <c r="C1102" s="127"/>
      <c r="D1102" s="881" t="s">
        <v>10</v>
      </c>
      <c r="E1102" s="882">
        <v>44650</v>
      </c>
      <c r="F1102" s="71">
        <f t="shared" si="685"/>
        <v>1626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4">
        <f t="shared" si="674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84"/>
        <v>Actisaf44650</v>
      </c>
      <c r="U1102" s="797"/>
      <c r="V1102" s="797"/>
      <c r="W1102" s="785">
        <f>IFERROR(VLOOKUP($Q1102,'391'!$S:$AG,15,0),0)</f>
        <v>0</v>
      </c>
      <c r="X1102" s="1090">
        <f t="shared" si="670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30"/>
      <c r="B1103" s="2033"/>
      <c r="C1103" s="127"/>
      <c r="D1103" s="881" t="s">
        <v>10</v>
      </c>
      <c r="E1103" s="882">
        <v>42985</v>
      </c>
      <c r="F1103" s="71">
        <f t="shared" si="685"/>
        <v>3291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4">
        <f t="shared" si="674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84"/>
        <v>Actisaf42985</v>
      </c>
      <c r="U1103" s="797"/>
      <c r="V1103" s="797"/>
      <c r="W1103" s="785">
        <f>IFERROR(VLOOKUP($Q1103,'391'!$S:$AG,15,0),0)</f>
        <v>0</v>
      </c>
      <c r="X1103" s="1090">
        <f t="shared" si="670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30"/>
      <c r="B1104" s="2033"/>
      <c r="C1104" s="127"/>
      <c r="D1104" s="881" t="s">
        <v>10</v>
      </c>
      <c r="E1104" s="882">
        <v>42985</v>
      </c>
      <c r="F1104" s="71">
        <f t="shared" si="685"/>
        <v>3291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4">
        <f t="shared" si="674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84"/>
        <v>Actisaf42985</v>
      </c>
      <c r="U1104" s="797"/>
      <c r="V1104" s="797"/>
      <c r="W1104" s="785">
        <f>IFERROR(VLOOKUP($Q1104,'391'!$S:$AG,15,0),0)</f>
        <v>0</v>
      </c>
      <c r="X1104" s="1090">
        <f t="shared" si="670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31"/>
      <c r="B1105" s="2034"/>
      <c r="C1105" s="97" t="s">
        <v>46</v>
      </c>
      <c r="D1105" s="863" t="s">
        <v>10</v>
      </c>
      <c r="E1105" s="853">
        <v>46205</v>
      </c>
      <c r="F1105" s="39">
        <f t="shared" si="685"/>
        <v>71</v>
      </c>
      <c r="G1105" s="37">
        <v>16.940000000000001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4">
        <f t="shared" si="674"/>
        <v>16.940000000000001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84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70"/>
        <v>16.940000000000001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27" t="s">
        <v>203</v>
      </c>
      <c r="B1106" s="2028"/>
      <c r="C1106" s="88"/>
      <c r="D1106" s="864"/>
      <c r="E1106" s="864"/>
      <c r="F1106" s="865"/>
      <c r="G1106" s="1297">
        <v>41.94</v>
      </c>
      <c r="H1106" s="1344">
        <f t="shared" ref="H1106:I1106" si="686">SUM(H1099:H1105)</f>
        <v>0</v>
      </c>
      <c r="I1106" s="1297">
        <f t="shared" si="686"/>
        <v>0</v>
      </c>
      <c r="J1106" s="1297">
        <f t="shared" ref="J1106:L1106" si="687">SUM(J1099:J1105)</f>
        <v>0</v>
      </c>
      <c r="K1106" s="1297">
        <f t="shared" si="687"/>
        <v>0</v>
      </c>
      <c r="L1106" s="1297">
        <f t="shared" si="687"/>
        <v>41.94</v>
      </c>
      <c r="M1106" s="59">
        <f>IFERROR(R1106/$S$2,"")</f>
        <v>0</v>
      </c>
      <c r="N1106" s="366">
        <f>IFERROR(L1106/M1106,0)</f>
        <v>0</v>
      </c>
      <c r="O1106" s="59">
        <f>IFERROR(SUMIF(ETM!$A:$A,$Q1106,ETM!$E:$E),"")</f>
        <v>0.33333333333333331</v>
      </c>
      <c r="P1106" s="880">
        <f>IFERROR(L1106/O1106,0)</f>
        <v>125.82</v>
      </c>
      <c r="Q1106" s="814" t="s">
        <v>367</v>
      </c>
      <c r="R1106" s="785">
        <f>IFERROR(VLOOKUP($Q1106,'391'!$S:$Z,8,0),"")</f>
        <v>0</v>
      </c>
      <c r="S1106" s="796"/>
      <c r="T1106" s="797"/>
      <c r="U1106" s="797"/>
      <c r="V1106" s="797"/>
      <c r="W1106" s="785">
        <f>IFERROR(VLOOKUP($Q1106,'391'!$S:$AG,15,0),0)</f>
        <v>43.59</v>
      </c>
      <c r="X1106" s="1090">
        <f t="shared" si="670"/>
        <v>-1.6500000000000057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29" t="str">
        <f>IF(L1113=0,"",MAX($A$16:A1106)+1)</f>
        <v/>
      </c>
      <c r="B1107" s="2032" t="s">
        <v>1573</v>
      </c>
      <c r="C1107" s="129" t="s">
        <v>1213</v>
      </c>
      <c r="D1107" s="881" t="s">
        <v>10</v>
      </c>
      <c r="E1107" s="882">
        <v>45772</v>
      </c>
      <c r="F1107" s="71">
        <f t="shared" ref="F1107" si="688">$L$7-E1107</f>
        <v>504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3">
        <f t="shared" si="674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70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30"/>
      <c r="B1108" s="2033"/>
      <c r="C1108" s="190"/>
      <c r="D1108" s="26" t="s">
        <v>10</v>
      </c>
      <c r="E1108" s="19">
        <v>44000</v>
      </c>
      <c r="F1108" s="17">
        <f t="shared" ref="F1108:F1112" si="689">$L$7-E1108</f>
        <v>2276</v>
      </c>
      <c r="G1108" s="64">
        <v>0</v>
      </c>
      <c r="H1108" s="64"/>
      <c r="I1108" s="64"/>
      <c r="J1108" s="1413"/>
      <c r="K1108" s="64"/>
      <c r="L1108" s="1534">
        <f t="shared" si="674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70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30"/>
      <c r="B1109" s="2033"/>
      <c r="C1109" s="190" t="s">
        <v>138</v>
      </c>
      <c r="D1109" s="26" t="s">
        <v>10</v>
      </c>
      <c r="E1109" s="19">
        <v>43978</v>
      </c>
      <c r="F1109" s="17">
        <f t="shared" si="689"/>
        <v>2298</v>
      </c>
      <c r="G1109" s="64">
        <v>0</v>
      </c>
      <c r="H1109" s="64"/>
      <c r="I1109" s="64"/>
      <c r="J1109" s="1413"/>
      <c r="K1109" s="64"/>
      <c r="L1109" s="1534">
        <f t="shared" si="674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70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30"/>
      <c r="B1110" s="2033"/>
      <c r="C1110" s="190" t="s">
        <v>273</v>
      </c>
      <c r="D1110" s="26" t="s">
        <v>10</v>
      </c>
      <c r="E1110" s="19">
        <v>44000</v>
      </c>
      <c r="F1110" s="17">
        <f t="shared" si="689"/>
        <v>2276</v>
      </c>
      <c r="G1110" s="64">
        <v>0</v>
      </c>
      <c r="H1110" s="64"/>
      <c r="I1110" s="64"/>
      <c r="J1110" s="1413"/>
      <c r="K1110" s="1414"/>
      <c r="L1110" s="1534">
        <f t="shared" si="674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70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30"/>
      <c r="B1111" s="2033"/>
      <c r="C1111" s="190" t="s">
        <v>138</v>
      </c>
      <c r="D1111" s="26" t="s">
        <v>10</v>
      </c>
      <c r="E1111" s="19">
        <v>43978</v>
      </c>
      <c r="F1111" s="17">
        <f t="shared" si="689"/>
        <v>2298</v>
      </c>
      <c r="G1111" s="64">
        <v>0</v>
      </c>
      <c r="H1111" s="64"/>
      <c r="I1111" s="64"/>
      <c r="J1111" s="1413"/>
      <c r="K1111" s="1414"/>
      <c r="L1111" s="1534">
        <f t="shared" si="674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70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31"/>
      <c r="B1112" s="2034"/>
      <c r="C1112" s="138" t="s">
        <v>46</v>
      </c>
      <c r="D1112" s="198" t="s">
        <v>10</v>
      </c>
      <c r="E1112" s="853">
        <v>45772</v>
      </c>
      <c r="F1112" s="73">
        <f t="shared" si="689"/>
        <v>504</v>
      </c>
      <c r="G1112" s="37">
        <v>0</v>
      </c>
      <c r="H1112" s="1415"/>
      <c r="I1112" s="37">
        <f>+SUM(K1107:K1111)</f>
        <v>0</v>
      </c>
      <c r="J1112" s="37"/>
      <c r="K1112" s="37"/>
      <c r="L1112" s="1534">
        <f t="shared" si="674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70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27" t="s">
        <v>1580</v>
      </c>
      <c r="B1113" s="2028"/>
      <c r="C1113" s="2028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1577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70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29" t="str">
        <f>IF(L1120=0,"",MAX($A$16:A1113)+1)</f>
        <v/>
      </c>
      <c r="B1114" s="2032" t="s">
        <v>1352</v>
      </c>
      <c r="C1114" s="190" t="s">
        <v>1313</v>
      </c>
      <c r="D1114" s="26" t="s">
        <v>10</v>
      </c>
      <c r="E1114" s="882">
        <v>45855</v>
      </c>
      <c r="F1114" s="71">
        <f t="shared" ref="F1114:F1119" si="690">$L$7-E1114</f>
        <v>421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3">
        <f t="shared" si="674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691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70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30"/>
      <c r="B1115" s="2033"/>
      <c r="C1115" s="190"/>
      <c r="D1115" s="26" t="s">
        <v>10</v>
      </c>
      <c r="E1115" s="882">
        <v>44000</v>
      </c>
      <c r="F1115" s="71">
        <f t="shared" si="690"/>
        <v>2276</v>
      </c>
      <c r="G1115" s="64">
        <v>0</v>
      </c>
      <c r="H1115" s="64"/>
      <c r="I1115" s="64"/>
      <c r="J1115" s="1413"/>
      <c r="K1115" s="64"/>
      <c r="L1115" s="1534">
        <f t="shared" si="674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691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70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30"/>
      <c r="B1116" s="2033"/>
      <c r="C1116" s="190"/>
      <c r="D1116" s="26" t="s">
        <v>10</v>
      </c>
      <c r="E1116" s="882">
        <v>43978</v>
      </c>
      <c r="F1116" s="71">
        <f t="shared" si="690"/>
        <v>2298</v>
      </c>
      <c r="G1116" s="64">
        <v>0</v>
      </c>
      <c r="H1116" s="64"/>
      <c r="I1116" s="64"/>
      <c r="J1116" s="1413"/>
      <c r="K1116" s="64"/>
      <c r="L1116" s="1534">
        <f t="shared" si="674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691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70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30"/>
      <c r="B1117" s="2033"/>
      <c r="C1117" s="190"/>
      <c r="D1117" s="26" t="s">
        <v>10</v>
      </c>
      <c r="E1117" s="882">
        <v>44000</v>
      </c>
      <c r="F1117" s="71">
        <f t="shared" si="690"/>
        <v>2276</v>
      </c>
      <c r="G1117" s="64">
        <v>0</v>
      </c>
      <c r="H1117" s="64"/>
      <c r="I1117" s="64"/>
      <c r="J1117" s="1413"/>
      <c r="K1117" s="1414"/>
      <c r="L1117" s="1534">
        <f t="shared" si="674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691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70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30"/>
      <c r="B1118" s="2033"/>
      <c r="C1118" s="190"/>
      <c r="D1118" s="26" t="s">
        <v>10</v>
      </c>
      <c r="E1118" s="882">
        <v>43978</v>
      </c>
      <c r="F1118" s="71">
        <f t="shared" si="690"/>
        <v>2298</v>
      </c>
      <c r="G1118" s="64">
        <v>0</v>
      </c>
      <c r="H1118" s="64"/>
      <c r="I1118" s="64"/>
      <c r="J1118" s="1413"/>
      <c r="K1118" s="1414"/>
      <c r="L1118" s="1534">
        <f t="shared" si="674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691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70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31"/>
      <c r="B1119" s="2034"/>
      <c r="C1119" s="138" t="s">
        <v>46</v>
      </c>
      <c r="D1119" s="198" t="s">
        <v>10</v>
      </c>
      <c r="E1119" s="853">
        <v>45855</v>
      </c>
      <c r="F1119" s="73">
        <f t="shared" si="690"/>
        <v>421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4">
        <f t="shared" si="674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691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70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27" t="s">
        <v>1353</v>
      </c>
      <c r="B1120" s="2028"/>
      <c r="C1120" s="2028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1352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70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29">
        <f>IF(L1128=0,"",MAX($A$16:A1120)+1)</f>
        <v>74</v>
      </c>
      <c r="B1121" s="2032" t="s">
        <v>1914</v>
      </c>
      <c r="C1121" s="129"/>
      <c r="D1121" s="881" t="s">
        <v>10</v>
      </c>
      <c r="E1121" s="882">
        <v>45829</v>
      </c>
      <c r="F1121" s="71">
        <f t="shared" ref="F1121:F1127" si="692">$L$7-E1121</f>
        <v>447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3">
        <f t="shared" ref="L1121:L1127" si="693">+G1121+H1121+I1121-J1121-K1121</f>
        <v>0</v>
      </c>
      <c r="M1121" s="50"/>
      <c r="N1121" s="167"/>
      <c r="O1121" s="1826"/>
      <c r="P1121" s="1827"/>
      <c r="Q1121" s="795"/>
      <c r="R1121" s="785">
        <f>IFERROR(VLOOKUP($Q1121,'391'!$S:$Z,8,0),"")</f>
        <v>0</v>
      </c>
      <c r="S1121" s="796"/>
      <c r="T1121" s="797" t="str">
        <f t="shared" ref="T1121:T1127" si="694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70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30"/>
      <c r="B1122" s="2033"/>
      <c r="C1122" s="129"/>
      <c r="D1122" s="881" t="s">
        <v>10</v>
      </c>
      <c r="E1122" s="1777">
        <v>46171</v>
      </c>
      <c r="F1122" s="71">
        <f t="shared" si="692"/>
        <v>105</v>
      </c>
      <c r="G1122" s="1381">
        <v>0</v>
      </c>
      <c r="H1122" s="1381"/>
      <c r="I1122" s="1381"/>
      <c r="J1122" s="1900"/>
      <c r="K1122" s="1348">
        <f>IFERROR(SUMIF(INTAKE!$A:$A,$T1122,INTAKE!$P:$P),0)</f>
        <v>0</v>
      </c>
      <c r="L1122" s="1703">
        <f t="shared" si="693"/>
        <v>0</v>
      </c>
      <c r="M1122" s="46"/>
      <c r="N1122" s="176"/>
      <c r="O1122" s="48"/>
      <c r="P1122" s="1828"/>
      <c r="Q1122" s="795"/>
      <c r="R1122" s="785">
        <f>IFERROR(VLOOKUP($Q1122,'391'!$S:$Z,8,0),"")</f>
        <v>0</v>
      </c>
      <c r="S1122" s="796"/>
      <c r="T1122" s="797" t="str">
        <f t="shared" si="694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70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30"/>
      <c r="B1123" s="2033"/>
      <c r="C1123" s="129"/>
      <c r="D1123" s="881" t="s">
        <v>10</v>
      </c>
      <c r="E1123" s="1777">
        <v>46199</v>
      </c>
      <c r="F1123" s="71">
        <f t="shared" ref="F1123" si="695">$L$7-E1123</f>
        <v>77</v>
      </c>
      <c r="G1123" s="1381">
        <v>0</v>
      </c>
      <c r="H1123" s="1381"/>
      <c r="I1123" s="1381"/>
      <c r="J1123" s="1900"/>
      <c r="K1123" s="1348">
        <f>IFERROR(SUMIF(INTAKE!$A:$A,$T1123,INTAKE!$P:$P),0)</f>
        <v>0</v>
      </c>
      <c r="L1123" s="1703">
        <f t="shared" si="693"/>
        <v>0</v>
      </c>
      <c r="M1123" s="46"/>
      <c r="N1123" s="176"/>
      <c r="O1123" s="48"/>
      <c r="P1123" s="1828"/>
      <c r="Q1123" s="795"/>
      <c r="R1123" s="785">
        <f>IFERROR(VLOOKUP($Q1123,'391'!$S:$Z,8,0),"")</f>
        <v>0</v>
      </c>
      <c r="S1123" s="796"/>
      <c r="T1123" s="797" t="str">
        <f t="shared" si="694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70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30"/>
      <c r="B1124" s="2033"/>
      <c r="C1124" s="129" t="s">
        <v>1249</v>
      </c>
      <c r="D1124" s="881" t="s">
        <v>10</v>
      </c>
      <c r="E1124" s="1777">
        <v>46247</v>
      </c>
      <c r="F1124" s="71">
        <f t="shared" si="692"/>
        <v>29</v>
      </c>
      <c r="G1124" s="1381">
        <v>780</v>
      </c>
      <c r="H1124" s="1381"/>
      <c r="I1124" s="1381"/>
      <c r="J1124" s="1900"/>
      <c r="K1124" s="1348">
        <f>IFERROR(SUMIF(INTAKE!$A:$A,$T1124,INTAKE!$P:$P),0)</f>
        <v>100</v>
      </c>
      <c r="L1124" s="1703">
        <f t="shared" si="693"/>
        <v>680</v>
      </c>
      <c r="M1124" s="48"/>
      <c r="N1124" s="163"/>
      <c r="O1124" s="48"/>
      <c r="P1124" s="1828"/>
      <c r="Q1124" s="795"/>
      <c r="R1124" s="785">
        <f>IFERROR(VLOOKUP($Q1124,'391'!$S:$Z,8,0),"")</f>
        <v>0</v>
      </c>
      <c r="S1124" s="796"/>
      <c r="T1124" s="797" t="str">
        <f t="shared" si="694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70"/>
        <v>780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30"/>
      <c r="B1125" s="2033"/>
      <c r="C1125" s="129" t="s">
        <v>1249</v>
      </c>
      <c r="D1125" s="881" t="s">
        <v>10</v>
      </c>
      <c r="E1125" s="1777">
        <v>46254</v>
      </c>
      <c r="F1125" s="71">
        <f t="shared" ref="F1125" si="696">$L$7-E1125</f>
        <v>22</v>
      </c>
      <c r="G1125" s="1381">
        <v>1000</v>
      </c>
      <c r="H1125" s="1381"/>
      <c r="I1125" s="1381"/>
      <c r="J1125" s="1900"/>
      <c r="K1125" s="1348">
        <f>IFERROR(SUMIF(INTAKE!$A:$A,$T1125,INTAKE!$P:$P),0)</f>
        <v>0</v>
      </c>
      <c r="L1125" s="1703">
        <f t="shared" si="693"/>
        <v>1000</v>
      </c>
      <c r="M1125" s="48"/>
      <c r="N1125" s="163"/>
      <c r="O1125" s="46"/>
      <c r="P1125" s="1827"/>
      <c r="Q1125" s="795"/>
      <c r="R1125" s="785">
        <f>IFERROR(VLOOKUP($Q1125,'391'!$S:$Z,8,0),"")</f>
        <v>0</v>
      </c>
      <c r="S1125" s="796"/>
      <c r="T1125" s="797" t="str">
        <f t="shared" si="694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70"/>
        <v>1000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30"/>
      <c r="B1126" s="2116"/>
      <c r="C1126" s="129" t="s">
        <v>1249</v>
      </c>
      <c r="D1126" s="881" t="s">
        <v>10</v>
      </c>
      <c r="E1126" s="1777">
        <v>46275</v>
      </c>
      <c r="F1126" s="71">
        <f t="shared" si="692"/>
        <v>1</v>
      </c>
      <c r="G1126" s="1381">
        <v>1000</v>
      </c>
      <c r="H1126" s="1381"/>
      <c r="I1126" s="1381"/>
      <c r="J1126" s="1900"/>
      <c r="K1126" s="1348">
        <f>IFERROR(SUMIF(INTAKE!$A:$A,$T1126,INTAKE!$P:$P),0)</f>
        <v>0</v>
      </c>
      <c r="L1126" s="1703">
        <f t="shared" si="693"/>
        <v>1000</v>
      </c>
      <c r="M1126" s="1487"/>
      <c r="N1126" s="1488"/>
      <c r="O1126" s="1771"/>
      <c r="P1126" s="1931"/>
      <c r="Q1126" s="1819"/>
      <c r="R1126" s="785"/>
      <c r="S1126" s="796"/>
      <c r="T1126" s="797" t="str">
        <f t="shared" si="694"/>
        <v>Amoxicillin 80%E146275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31"/>
      <c r="B1127" s="2034"/>
      <c r="C1127" s="108" t="s">
        <v>46</v>
      </c>
      <c r="D1127" s="863" t="s">
        <v>10</v>
      </c>
      <c r="E1127" s="886">
        <v>46247</v>
      </c>
      <c r="F1127" s="39">
        <f t="shared" si="692"/>
        <v>29</v>
      </c>
      <c r="G1127" s="37">
        <v>83.449999999999932</v>
      </c>
      <c r="H1127" s="37"/>
      <c r="I1127" s="37">
        <f>K1121+K1122+K1123+K1124+K1125+K1126</f>
        <v>100</v>
      </c>
      <c r="J1127" s="1385">
        <f>usage!I133</f>
        <v>79.95</v>
      </c>
      <c r="K1127" s="37"/>
      <c r="L1127" s="1534">
        <f t="shared" si="693"/>
        <v>103.49999999999993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694"/>
        <v>Amoxicillin 80%Feedmill46247</v>
      </c>
      <c r="U1127" s="797"/>
      <c r="V1127" s="797"/>
      <c r="W1127" s="785">
        <f>IFERROR(VLOOKUP($Q1127,'391'!$S:$AG,15,0),0)</f>
        <v>0</v>
      </c>
      <c r="X1127" s="1090">
        <f t="shared" si="670"/>
        <v>83.449999999999932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27" t="s">
        <v>75</v>
      </c>
      <c r="B1128" s="2028"/>
      <c r="C1128" s="88"/>
      <c r="D1128" s="864"/>
      <c r="E1128" s="864"/>
      <c r="F1128" s="865"/>
      <c r="G1128" s="1297">
        <v>2863.45</v>
      </c>
      <c r="H1128" s="1344">
        <f>SUM(H1121:H1127)</f>
        <v>0</v>
      </c>
      <c r="I1128" s="1297">
        <f>SUM(I1121:I1127)</f>
        <v>100</v>
      </c>
      <c r="J1128" s="1297">
        <f>SUM(J1121:J1127)</f>
        <v>79.95</v>
      </c>
      <c r="K1128" s="1297">
        <f>SUM(K1121:K1127)</f>
        <v>100</v>
      </c>
      <c r="L1128" s="1297">
        <f>SUM(L1121:L1127)</f>
        <v>2783.5</v>
      </c>
      <c r="M1128" s="59">
        <f>IFERROR(R1128/$S$2,"")</f>
        <v>112.53333333333335</v>
      </c>
      <c r="N1128" s="99">
        <f>IFERROR(L1128/M1128,0)</f>
        <v>24.734893364928908</v>
      </c>
      <c r="O1128" s="59">
        <f>IFERROR(SUMIF(ETM!$A:$A,$Q1128,ETM!$E:$E),"")</f>
        <v>90.500000000000014</v>
      </c>
      <c r="P1128" s="880">
        <f>IFERROR(L1128/O1128,0)</f>
        <v>30.756906077348063</v>
      </c>
      <c r="Q1128" s="1067" t="s">
        <v>1346</v>
      </c>
      <c r="R1128" s="785">
        <f>IFERROR(VLOOKUP($Q1128,'391'!$S:$Z,8,0),"")</f>
        <v>506.40000000000003</v>
      </c>
      <c r="S1128" s="796"/>
      <c r="T1128" s="797"/>
      <c r="U1128" s="797"/>
      <c r="V1128" s="797"/>
      <c r="W1128" s="785">
        <f>IFERROR(VLOOKUP($Q1128,'391'!$S:$AG,15,0),0)</f>
        <v>2501.5500000000002</v>
      </c>
      <c r="X1128" s="1090">
        <f t="shared" si="670"/>
        <v>361.89999999999964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29" t="str">
        <f>IF(L1133=0,"",MAX($A$16:A1128)+1)</f>
        <v/>
      </c>
      <c r="B1129" s="2032" t="s">
        <v>1572</v>
      </c>
      <c r="C1129" s="129"/>
      <c r="D1129" s="881" t="s">
        <v>10</v>
      </c>
      <c r="E1129" s="882">
        <v>46132</v>
      </c>
      <c r="F1129" s="71">
        <f t="shared" ref="F1129:F1132" si="697">$L$7-E1129</f>
        <v>144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3">
        <f t="shared" ref="L1129:L1132" si="698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699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30"/>
      <c r="B1130" s="2033"/>
      <c r="C1130" s="129"/>
      <c r="D1130" s="881" t="s">
        <v>10</v>
      </c>
      <c r="E1130" s="882">
        <v>45268</v>
      </c>
      <c r="F1130" s="71">
        <f t="shared" si="697"/>
        <v>1008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4">
        <f t="shared" si="698"/>
        <v>0</v>
      </c>
      <c r="M1130" s="46"/>
      <c r="N1130" s="176"/>
      <c r="O1130" s="46"/>
      <c r="P1130" s="1829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699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30"/>
      <c r="B1131" s="2033"/>
      <c r="C1131" s="129"/>
      <c r="D1131" s="881" t="s">
        <v>10</v>
      </c>
      <c r="E1131" s="882">
        <v>43021</v>
      </c>
      <c r="F1131" s="71">
        <f t="shared" si="697"/>
        <v>3255</v>
      </c>
      <c r="G1131" s="64">
        <v>0</v>
      </c>
      <c r="H1131" s="64"/>
      <c r="I1131" s="64"/>
      <c r="J1131" s="1412"/>
      <c r="K1131" s="1410"/>
      <c r="L1131" s="1534">
        <f t="shared" si="698"/>
        <v>0</v>
      </c>
      <c r="M1131" s="46"/>
      <c r="N1131" s="176"/>
      <c r="O1131" s="46"/>
      <c r="P1131" s="1829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699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31"/>
      <c r="B1132" s="2034"/>
      <c r="C1132" s="108" t="s">
        <v>46</v>
      </c>
      <c r="D1132" s="863" t="s">
        <v>10</v>
      </c>
      <c r="E1132" s="886">
        <v>46132</v>
      </c>
      <c r="F1132" s="39">
        <f t="shared" si="697"/>
        <v>144</v>
      </c>
      <c r="G1132" s="37">
        <v>0</v>
      </c>
      <c r="H1132" s="37"/>
      <c r="I1132" s="37">
        <f>K1129+K1130</f>
        <v>0</v>
      </c>
      <c r="J1132" s="1385"/>
      <c r="K1132" s="37"/>
      <c r="L1132" s="1534">
        <f t="shared" si="698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699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27" t="s">
        <v>1576</v>
      </c>
      <c r="B1133" s="2028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37.666666666666664</v>
      </c>
      <c r="P1133" s="880">
        <f>IFERROR(L1133/O1133,0)</f>
        <v>0</v>
      </c>
      <c r="Q1133" s="666" t="s">
        <v>1574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699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29" t="str">
        <f>IF(L1139=0,"",MAX($A$16:A1106)+1)</f>
        <v/>
      </c>
      <c r="B1134" s="2032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2095</v>
      </c>
      <c r="G1134" s="64">
        <v>0</v>
      </c>
      <c r="H1134" s="64"/>
      <c r="I1134" s="64"/>
      <c r="J1134" s="1413"/>
      <c r="K1134" s="64"/>
      <c r="L1134" s="1534">
        <f t="shared" ref="L1134:L1149" si="700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70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30"/>
      <c r="B1135" s="2033"/>
      <c r="C1135" s="114" t="s">
        <v>874</v>
      </c>
      <c r="D1135" s="881" t="s">
        <v>10</v>
      </c>
      <c r="E1135" s="882">
        <v>44475</v>
      </c>
      <c r="F1135" s="71">
        <f>$L$7-E1135</f>
        <v>1801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4">
        <f t="shared" si="700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70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30"/>
      <c r="B1136" s="2033"/>
      <c r="C1136" s="114"/>
      <c r="D1136" s="881" t="s">
        <v>10</v>
      </c>
      <c r="E1136" s="882">
        <v>44475</v>
      </c>
      <c r="F1136" s="71">
        <f>$L$7-E1136</f>
        <v>1801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4">
        <f t="shared" si="700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70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30"/>
      <c r="B1137" s="2033"/>
      <c r="C1137" s="114"/>
      <c r="D1137" s="881" t="s">
        <v>10</v>
      </c>
      <c r="E1137" s="882">
        <v>44475</v>
      </c>
      <c r="F1137" s="71">
        <f>$L$7-E1137</f>
        <v>1801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4">
        <f t="shared" si="700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70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31"/>
      <c r="B1138" s="2034"/>
      <c r="C1138" s="108" t="s">
        <v>46</v>
      </c>
      <c r="D1138" s="863" t="s">
        <v>10</v>
      </c>
      <c r="E1138" s="886">
        <v>44475</v>
      </c>
      <c r="F1138" s="39">
        <f>$L$7-E1138</f>
        <v>1801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4">
        <f t="shared" si="700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70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27" t="s">
        <v>174</v>
      </c>
      <c r="B1139" s="2028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01">SUM(J1134:J1138)</f>
        <v>0</v>
      </c>
      <c r="K1139" s="1297">
        <f t="shared" si="701"/>
        <v>0</v>
      </c>
      <c r="L1139" s="1534">
        <f t="shared" si="700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70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35">
        <f>IF(L1145=0,"",MAX($A$16:A1134)+1)</f>
        <v>75</v>
      </c>
      <c r="B1140" s="2032" t="s">
        <v>1803</v>
      </c>
      <c r="C1140" s="999" t="s">
        <v>1789</v>
      </c>
      <c r="D1140" s="1000" t="s">
        <v>10</v>
      </c>
      <c r="E1140" s="988">
        <v>46233</v>
      </c>
      <c r="F1140" s="994">
        <f t="shared" ref="F1140:F1141" si="702">$L$7-E1140</f>
        <v>43</v>
      </c>
      <c r="G1140" s="1395">
        <v>50</v>
      </c>
      <c r="H1140" s="1395"/>
      <c r="I1140" s="1395"/>
      <c r="J1140" s="1396"/>
      <c r="K1140" s="1395">
        <f>IFERROR(SUMIF(INTAKE!$A:$A,$T1140,INTAKE!$P:$P),0)</f>
        <v>50</v>
      </c>
      <c r="L1140" s="1703">
        <f t="shared" ref="L1140:L1144" si="703">+G1140+H1140+I1140-J1140-K1140</f>
        <v>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(Singapore)Y3.246233</v>
      </c>
      <c r="U1140" s="797"/>
      <c r="V1140" s="797"/>
      <c r="W1140" s="785">
        <f>IFERROR(VLOOKUP($Q1140,'391'!$S:$AG,15,0),0)</f>
        <v>0</v>
      </c>
      <c r="X1140" s="1090">
        <f t="shared" ref="X1140:X1145" si="704">G1140-W1140</f>
        <v>50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 x14ac:dyDescent="0.25">
      <c r="A1141" s="2036"/>
      <c r="B1141" s="2033"/>
      <c r="C1141" s="999" t="s">
        <v>1789</v>
      </c>
      <c r="D1141" s="1000" t="s">
        <v>10</v>
      </c>
      <c r="E1141" s="988">
        <v>46247</v>
      </c>
      <c r="F1141" s="994">
        <f t="shared" si="702"/>
        <v>29</v>
      </c>
      <c r="G1141" s="1395">
        <v>500</v>
      </c>
      <c r="H1141" s="1395"/>
      <c r="I1141" s="1395"/>
      <c r="J1141" s="1396"/>
      <c r="K1141" s="1395">
        <f>IFERROR(SUMIF(INTAKE!$A:$A,$T1141,INTAKE!$P:$P),0)</f>
        <v>25</v>
      </c>
      <c r="L1141" s="1703">
        <f t="shared" si="703"/>
        <v>475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(Singapore)Y3.246247</v>
      </c>
      <c r="U1141" s="797"/>
      <c r="V1141" s="797"/>
      <c r="W1141" s="785">
        <f>IFERROR(VLOOKUP($Q1141,'391'!$S:$AG,15,0),0)</f>
        <v>0</v>
      </c>
      <c r="X1141" s="1090">
        <f t="shared" si="704"/>
        <v>500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199"/>
      <c r="B1142" s="2116"/>
      <c r="C1142" s="999"/>
      <c r="D1142" s="1000" t="s">
        <v>10</v>
      </c>
      <c r="E1142" s="988">
        <v>46247</v>
      </c>
      <c r="F1142" s="994">
        <f t="shared" ref="F1142" si="705">$L$7-E1142</f>
        <v>29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3">
        <f t="shared" ref="L1142" si="706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07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36"/>
      <c r="B1143" s="2033"/>
      <c r="C1143" s="999"/>
      <c r="D1143" s="1000" t="s">
        <v>10</v>
      </c>
      <c r="E1143" s="988">
        <v>46149</v>
      </c>
      <c r="F1143" s="994">
        <f t="shared" ref="F1143:F1144" si="708">$L$7-E1143</f>
        <v>127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3">
        <f t="shared" si="703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04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37"/>
      <c r="B1144" s="2034"/>
      <c r="C1144" s="108" t="s">
        <v>46</v>
      </c>
      <c r="D1144" s="990" t="s">
        <v>10</v>
      </c>
      <c r="E1144" s="991">
        <v>46233</v>
      </c>
      <c r="F1144" s="363">
        <f t="shared" si="708"/>
        <v>43</v>
      </c>
      <c r="G1144" s="1372">
        <v>74.159999999999968</v>
      </c>
      <c r="H1144" s="1372"/>
      <c r="I1144" s="1372">
        <f>+SUM(K1140:K1141)</f>
        <v>75</v>
      </c>
      <c r="J1144" s="1373">
        <f>usage!I221</f>
        <v>5.94</v>
      </c>
      <c r="K1144" s="1395">
        <f>IFERROR(SUMIF(INTAKE!$A:$A,$T1144,INTAKE!$P:$P),0)</f>
        <v>0</v>
      </c>
      <c r="L1144" s="1534">
        <f t="shared" si="703"/>
        <v>143.21999999999997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(Singapore)Feedmill46233</v>
      </c>
      <c r="U1144" s="797"/>
      <c r="V1144" s="797"/>
      <c r="W1144" s="785">
        <f>IFERROR(VLOOKUP($Q1144,'391'!$S:$AG,15,0),0)</f>
        <v>0</v>
      </c>
      <c r="X1144" s="1090">
        <f t="shared" si="704"/>
        <v>74.159999999999968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1804</v>
      </c>
      <c r="C1145" s="88"/>
      <c r="D1145" s="930"/>
      <c r="E1145" s="930"/>
      <c r="F1145" s="931"/>
      <c r="G1145" s="1297">
        <v>624.16</v>
      </c>
      <c r="H1145" s="1297">
        <f t="shared" ref="H1145:L1145" si="709">SUM(H1140:H1144)</f>
        <v>0</v>
      </c>
      <c r="I1145" s="1297">
        <f t="shared" si="709"/>
        <v>75</v>
      </c>
      <c r="J1145" s="1297">
        <f t="shared" si="709"/>
        <v>5.94</v>
      </c>
      <c r="K1145" s="1297">
        <f t="shared" si="709"/>
        <v>75</v>
      </c>
      <c r="L1145" s="1297">
        <f t="shared" si="709"/>
        <v>618.22</v>
      </c>
      <c r="M1145" s="59">
        <f>IFERROR(R1145/$S$2,"")</f>
        <v>38.437777777777775</v>
      </c>
      <c r="N1145" s="854">
        <f>IFERROR(L1145/M1145,0)</f>
        <v>16.083656125339655</v>
      </c>
      <c r="O1145" s="982">
        <f>IFERROR(SUMIF(ETM!$A:$A,$Q1145,ETM!$E:$E),"")</f>
        <v>30.666666666666664</v>
      </c>
      <c r="P1145" s="880">
        <f>IFERROR(L1145/O1145,0)</f>
        <v>20.159347826086957</v>
      </c>
      <c r="Q1145" s="814" t="s">
        <v>1803</v>
      </c>
      <c r="R1145" s="785">
        <f>IFERROR(VLOOKUP($Q1145,'391'!$S:$Z,8,0),"")</f>
        <v>172.97</v>
      </c>
      <c r="S1145" s="796"/>
      <c r="T1145" s="797"/>
      <c r="U1145" s="797"/>
      <c r="V1145" s="797"/>
      <c r="W1145" s="785">
        <f>IFERROR(VLOOKUP($Q1145,'391'!$S:$AG,15,0),0)</f>
        <v>814.94</v>
      </c>
      <c r="X1145" s="1090">
        <f t="shared" si="704"/>
        <v>-190.78000000000009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35" t="str">
        <f>IF(L1150=0,"",MAX($A$16:A1145)+1)</f>
        <v/>
      </c>
      <c r="B1146" s="2032" t="s">
        <v>97</v>
      </c>
      <c r="C1146" s="999"/>
      <c r="D1146" s="1000" t="s">
        <v>10</v>
      </c>
      <c r="E1146" s="988">
        <v>46010</v>
      </c>
      <c r="F1146" s="994">
        <f t="shared" ref="F1146" si="710">$L$7-E1146</f>
        <v>266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3">
        <f t="shared" si="700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70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36"/>
      <c r="B1147" s="2033"/>
      <c r="C1147" s="999"/>
      <c r="D1147" s="1000" t="s">
        <v>10</v>
      </c>
      <c r="E1147" s="988">
        <v>46045</v>
      </c>
      <c r="F1147" s="994">
        <f t="shared" ref="F1147" si="711">$L$7-E1147</f>
        <v>231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3">
        <f t="shared" si="700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70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6"/>
      <c r="B1148" s="2033"/>
      <c r="C1148" s="999"/>
      <c r="D1148" s="1000" t="s">
        <v>10</v>
      </c>
      <c r="E1148" s="988">
        <v>43295</v>
      </c>
      <c r="F1148" s="994">
        <f t="shared" ref="F1148:F1149" si="712">$L$7-E1148</f>
        <v>2981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4">
        <f t="shared" si="700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70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37"/>
      <c r="B1149" s="2034"/>
      <c r="C1149" s="108" t="s">
        <v>46</v>
      </c>
      <c r="D1149" s="990" t="s">
        <v>10</v>
      </c>
      <c r="E1149" s="991">
        <v>46045</v>
      </c>
      <c r="F1149" s="363">
        <f t="shared" si="712"/>
        <v>231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4">
        <f t="shared" si="700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70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70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35" t="str">
        <f>IF(L1156=0,"",MAX($A$16:A1150)+1)</f>
        <v/>
      </c>
      <c r="B1151" s="2032" t="s">
        <v>241</v>
      </c>
      <c r="C1151" s="127"/>
      <c r="D1151" s="881" t="s">
        <v>10</v>
      </c>
      <c r="E1151" s="882">
        <v>44861</v>
      </c>
      <c r="F1151" s="71">
        <f>$L$7-E1151</f>
        <v>1415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4">
        <f t="shared" ref="L1151:L1162" si="713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70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36"/>
      <c r="B1152" s="2033"/>
      <c r="C1152" s="127" t="s">
        <v>581</v>
      </c>
      <c r="D1152" s="881" t="s">
        <v>10</v>
      </c>
      <c r="E1152" s="882">
        <v>45205</v>
      </c>
      <c r="F1152" s="71">
        <f>$L$7-E1152</f>
        <v>1071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4">
        <f t="shared" si="713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70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6"/>
      <c r="B1153" s="2033"/>
      <c r="C1153" s="127"/>
      <c r="D1153" s="881" t="s">
        <v>10</v>
      </c>
      <c r="E1153" s="882">
        <v>45205</v>
      </c>
      <c r="F1153" s="71">
        <f>$L$7-E1153</f>
        <v>1071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4">
        <f t="shared" si="713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70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6"/>
      <c r="B1154" s="2033"/>
      <c r="C1154" s="127"/>
      <c r="D1154" s="881" t="s">
        <v>10</v>
      </c>
      <c r="E1154" s="882">
        <v>45205</v>
      </c>
      <c r="F1154" s="71">
        <f>$L$7-E1154</f>
        <v>1071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4">
        <f t="shared" si="713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70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37"/>
      <c r="B1155" s="2034"/>
      <c r="C1155" s="138" t="s">
        <v>76</v>
      </c>
      <c r="D1155" s="863" t="s">
        <v>10</v>
      </c>
      <c r="E1155" s="886">
        <v>45205</v>
      </c>
      <c r="F1155" s="39">
        <f>$L$7-E1155</f>
        <v>1071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4">
        <f t="shared" si="713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70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14">SUM(H1151:H1155)</f>
        <v>0</v>
      </c>
      <c r="I1156" s="1297">
        <f t="shared" si="714"/>
        <v>0</v>
      </c>
      <c r="J1156" s="1297">
        <f t="shared" ref="J1156:K1156" si="715">+SUM(J1151:J1155)</f>
        <v>0</v>
      </c>
      <c r="K1156" s="1297">
        <f t="shared" si="715"/>
        <v>0</v>
      </c>
      <c r="L1156" s="1534">
        <f t="shared" si="713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16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35">
        <f>IF(L1163=0,"",MAX($A$16:A1156)+1)</f>
        <v>76</v>
      </c>
      <c r="B1157" s="2032" t="s">
        <v>1915</v>
      </c>
      <c r="C1157" s="127" t="s">
        <v>1213</v>
      </c>
      <c r="D1157" s="866" t="s">
        <v>10</v>
      </c>
      <c r="E1157" s="867">
        <v>46225</v>
      </c>
      <c r="F1157" s="75">
        <f t="shared" ref="F1157:F1158" si="717">$L$7-E1157</f>
        <v>51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3">
        <f t="shared" si="713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18">$Q$1163&amp;C1157&amp;E1157</f>
        <v>Surmax 100 (U.K)E346225</v>
      </c>
      <c r="U1157" s="797"/>
      <c r="V1157" s="797"/>
      <c r="W1157" s="785">
        <f>IFERROR(VLOOKUP($Q1157,'391'!$S:$AG,15,0),0)</f>
        <v>0</v>
      </c>
      <c r="X1157" s="1090">
        <f t="shared" si="716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36"/>
      <c r="B1158" s="2033"/>
      <c r="C1158" s="127"/>
      <c r="D1158" s="866" t="s">
        <v>10</v>
      </c>
      <c r="E1158" s="867">
        <v>45758</v>
      </c>
      <c r="F1158" s="75">
        <f t="shared" si="717"/>
        <v>518</v>
      </c>
      <c r="G1158" s="64">
        <v>0</v>
      </c>
      <c r="H1158" s="64"/>
      <c r="I1158" s="64"/>
      <c r="J1158" s="1367"/>
      <c r="K1158" s="1711">
        <f>IFERROR(SUMIF(INTAKE!$A:$A,$T1158,INTAKE!$P:$P),0)</f>
        <v>0</v>
      </c>
      <c r="L1158" s="1703">
        <f t="shared" si="713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18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16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36"/>
      <c r="B1159" s="2033"/>
      <c r="C1159" s="127"/>
      <c r="D1159" s="866" t="s">
        <v>10</v>
      </c>
      <c r="E1159" s="867">
        <v>45660</v>
      </c>
      <c r="F1159" s="75">
        <f t="shared" ref="F1159" si="719">$L$7-E1159</f>
        <v>616</v>
      </c>
      <c r="G1159" s="64">
        <v>0</v>
      </c>
      <c r="H1159" s="64"/>
      <c r="I1159" s="64"/>
      <c r="J1159" s="1367"/>
      <c r="K1159" s="1711">
        <f>IFERROR(SUMIF(INTAKE!$A:$A,$T1159,INTAKE!$P:$P),0)</f>
        <v>0</v>
      </c>
      <c r="L1159" s="1712">
        <f t="shared" si="713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18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16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6"/>
      <c r="B1160" s="2033"/>
      <c r="C1160" s="127"/>
      <c r="D1160" s="866" t="s">
        <v>10</v>
      </c>
      <c r="E1160" s="867">
        <v>45638</v>
      </c>
      <c r="F1160" s="75">
        <f t="shared" ref="F1160:F1162" si="720">$L$7-E1160</f>
        <v>638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4">
        <f t="shared" si="713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18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16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6"/>
      <c r="B1161" s="2033"/>
      <c r="C1161" s="127"/>
      <c r="D1161" s="866" t="s">
        <v>10</v>
      </c>
      <c r="E1161" s="867">
        <v>43412</v>
      </c>
      <c r="F1161" s="75">
        <f t="shared" si="720"/>
        <v>2864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4">
        <f t="shared" si="713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18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16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37"/>
      <c r="B1162" s="2034"/>
      <c r="C1162" s="108" t="s">
        <v>46</v>
      </c>
      <c r="D1162" s="863" t="s">
        <v>10</v>
      </c>
      <c r="E1162" s="886">
        <v>46225</v>
      </c>
      <c r="F1162" s="39">
        <f t="shared" si="720"/>
        <v>51</v>
      </c>
      <c r="G1162" s="37">
        <v>6.33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4">
        <f t="shared" si="713"/>
        <v>6.33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18"/>
        <v>Surmax 100 (U.K)Feedmill46225</v>
      </c>
      <c r="U1162" s="797"/>
      <c r="V1162" s="797"/>
      <c r="W1162" s="785">
        <f>IFERROR(VLOOKUP($Q1162,'391'!$S:$AG,15,0),0)</f>
        <v>0</v>
      </c>
      <c r="X1162" s="1090">
        <f t="shared" si="716"/>
        <v>6.33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1168</v>
      </c>
      <c r="C1163" s="88"/>
      <c r="D1163" s="930"/>
      <c r="E1163" s="930"/>
      <c r="F1163" s="931"/>
      <c r="G1163" s="1297">
        <v>6.33</v>
      </c>
      <c r="H1163" s="1297">
        <f t="shared" ref="H1163:L1163" si="721">SUM(H1157:H1162)</f>
        <v>0</v>
      </c>
      <c r="I1163" s="1297">
        <f t="shared" si="721"/>
        <v>0</v>
      </c>
      <c r="J1163" s="1297">
        <f t="shared" si="721"/>
        <v>0</v>
      </c>
      <c r="K1163" s="1297">
        <f t="shared" si="721"/>
        <v>0</v>
      </c>
      <c r="L1163" s="1297">
        <f t="shared" si="721"/>
        <v>6.33</v>
      </c>
      <c r="M1163" s="59">
        <f>IFERROR(R1163/$S$2,"")</f>
        <v>1.6800000000000002</v>
      </c>
      <c r="N1163" s="854">
        <f>IFERROR(L1163/M1163,0)</f>
        <v>3.7678571428571423</v>
      </c>
      <c r="O1163" s="59">
        <f>IFERROR(SUMIF(ETM!$A:$A,$Q1163,ETM!$E:$E),"")</f>
        <v>0</v>
      </c>
      <c r="P1163" s="880">
        <f>IFERROR(L1163/O1163,0)</f>
        <v>0</v>
      </c>
      <c r="Q1163" s="814" t="s">
        <v>680</v>
      </c>
      <c r="R1163" s="785">
        <f>IFERROR(VLOOKUP($Q1163,'391'!$S:$Z,8,0),"")</f>
        <v>7.5600000000000005</v>
      </c>
      <c r="S1163" s="796"/>
      <c r="T1163" s="797"/>
      <c r="U1163" s="797"/>
      <c r="V1163" s="797"/>
      <c r="W1163" s="785">
        <f>IFERROR(VLOOKUP($Q1163,'391'!$S:$AG,15,0),0)</f>
        <v>18.93</v>
      </c>
      <c r="X1163" s="1090">
        <f t="shared" si="716"/>
        <v>-12.6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35" t="str">
        <f>IF(L1171=0,"",MAX($A$16:A1163)+1)</f>
        <v/>
      </c>
      <c r="B1164" s="2032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22">$L$7-E1164</f>
        <v>3587</v>
      </c>
      <c r="G1164" s="64">
        <v>0</v>
      </c>
      <c r="H1164" s="64"/>
      <c r="I1164" s="64"/>
      <c r="J1164" s="1367"/>
      <c r="K1164" s="64"/>
      <c r="L1164" s="1534">
        <f t="shared" ref="L1164:L1200" si="723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16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36"/>
      <c r="B1165" s="2033"/>
      <c r="C1165" s="127" t="s">
        <v>251</v>
      </c>
      <c r="D1165" s="881" t="s">
        <v>10</v>
      </c>
      <c r="E1165" s="882">
        <v>42755</v>
      </c>
      <c r="F1165" s="71">
        <f t="shared" si="722"/>
        <v>3521</v>
      </c>
      <c r="G1165" s="64">
        <v>0</v>
      </c>
      <c r="H1165" s="64"/>
      <c r="I1165" s="64"/>
      <c r="J1165" s="1367"/>
      <c r="K1165" s="64"/>
      <c r="L1165" s="1534">
        <f t="shared" si="723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16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6"/>
      <c r="B1166" s="2033"/>
      <c r="C1166" s="127" t="s">
        <v>255</v>
      </c>
      <c r="D1166" s="881" t="s">
        <v>10</v>
      </c>
      <c r="E1166" s="882">
        <v>42601</v>
      </c>
      <c r="F1166" s="71">
        <f t="shared" si="722"/>
        <v>3675</v>
      </c>
      <c r="G1166" s="64">
        <v>0</v>
      </c>
      <c r="H1166" s="64"/>
      <c r="I1166" s="64"/>
      <c r="J1166" s="1367"/>
      <c r="K1166" s="64"/>
      <c r="L1166" s="1534">
        <f t="shared" si="723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16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6"/>
      <c r="B1167" s="2033"/>
      <c r="C1167" s="127" t="s">
        <v>255</v>
      </c>
      <c r="D1167" s="881" t="s">
        <v>10</v>
      </c>
      <c r="E1167" s="882">
        <v>42601</v>
      </c>
      <c r="F1167" s="71">
        <f t="shared" si="722"/>
        <v>3675</v>
      </c>
      <c r="G1167" s="64">
        <v>0</v>
      </c>
      <c r="H1167" s="64"/>
      <c r="I1167" s="64"/>
      <c r="J1167" s="1367"/>
      <c r="K1167" s="64"/>
      <c r="L1167" s="1534">
        <f t="shared" si="723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16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6"/>
      <c r="B1168" s="2033"/>
      <c r="C1168" s="127" t="s">
        <v>194</v>
      </c>
      <c r="D1168" s="881" t="s">
        <v>10</v>
      </c>
      <c r="E1168" s="882">
        <v>42440</v>
      </c>
      <c r="F1168" s="71">
        <f t="shared" si="722"/>
        <v>3836</v>
      </c>
      <c r="G1168" s="64">
        <v>0</v>
      </c>
      <c r="H1168" s="64"/>
      <c r="I1168" s="64"/>
      <c r="J1168" s="1367"/>
      <c r="K1168" s="64"/>
      <c r="L1168" s="1534">
        <f t="shared" si="723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16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6"/>
      <c r="B1169" s="2033"/>
      <c r="C1169" s="138" t="s">
        <v>76</v>
      </c>
      <c r="D1169" s="863" t="s">
        <v>10</v>
      </c>
      <c r="E1169" s="886">
        <v>42755</v>
      </c>
      <c r="F1169" s="39">
        <f t="shared" si="722"/>
        <v>3521</v>
      </c>
      <c r="G1169" s="58">
        <v>0</v>
      </c>
      <c r="H1169" s="64"/>
      <c r="I1169" s="58"/>
      <c r="J1169" s="1365"/>
      <c r="K1169" s="64"/>
      <c r="L1169" s="1534">
        <f t="shared" si="723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16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37"/>
      <c r="B1170" s="2034"/>
      <c r="C1170" s="1007" t="s">
        <v>76</v>
      </c>
      <c r="D1170" s="884" t="s">
        <v>10</v>
      </c>
      <c r="E1170" s="885">
        <v>42382</v>
      </c>
      <c r="F1170" s="293">
        <f t="shared" si="722"/>
        <v>3894</v>
      </c>
      <c r="G1170" s="37">
        <v>0</v>
      </c>
      <c r="H1170" s="37"/>
      <c r="I1170" s="37"/>
      <c r="J1170" s="1385"/>
      <c r="K1170" s="37"/>
      <c r="L1170" s="1534">
        <f t="shared" si="723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16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24">SUM(H1164:H1170)</f>
        <v>0</v>
      </c>
      <c r="I1171" s="1297">
        <f t="shared" si="724"/>
        <v>0</v>
      </c>
      <c r="J1171" s="1297">
        <f t="shared" si="724"/>
        <v>0</v>
      </c>
      <c r="K1171" s="1297">
        <f t="shared" si="724"/>
        <v>0</v>
      </c>
      <c r="L1171" s="1534">
        <f t="shared" si="723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16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35" t="str">
        <f>IF(L1180=0,"",MAX($A$16:A1171)+1)</f>
        <v/>
      </c>
      <c r="B1172" s="2032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25">$L$7-E1172</f>
        <v>2646</v>
      </c>
      <c r="G1172" s="63">
        <v>0</v>
      </c>
      <c r="H1172" s="64"/>
      <c r="I1172" s="64"/>
      <c r="J1172" s="1367"/>
      <c r="K1172" s="64"/>
      <c r="L1172" s="1534">
        <f t="shared" si="723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16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36"/>
      <c r="B1173" s="2033"/>
      <c r="C1173" s="127" t="s">
        <v>194</v>
      </c>
      <c r="D1173" s="881" t="s">
        <v>10</v>
      </c>
      <c r="E1173" s="888">
        <v>43630</v>
      </c>
      <c r="F1173" s="71">
        <f t="shared" si="725"/>
        <v>2646</v>
      </c>
      <c r="G1173" s="63">
        <v>0</v>
      </c>
      <c r="H1173" s="64"/>
      <c r="I1173" s="64"/>
      <c r="J1173" s="1367"/>
      <c r="K1173" s="64"/>
      <c r="L1173" s="1534">
        <f t="shared" si="723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16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6"/>
      <c r="B1174" s="2033"/>
      <c r="C1174" s="127" t="s">
        <v>194</v>
      </c>
      <c r="D1174" s="881" t="s">
        <v>10</v>
      </c>
      <c r="E1174" s="888">
        <v>43630</v>
      </c>
      <c r="F1174" s="71">
        <f t="shared" si="725"/>
        <v>2646</v>
      </c>
      <c r="G1174" s="63">
        <v>0</v>
      </c>
      <c r="H1174" s="64"/>
      <c r="I1174" s="64"/>
      <c r="J1174" s="1367"/>
      <c r="K1174" s="64"/>
      <c r="L1174" s="1534">
        <f t="shared" si="723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16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6"/>
      <c r="B1175" s="2033"/>
      <c r="C1175" s="127" t="s">
        <v>138</v>
      </c>
      <c r="D1175" s="881" t="s">
        <v>10</v>
      </c>
      <c r="E1175" s="888">
        <v>43175</v>
      </c>
      <c r="F1175" s="71">
        <f t="shared" si="725"/>
        <v>3101</v>
      </c>
      <c r="G1175" s="63">
        <v>0</v>
      </c>
      <c r="H1175" s="64"/>
      <c r="I1175" s="64"/>
      <c r="J1175" s="1367"/>
      <c r="K1175" s="64"/>
      <c r="L1175" s="1534">
        <f t="shared" si="723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16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6"/>
      <c r="B1176" s="2033"/>
      <c r="C1176" s="127" t="s">
        <v>138</v>
      </c>
      <c r="D1176" s="881" t="s">
        <v>10</v>
      </c>
      <c r="E1176" s="888">
        <v>42614</v>
      </c>
      <c r="F1176" s="71">
        <f t="shared" si="725"/>
        <v>3662</v>
      </c>
      <c r="G1176" s="63">
        <v>0</v>
      </c>
      <c r="H1176" s="64"/>
      <c r="I1176" s="64"/>
      <c r="J1176" s="1367"/>
      <c r="K1176" s="64"/>
      <c r="L1176" s="1534">
        <f t="shared" si="723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16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6"/>
      <c r="B1177" s="2033"/>
      <c r="C1177" s="127" t="s">
        <v>138</v>
      </c>
      <c r="D1177" s="881" t="s">
        <v>10</v>
      </c>
      <c r="E1177" s="888">
        <v>42448</v>
      </c>
      <c r="F1177" s="71">
        <f t="shared" si="725"/>
        <v>3828</v>
      </c>
      <c r="G1177" s="63">
        <v>0</v>
      </c>
      <c r="H1177" s="64"/>
      <c r="I1177" s="64"/>
      <c r="J1177" s="1367"/>
      <c r="K1177" s="64"/>
      <c r="L1177" s="1534">
        <f t="shared" si="723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16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6"/>
      <c r="B1178" s="2033"/>
      <c r="C1178" s="138" t="s">
        <v>76</v>
      </c>
      <c r="D1178" s="850" t="s">
        <v>10</v>
      </c>
      <c r="E1178" s="851">
        <v>43630</v>
      </c>
      <c r="F1178" s="42">
        <f t="shared" si="725"/>
        <v>2646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4">
        <f t="shared" si="723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16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37"/>
      <c r="B1179" s="2034"/>
      <c r="C1179" s="1007" t="s">
        <v>76</v>
      </c>
      <c r="D1179" s="863" t="s">
        <v>10</v>
      </c>
      <c r="E1179" s="886">
        <v>43392</v>
      </c>
      <c r="F1179" s="39">
        <f t="shared" si="725"/>
        <v>2884</v>
      </c>
      <c r="G1179" s="37">
        <v>0</v>
      </c>
      <c r="H1179" s="37"/>
      <c r="I1179" s="37"/>
      <c r="J1179" s="1385"/>
      <c r="K1179" s="37"/>
      <c r="L1179" s="1534">
        <f t="shared" si="723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16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26">SUM(H1172:H1179)</f>
        <v>0</v>
      </c>
      <c r="I1180" s="1297">
        <f t="shared" si="726"/>
        <v>0</v>
      </c>
      <c r="J1180" s="1297">
        <f t="shared" si="726"/>
        <v>0</v>
      </c>
      <c r="K1180" s="1297">
        <f t="shared" si="726"/>
        <v>0</v>
      </c>
      <c r="L1180" s="1534">
        <f t="shared" si="723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16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35" t="str">
        <f>IF(L1188=0,"",MAX($A$16:A1180)+1)</f>
        <v/>
      </c>
      <c r="B1181" s="2032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27">$L$7-E1181</f>
        <v>2559</v>
      </c>
      <c r="G1181" s="12">
        <v>0</v>
      </c>
      <c r="H1181" s="64"/>
      <c r="I1181" s="64"/>
      <c r="J1181" s="1367"/>
      <c r="K1181" s="64"/>
      <c r="L1181" s="1534">
        <f t="shared" si="723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16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36"/>
      <c r="B1182" s="2033"/>
      <c r="C1182" s="1009" t="s">
        <v>513</v>
      </c>
      <c r="D1182" s="887" t="s">
        <v>10</v>
      </c>
      <c r="E1182" s="888">
        <v>43729</v>
      </c>
      <c r="F1182" s="70">
        <f t="shared" si="727"/>
        <v>2547</v>
      </c>
      <c r="G1182" s="12">
        <v>0</v>
      </c>
      <c r="H1182" s="64"/>
      <c r="I1182" s="64"/>
      <c r="J1182" s="1367"/>
      <c r="K1182" s="64"/>
      <c r="L1182" s="1534">
        <f t="shared" si="723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16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6"/>
      <c r="B1183" s="2033"/>
      <c r="C1183" s="1009" t="s">
        <v>265</v>
      </c>
      <c r="D1183" s="887" t="s">
        <v>10</v>
      </c>
      <c r="E1183" s="888">
        <v>43056</v>
      </c>
      <c r="F1183" s="70">
        <f t="shared" si="727"/>
        <v>3220</v>
      </c>
      <c r="G1183" s="12">
        <v>0</v>
      </c>
      <c r="H1183" s="64"/>
      <c r="I1183" s="64"/>
      <c r="J1183" s="1367"/>
      <c r="K1183" s="64"/>
      <c r="L1183" s="1534">
        <f t="shared" si="723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16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6"/>
      <c r="B1184" s="2033"/>
      <c r="C1184" s="1009" t="s">
        <v>265</v>
      </c>
      <c r="D1184" s="887" t="s">
        <v>10</v>
      </c>
      <c r="E1184" s="888">
        <v>43056</v>
      </c>
      <c r="F1184" s="70">
        <f t="shared" si="727"/>
        <v>3220</v>
      </c>
      <c r="G1184" s="12">
        <v>0</v>
      </c>
      <c r="H1184" s="64"/>
      <c r="I1184" s="64"/>
      <c r="J1184" s="1367"/>
      <c r="K1184" s="64"/>
      <c r="L1184" s="1534">
        <f t="shared" si="723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16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6"/>
      <c r="B1185" s="2033"/>
      <c r="C1185" s="1009" t="s">
        <v>265</v>
      </c>
      <c r="D1185" s="887" t="s">
        <v>10</v>
      </c>
      <c r="E1185" s="888">
        <v>43056</v>
      </c>
      <c r="F1185" s="70">
        <f t="shared" si="727"/>
        <v>3220</v>
      </c>
      <c r="G1185" s="12">
        <v>0</v>
      </c>
      <c r="H1185" s="63"/>
      <c r="I1185" s="63"/>
      <c r="J1185" s="1378"/>
      <c r="K1185" s="64"/>
      <c r="L1185" s="1534">
        <f t="shared" si="723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16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6"/>
      <c r="B1186" s="2033"/>
      <c r="C1186" s="1009" t="s">
        <v>197</v>
      </c>
      <c r="D1186" s="887" t="s">
        <v>10</v>
      </c>
      <c r="E1186" s="888">
        <v>42971</v>
      </c>
      <c r="F1186" s="70">
        <f t="shared" si="727"/>
        <v>3305</v>
      </c>
      <c r="G1186" s="12">
        <v>0</v>
      </c>
      <c r="H1186" s="63"/>
      <c r="I1186" s="63"/>
      <c r="J1186" s="1378"/>
      <c r="K1186" s="64"/>
      <c r="L1186" s="1534">
        <f t="shared" si="723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16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37"/>
      <c r="B1187" s="2034"/>
      <c r="C1187" s="138" t="s">
        <v>76</v>
      </c>
      <c r="D1187" s="863" t="s">
        <v>10</v>
      </c>
      <c r="E1187" s="886">
        <v>43729</v>
      </c>
      <c r="F1187" s="39">
        <f t="shared" si="727"/>
        <v>2547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4">
        <f t="shared" si="723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16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28">SUM(H1181:H1187)</f>
        <v>0</v>
      </c>
      <c r="I1188" s="1337">
        <f t="shared" si="728"/>
        <v>0</v>
      </c>
      <c r="J1188" s="1337">
        <f t="shared" si="728"/>
        <v>0</v>
      </c>
      <c r="K1188" s="1337">
        <f t="shared" si="728"/>
        <v>0</v>
      </c>
      <c r="L1188" s="1534">
        <f t="shared" si="723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16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35">
        <f>IF(L1195=0,"",MAX($A$16:A1188)+1)</f>
        <v>77</v>
      </c>
      <c r="B1189" s="2032" t="s">
        <v>210</v>
      </c>
      <c r="C1189" s="114"/>
      <c r="D1189" s="881" t="s">
        <v>10</v>
      </c>
      <c r="E1189" s="888">
        <v>46038</v>
      </c>
      <c r="F1189" s="70">
        <f t="shared" ref="F1189" si="729">$L$7-E1189</f>
        <v>238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3">
        <f t="shared" si="723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30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16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36"/>
      <c r="B1190" s="2033"/>
      <c r="C1190" s="114"/>
      <c r="D1190" s="881" t="s">
        <v>10</v>
      </c>
      <c r="E1190" s="888">
        <v>46233</v>
      </c>
      <c r="F1190" s="70">
        <f t="shared" ref="F1190:F1191" si="731">$L$7-E1190</f>
        <v>43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3">
        <f t="shared" si="723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30"/>
        <v>Flavomycin 8046233</v>
      </c>
      <c r="U1190" s="797"/>
      <c r="V1190" s="797"/>
      <c r="W1190" s="785">
        <f>IFERROR(VLOOKUP($Q1190,'391'!$S:$AG,15,0),0)</f>
        <v>0</v>
      </c>
      <c r="X1190" s="1090">
        <f t="shared" si="716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36"/>
      <c r="B1191" s="2033"/>
      <c r="C1191" s="114" t="s">
        <v>1213</v>
      </c>
      <c r="D1191" s="881" t="s">
        <v>10</v>
      </c>
      <c r="E1191" s="888">
        <v>46247</v>
      </c>
      <c r="F1191" s="70">
        <f t="shared" si="731"/>
        <v>29</v>
      </c>
      <c r="G1191" s="63">
        <v>25</v>
      </c>
      <c r="H1191" s="63"/>
      <c r="I1191" s="63"/>
      <c r="J1191" s="1378"/>
      <c r="K1191" s="1348">
        <f>IFERROR(SUMIF(INTAKE!$A:$A,$T1191,INTAKE!$P:$P),0)</f>
        <v>0</v>
      </c>
      <c r="L1191" s="1703">
        <f t="shared" si="723"/>
        <v>25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30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16"/>
        <v>25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199"/>
      <c r="B1192" s="2116"/>
      <c r="C1192" s="114" t="s">
        <v>1213</v>
      </c>
      <c r="D1192" s="881" t="s">
        <v>10</v>
      </c>
      <c r="E1192" s="888">
        <v>46262</v>
      </c>
      <c r="F1192" s="70">
        <f t="shared" ref="F1192" si="732">$L$7-E1192</f>
        <v>14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3">
        <f t="shared" ref="L1192" si="733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30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34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36"/>
      <c r="B1193" s="2033"/>
      <c r="C1193" s="114"/>
      <c r="D1193" s="881" t="s">
        <v>10</v>
      </c>
      <c r="E1193" s="888">
        <v>46233</v>
      </c>
      <c r="F1193" s="70">
        <f t="shared" ref="F1193:F1194" si="735">$L$7-E1193</f>
        <v>43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3">
        <f t="shared" si="723"/>
        <v>0</v>
      </c>
      <c r="M1193" s="45"/>
      <c r="N1193" s="162"/>
      <c r="O1193" s="45"/>
      <c r="P1193" s="1774"/>
      <c r="Q1193" s="795"/>
      <c r="R1193" s="785">
        <f>IFERROR(VLOOKUP($Q1193,'391'!$S:$Z,8,0),"")</f>
        <v>0</v>
      </c>
      <c r="S1193" s="796"/>
      <c r="T1193" s="797" t="str">
        <f t="shared" si="730"/>
        <v>Flavomycin 8046233</v>
      </c>
      <c r="U1193" s="797"/>
      <c r="V1193" s="797"/>
      <c r="W1193" s="785">
        <f>IFERROR(VLOOKUP($Q1193,'391'!$S:$AG,15,0),0)</f>
        <v>0</v>
      </c>
      <c r="X1193" s="1090">
        <f t="shared" si="716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37"/>
      <c r="B1194" s="2034"/>
      <c r="C1194" s="108" t="s">
        <v>76</v>
      </c>
      <c r="D1194" s="863" t="s">
        <v>10</v>
      </c>
      <c r="E1194" s="886">
        <v>46247</v>
      </c>
      <c r="F1194" s="39">
        <f t="shared" si="735"/>
        <v>29</v>
      </c>
      <c r="G1194" s="37">
        <v>25.86</v>
      </c>
      <c r="H1194" s="37"/>
      <c r="I1194" s="37">
        <f>SUM(K1189:K1193)</f>
        <v>0</v>
      </c>
      <c r="J1194" s="1385">
        <f>+usage!I114</f>
        <v>0</v>
      </c>
      <c r="K1194" s="63">
        <f>IFERROR(SUMIF(INTAKE!$A:$A,$T1194,INTAKE!$P:$P),0)</f>
        <v>0</v>
      </c>
      <c r="L1194" s="1534">
        <f t="shared" si="723"/>
        <v>25.86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30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16"/>
        <v>25.86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100.86</v>
      </c>
      <c r="H1195" s="1344">
        <f t="shared" ref="H1195:L1195" si="736">SUM(H1189:H1194)</f>
        <v>0</v>
      </c>
      <c r="I1195" s="1297">
        <f t="shared" si="736"/>
        <v>0</v>
      </c>
      <c r="J1195" s="1386">
        <f t="shared" si="736"/>
        <v>0</v>
      </c>
      <c r="K1195" s="1386">
        <f t="shared" si="736"/>
        <v>0</v>
      </c>
      <c r="L1195" s="1386">
        <f t="shared" si="736"/>
        <v>100.86</v>
      </c>
      <c r="M1195" s="59">
        <f>IFERROR(R1195/$S$2,"")</f>
        <v>1.0511111111111111</v>
      </c>
      <c r="N1195" s="366">
        <f>IFERROR(L1195/M1195,0)</f>
        <v>95.955602536997887</v>
      </c>
      <c r="O1195" s="59">
        <f>IFERROR(SUMIF(ETM!$A:$A,$Q1195,ETM!$E:$E),"")</f>
        <v>3.833333333333333</v>
      </c>
      <c r="P1195" s="880">
        <f>IFERROR(L1195/O1195,0)</f>
        <v>26.311304347826088</v>
      </c>
      <c r="Q1195" s="814" t="s">
        <v>210</v>
      </c>
      <c r="R1195" s="785">
        <f>IFERROR(VLOOKUP($Q1195,'391'!$S:$Z,8,0),"")</f>
        <v>4.7300000000000004</v>
      </c>
      <c r="S1195" s="796"/>
      <c r="T1195" s="797"/>
      <c r="U1195" s="797"/>
      <c r="V1195" s="797"/>
      <c r="W1195" s="785">
        <f>IFERROR(VLOOKUP($Q1195,'391'!$S:$AG,15,0),0)</f>
        <v>126.06</v>
      </c>
      <c r="X1195" s="1090">
        <f t="shared" si="716"/>
        <v>-25.200000000000003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35">
        <f>IF(L1201=0,"",MAX($A$16:A1195)+1)</f>
        <v>78</v>
      </c>
      <c r="B1196" s="2032" t="s">
        <v>1912</v>
      </c>
      <c r="C1196" s="1200" t="s">
        <v>1213</v>
      </c>
      <c r="D1196" s="881" t="s">
        <v>10</v>
      </c>
      <c r="E1196" s="882">
        <v>46254</v>
      </c>
      <c r="F1196" s="71">
        <f>$L$7-E1196</f>
        <v>22</v>
      </c>
      <c r="G1196" s="63">
        <v>0</v>
      </c>
      <c r="H1196" s="63"/>
      <c r="I1196" s="63"/>
      <c r="J1196" s="1378"/>
      <c r="K1196" s="63">
        <f>IFERROR(SUMIF(INTAKE!$A:$A,$T1196,INTAKE!$P:$P),0)</f>
        <v>0</v>
      </c>
      <c r="L1196" s="1703">
        <f t="shared" si="723"/>
        <v>0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MAXIBANE346254</v>
      </c>
      <c r="U1196" s="797"/>
      <c r="V1196" s="797"/>
      <c r="W1196" s="785">
        <f>IFERROR(VLOOKUP($Q1196,'391'!$S:$AG,15,0),0)</f>
        <v>0</v>
      </c>
      <c r="X1196" s="1090">
        <f t="shared" si="716"/>
        <v>0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2036"/>
      <c r="B1197" s="2033"/>
      <c r="C1197" s="1200" t="s">
        <v>1213</v>
      </c>
      <c r="D1197" s="881" t="s">
        <v>10</v>
      </c>
      <c r="E1197" s="882">
        <v>46262</v>
      </c>
      <c r="F1197" s="71">
        <f>$L$7-E1197</f>
        <v>14</v>
      </c>
      <c r="G1197" s="63">
        <v>300</v>
      </c>
      <c r="H1197" s="63"/>
      <c r="I1197" s="63"/>
      <c r="J1197" s="1378"/>
      <c r="K1197" s="63">
        <f>IFERROR(SUMIF(INTAKE!$A:$A,$T1197,INTAKE!$P:$P),0)</f>
        <v>25</v>
      </c>
      <c r="L1197" s="1703">
        <f t="shared" si="723"/>
        <v>275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MAXIBANE346262</v>
      </c>
      <c r="U1197" s="797"/>
      <c r="V1197" s="797"/>
      <c r="W1197" s="785">
        <f>IFERROR(VLOOKUP($Q1197,'391'!$S:$AG,15,0),0)</f>
        <v>0</v>
      </c>
      <c r="X1197" s="1090">
        <f t="shared" si="716"/>
        <v>300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36"/>
      <c r="B1198" s="2033"/>
      <c r="C1198" s="1200"/>
      <c r="D1198" s="881" t="s">
        <v>10</v>
      </c>
      <c r="E1198" s="882">
        <v>46254</v>
      </c>
      <c r="F1198" s="71">
        <f>$L$7-E1198</f>
        <v>22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3">
        <f t="shared" si="723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16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36"/>
      <c r="B1199" s="2033"/>
      <c r="C1199" s="1200"/>
      <c r="D1199" s="881" t="s">
        <v>10</v>
      </c>
      <c r="E1199" s="882">
        <v>46247</v>
      </c>
      <c r="F1199" s="71">
        <f>$L$7-E1199</f>
        <v>29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3">
        <f t="shared" si="723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16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37"/>
      <c r="B1200" s="2034"/>
      <c r="C1200" s="108" t="s">
        <v>46</v>
      </c>
      <c r="D1200" s="863" t="s">
        <v>10</v>
      </c>
      <c r="E1200" s="851">
        <v>46262</v>
      </c>
      <c r="F1200" s="39">
        <f>$L$7-E1200</f>
        <v>14</v>
      </c>
      <c r="G1200" s="37">
        <v>37.920000000000016</v>
      </c>
      <c r="H1200" s="37"/>
      <c r="I1200" s="37">
        <f>+SUM(K1196:K1200)</f>
        <v>25</v>
      </c>
      <c r="J1200" s="1385">
        <f>+usage!I117</f>
        <v>30.24</v>
      </c>
      <c r="K1200" s="63">
        <f>IFERROR(SUMIF(INTAKE!$A:$A,$T1200,INTAKE!$P:$P),0)</f>
        <v>0</v>
      </c>
      <c r="L1200" s="1534">
        <f t="shared" si="723"/>
        <v>32.680000000000021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16"/>
        <v>37.920000000000016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337.92</v>
      </c>
      <c r="H1201" s="1344">
        <f>SUM(H1196:H1200)</f>
        <v>0</v>
      </c>
      <c r="I1201" s="1344">
        <f>SUM(I1196:I1200)</f>
        <v>25</v>
      </c>
      <c r="J1201" s="1297">
        <f t="shared" ref="J1201:L1201" si="737">SUM(J1196:J1200)</f>
        <v>30.24</v>
      </c>
      <c r="K1201" s="1297">
        <f t="shared" si="737"/>
        <v>25</v>
      </c>
      <c r="L1201" s="1297">
        <f t="shared" si="737"/>
        <v>307.68</v>
      </c>
      <c r="M1201" s="889">
        <v>20</v>
      </c>
      <c r="N1201" s="366">
        <f>IFERROR(L1201/M1201,0)</f>
        <v>15.384</v>
      </c>
      <c r="O1201" s="59">
        <f>IFERROR(SUMIF(ETM!$A:$A,$Q1201,ETM!$E:$E),"")</f>
        <v>6.666666666666667</v>
      </c>
      <c r="P1201" s="880">
        <f>IFERROR(L1201/O1201,0)</f>
        <v>46.152000000000001</v>
      </c>
      <c r="Q1201" s="814" t="s">
        <v>462</v>
      </c>
      <c r="R1201" s="785">
        <f>IFERROR(VLOOKUP($Q1201,'391'!$S:$Z,8,0),"")</f>
        <v>113.4</v>
      </c>
      <c r="S1201" s="796"/>
      <c r="T1201" s="797"/>
      <c r="U1201" s="797"/>
      <c r="V1201" s="797"/>
      <c r="W1201" s="785">
        <f>IFERROR(VLOOKUP($Q1201,'391'!$S:$AG,15,0),0)</f>
        <v>394.62</v>
      </c>
      <c r="X1201" s="1090">
        <f t="shared" si="716"/>
        <v>-56.699999999999989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35">
        <f>IF(L1209=0,"",MAX($A$16:A1201)+1)</f>
        <v>79</v>
      </c>
      <c r="B1202" s="2051" t="s">
        <v>207</v>
      </c>
      <c r="C1202" s="127"/>
      <c r="D1202" s="881" t="s">
        <v>10</v>
      </c>
      <c r="E1202" s="888">
        <v>46122</v>
      </c>
      <c r="F1202" s="71">
        <f t="shared" ref="F1202:F1206" si="738">$L$7-E1202</f>
        <v>154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3">
        <f t="shared" ref="L1202:L1208" si="739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40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16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36"/>
      <c r="B1203" s="2073"/>
      <c r="C1203" s="127" t="s">
        <v>273</v>
      </c>
      <c r="D1203" s="881" t="s">
        <v>10</v>
      </c>
      <c r="E1203" s="888">
        <v>46254</v>
      </c>
      <c r="F1203" s="71">
        <f t="shared" ref="F1203" si="741">$L$7-E1203</f>
        <v>22</v>
      </c>
      <c r="G1203" s="63">
        <v>1400</v>
      </c>
      <c r="H1203" s="63"/>
      <c r="I1203" s="63"/>
      <c r="J1203" s="1378"/>
      <c r="K1203" s="63">
        <f>IFERROR(SUMIF(INTAKE!$A:$A,$T1203,INTAKE!$P:$P),0)</f>
        <v>175</v>
      </c>
      <c r="L1203" s="1703">
        <f t="shared" si="739"/>
        <v>1225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40"/>
        <v>Availa-ZN 120A19.546254</v>
      </c>
      <c r="U1203" s="797"/>
      <c r="V1203" s="797"/>
      <c r="W1203" s="785">
        <f>IFERROR(VLOOKUP($Q1203,'391'!$S:$AG,15,0),0)</f>
        <v>0</v>
      </c>
      <c r="X1203" s="1090">
        <f t="shared" si="716"/>
        <v>1400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36"/>
      <c r="B1204" s="2073"/>
      <c r="C1204" s="127"/>
      <c r="D1204" s="881" t="s">
        <v>10</v>
      </c>
      <c r="E1204" s="888">
        <v>46254</v>
      </c>
      <c r="F1204" s="71">
        <f t="shared" si="738"/>
        <v>22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3">
        <f t="shared" si="739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40"/>
        <v>Availa-ZN 12046254</v>
      </c>
      <c r="U1204" s="797"/>
      <c r="V1204" s="797"/>
      <c r="W1204" s="785">
        <f>IFERROR(VLOOKUP($Q1204,'391'!$S:$AG,15,0),0)</f>
        <v>0</v>
      </c>
      <c r="X1204" s="1090">
        <f t="shared" si="716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36"/>
      <c r="B1205" s="2073"/>
      <c r="C1205" s="127"/>
      <c r="D1205" s="881" t="s">
        <v>10</v>
      </c>
      <c r="E1205" s="888">
        <v>46254</v>
      </c>
      <c r="F1205" s="71">
        <f t="shared" ref="F1205" si="742">$L$7-E1205</f>
        <v>22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2">
        <f t="shared" si="739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40"/>
        <v>Availa-ZN 12046254</v>
      </c>
      <c r="U1205" s="797"/>
      <c r="V1205" s="797"/>
      <c r="W1205" s="785">
        <f>IFERROR(VLOOKUP($Q1205,'391'!$S:$AG,15,0),0)</f>
        <v>0</v>
      </c>
      <c r="X1205" s="1090">
        <f t="shared" si="716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199"/>
      <c r="B1206" s="2077"/>
      <c r="C1206" s="127"/>
      <c r="D1206" s="881" t="s">
        <v>10</v>
      </c>
      <c r="E1206" s="888">
        <v>46255</v>
      </c>
      <c r="F1206" s="71">
        <f t="shared" si="738"/>
        <v>21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3">
        <f t="shared" si="739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40"/>
        <v>Availa-ZN 12046255</v>
      </c>
      <c r="U1206" s="797"/>
      <c r="V1206" s="797"/>
      <c r="W1206" s="785">
        <f>IFERROR(VLOOKUP($Q1206,'391'!$S:$AG,15,0),0)</f>
        <v>0</v>
      </c>
      <c r="X1206" s="1090">
        <f t="shared" si="716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36"/>
      <c r="B1207" s="2073"/>
      <c r="C1207" s="127"/>
      <c r="D1207" s="881" t="s">
        <v>10</v>
      </c>
      <c r="E1207" s="888">
        <v>46225</v>
      </c>
      <c r="F1207" s="71">
        <f t="shared" ref="F1207:F1208" si="743">$L$7-E1207</f>
        <v>51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3">
        <f t="shared" si="739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40"/>
        <v>Availa-ZN 12046225</v>
      </c>
      <c r="U1207" s="797"/>
      <c r="V1207" s="797"/>
      <c r="W1207" s="785">
        <f>IFERROR(VLOOKUP($Q1207,'391'!$S:$AG,15,0),0)</f>
        <v>0</v>
      </c>
      <c r="X1207" s="1090">
        <f t="shared" si="716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37"/>
      <c r="B1208" s="2052"/>
      <c r="C1208" s="108" t="s">
        <v>46</v>
      </c>
      <c r="D1208" s="863" t="s">
        <v>10</v>
      </c>
      <c r="E1208" s="886">
        <v>46254</v>
      </c>
      <c r="F1208" s="39">
        <f t="shared" si="743"/>
        <v>22</v>
      </c>
      <c r="G1208" s="37">
        <v>196.08000000000007</v>
      </c>
      <c r="H1208" s="37"/>
      <c r="I1208" s="37">
        <f>+SUM(K1202:K1207)</f>
        <v>175</v>
      </c>
      <c r="J1208" s="1385">
        <f>+usage!I123</f>
        <v>233.11</v>
      </c>
      <c r="K1208" s="63">
        <f>IFERROR(SUMIF(INTAKE!$A:$A,$T1208,INTAKE!$P:$P),0)</f>
        <v>0</v>
      </c>
      <c r="L1208" s="1534">
        <f t="shared" si="739"/>
        <v>137.97000000000003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40"/>
        <v>Availa-ZN 120Feedmill46254</v>
      </c>
      <c r="U1208" s="797"/>
      <c r="V1208" s="797"/>
      <c r="W1208" s="785">
        <f>IFERROR(VLOOKUP($Q1208,'391'!$S:$AG,15,0),0)</f>
        <v>0</v>
      </c>
      <c r="X1208" s="1090">
        <f t="shared" si="716"/>
        <v>196.08000000000007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v>1596.0800000000002</v>
      </c>
      <c r="H1209" s="1337">
        <f t="shared" ref="H1209:L1209" si="744">+SUM(H1202:H1208)</f>
        <v>0</v>
      </c>
      <c r="I1209" s="1337">
        <f t="shared" si="744"/>
        <v>175</v>
      </c>
      <c r="J1209" s="1337">
        <f t="shared" si="744"/>
        <v>233.11</v>
      </c>
      <c r="K1209" s="1337">
        <f t="shared" si="744"/>
        <v>175</v>
      </c>
      <c r="L1209" s="1337">
        <f t="shared" si="744"/>
        <v>1362.97</v>
      </c>
      <c r="M1209" s="59">
        <f>IFERROR(R1209/$S$2,"")</f>
        <v>238.15555555555557</v>
      </c>
      <c r="N1209" s="854">
        <f>(L1209/M1209)</f>
        <v>5.7230241672109727</v>
      </c>
      <c r="O1209" s="59">
        <f>IFERROR(SUMIF(ETM!$A:$A,$Q1209,ETM!$E:$E),"")</f>
        <v>249.16666666666669</v>
      </c>
      <c r="P1209" s="880">
        <f>IFERROR(L1209/O1209,0)</f>
        <v>5.470113712374582</v>
      </c>
      <c r="Q1209" s="795" t="s">
        <v>839</v>
      </c>
      <c r="R1209" s="785">
        <f>IFERROR(VLOOKUP($Q1209,'391'!$S:$Z,8,0),"")</f>
        <v>1071.7</v>
      </c>
      <c r="S1209" s="796"/>
      <c r="T1209" s="797"/>
      <c r="U1209" s="797"/>
      <c r="V1209" s="797"/>
      <c r="W1209" s="785">
        <f>IFERROR(VLOOKUP($Q1209,'391'!$S:$AG,15,0),0)</f>
        <v>2512.23</v>
      </c>
      <c r="X1209" s="1090">
        <f t="shared" si="716"/>
        <v>-916.14999999999986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35" t="str">
        <f>IF(L1215=0,"",MAX($A$16:A1209)+1)</f>
        <v/>
      </c>
      <c r="B1210" s="2051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1127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4">
        <f t="shared" ref="L1210:L1221" si="745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16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36"/>
      <c r="B1211" s="2073"/>
      <c r="C1211" s="1199" t="s">
        <v>509</v>
      </c>
      <c r="D1211" s="881" t="s">
        <v>10</v>
      </c>
      <c r="E1211" s="882">
        <v>44693</v>
      </c>
      <c r="F1211" s="71">
        <f>$L$7-E1211</f>
        <v>1583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4">
        <f t="shared" si="745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16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6"/>
      <c r="B1212" s="2073"/>
      <c r="C1212" s="1199"/>
      <c r="D1212" s="881" t="s">
        <v>10</v>
      </c>
      <c r="E1212" s="882">
        <v>44693</v>
      </c>
      <c r="F1212" s="71">
        <f>$L$7-E1212</f>
        <v>1583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4">
        <f t="shared" si="745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16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199"/>
      <c r="B1213" s="2077"/>
      <c r="C1213" s="1199"/>
      <c r="D1213" s="881" t="s">
        <v>10</v>
      </c>
      <c r="E1213" s="882">
        <v>44693</v>
      </c>
      <c r="F1213" s="71">
        <f>$L$7-E1213</f>
        <v>1583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4">
        <f t="shared" si="745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16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37"/>
      <c r="B1214" s="2052"/>
      <c r="C1214" s="1010" t="s">
        <v>76</v>
      </c>
      <c r="D1214" s="884" t="s">
        <v>10</v>
      </c>
      <c r="E1214" s="885">
        <v>45149</v>
      </c>
      <c r="F1214" s="293">
        <f>$L$7-E1214</f>
        <v>1127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4">
        <f t="shared" si="745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16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46">+SUM(J1210:J1214)</f>
        <v>0</v>
      </c>
      <c r="K1215" s="1337">
        <f t="shared" si="746"/>
        <v>0</v>
      </c>
      <c r="L1215" s="1534">
        <f t="shared" si="745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1162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16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35">
        <f>IF(L1222=0,"",MAX($A$16:A1215)+1)</f>
        <v>80</v>
      </c>
      <c r="B1216" s="2032" t="s">
        <v>836</v>
      </c>
      <c r="C1216" s="127" t="s">
        <v>874</v>
      </c>
      <c r="D1216" s="881" t="s">
        <v>10</v>
      </c>
      <c r="E1216" s="882">
        <v>46254</v>
      </c>
      <c r="F1216" s="71">
        <f t="shared" ref="F1216:F1217" si="747">$L$7-E1216</f>
        <v>22</v>
      </c>
      <c r="G1216" s="64">
        <v>1175</v>
      </c>
      <c r="H1216" s="64"/>
      <c r="I1216" s="64"/>
      <c r="J1216" s="1367"/>
      <c r="K1216" s="64">
        <f>IFERROR(SUMIF(INTAKE!$A:$A,$T1216,INTAKE!$P:$P),0)</f>
        <v>275</v>
      </c>
      <c r="L1216" s="1703">
        <f t="shared" si="745"/>
        <v>900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48">$Q$1222&amp;C1216&amp;E1216</f>
        <v>Intelli Bond CV6.146254</v>
      </c>
      <c r="U1216" s="797"/>
      <c r="V1216" s="797"/>
      <c r="W1216" s="785">
        <f>IFERROR(VLOOKUP($Q1216,'391'!$S:$AG,15,0),0)</f>
        <v>0</v>
      </c>
      <c r="X1216" s="1090">
        <f t="shared" si="716"/>
        <v>1175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36"/>
      <c r="B1217" s="2033"/>
      <c r="C1217" s="127" t="s">
        <v>874</v>
      </c>
      <c r="D1217" s="881" t="s">
        <v>10</v>
      </c>
      <c r="E1217" s="882">
        <v>46270</v>
      </c>
      <c r="F1217" s="71">
        <f t="shared" si="747"/>
        <v>6</v>
      </c>
      <c r="G1217" s="64">
        <v>2000</v>
      </c>
      <c r="H1217" s="64"/>
      <c r="I1217" s="64"/>
      <c r="J1217" s="1367"/>
      <c r="K1217" s="64">
        <f>IFERROR(SUMIF(INTAKE!$A:$A,$T1217,INTAKE!$P:$P),0)</f>
        <v>0</v>
      </c>
      <c r="L1217" s="1703">
        <f t="shared" si="745"/>
        <v>2000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48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16"/>
        <v>2000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6"/>
      <c r="B1218" s="2033"/>
      <c r="C1218" s="127" t="s">
        <v>874</v>
      </c>
      <c r="D1218" s="881" t="s">
        <v>10</v>
      </c>
      <c r="E1218" s="882">
        <v>46275</v>
      </c>
      <c r="F1218" s="71">
        <f t="shared" ref="F1218" si="749">$L$7-E1218</f>
        <v>1</v>
      </c>
      <c r="G1218" s="64">
        <v>2000</v>
      </c>
      <c r="H1218" s="64"/>
      <c r="I1218" s="64"/>
      <c r="J1218" s="1367"/>
      <c r="K1218" s="64">
        <f>IFERROR(SUMIF(INTAKE!$A:$A,$T1218,INTAKE!$P:$P),0)</f>
        <v>0</v>
      </c>
      <c r="L1218" s="1703">
        <f t="shared" si="745"/>
        <v>2000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48"/>
        <v>Intelli Bond CV6.146275</v>
      </c>
      <c r="U1218" s="797"/>
      <c r="V1218" s="797"/>
      <c r="W1218" s="785">
        <f>IFERROR(VLOOKUP($Q1218,'391'!$S:$AG,15,0),0)</f>
        <v>0</v>
      </c>
      <c r="X1218" s="1090">
        <f t="shared" si="716"/>
        <v>2000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36"/>
      <c r="B1219" s="2033"/>
      <c r="C1219" s="127"/>
      <c r="D1219" s="881" t="s">
        <v>10</v>
      </c>
      <c r="E1219" s="882">
        <v>46254</v>
      </c>
      <c r="F1219" s="71">
        <f t="shared" ref="F1219:F1221" si="750">$L$7-E1219</f>
        <v>22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3">
        <f t="shared" si="745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48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16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36"/>
      <c r="B1220" s="2033"/>
      <c r="C1220" s="127"/>
      <c r="D1220" s="881" t="s">
        <v>10</v>
      </c>
      <c r="E1220" s="882">
        <v>44707</v>
      </c>
      <c r="F1220" s="71">
        <f t="shared" si="750"/>
        <v>1569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4">
        <f t="shared" si="745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48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16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37"/>
      <c r="B1221" s="2034"/>
      <c r="C1221" s="108" t="s">
        <v>46</v>
      </c>
      <c r="D1221" s="863" t="s">
        <v>10</v>
      </c>
      <c r="E1221" s="886">
        <v>46254</v>
      </c>
      <c r="F1221" s="39">
        <f t="shared" si="750"/>
        <v>22</v>
      </c>
      <c r="G1221" s="37">
        <v>96.490000000000009</v>
      </c>
      <c r="H1221" s="37"/>
      <c r="I1221" s="37">
        <f>SUM(K1216:K1221)</f>
        <v>275</v>
      </c>
      <c r="J1221" s="1385">
        <f>usage!I121</f>
        <v>225.42</v>
      </c>
      <c r="K1221" s="64">
        <f>IFERROR(SUMIF(INTAKE!$A:$A,$T1221,INTAKE!$P:$P),0)</f>
        <v>0</v>
      </c>
      <c r="L1221" s="1534">
        <f t="shared" si="745"/>
        <v>146.07000000000002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48"/>
        <v>Intelli Bond CFeedmill46254</v>
      </c>
      <c r="U1221" s="797"/>
      <c r="V1221" s="797"/>
      <c r="W1221" s="785">
        <f>IFERROR(VLOOKUP($Q1221,'391'!$S:$AG,15,0),0)</f>
        <v>0</v>
      </c>
      <c r="X1221" s="1090">
        <f t="shared" ref="X1221:X1283" si="751">G1221-W1221</f>
        <v>96.490000000000009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5271.49</v>
      </c>
      <c r="H1222" s="1337">
        <f t="shared" ref="H1222:J1222" si="752">SUM(H1216:H1221)</f>
        <v>0</v>
      </c>
      <c r="I1222" s="1337">
        <f t="shared" si="752"/>
        <v>275</v>
      </c>
      <c r="J1222" s="1337">
        <f t="shared" si="752"/>
        <v>225.42</v>
      </c>
      <c r="K1222" s="1337">
        <f>SUM(K1216:K1221)</f>
        <v>275</v>
      </c>
      <c r="L1222" s="1337">
        <f>SUM(L1216:L1221)</f>
        <v>5046.07</v>
      </c>
      <c r="M1222" s="59">
        <f>IFERROR(R1222/$S$2,"")</f>
        <v>175.60000000000002</v>
      </c>
      <c r="N1222" s="366">
        <f>IFERROR(L1222/M1222,0)</f>
        <v>28.736161731207282</v>
      </c>
      <c r="O1222" s="59">
        <f>IFERROR(SUMIF(ETM!$A:$A,$Q1222,ETM!$E:$E),"")</f>
        <v>163.5</v>
      </c>
      <c r="P1222" s="880">
        <f>IFERROR(L1222/O1222,0)</f>
        <v>30.862813455657491</v>
      </c>
      <c r="Q1222" s="795" t="s">
        <v>836</v>
      </c>
      <c r="R1222" s="785">
        <f>IFERROR(VLOOKUP($Q1222,'391'!$S:$Z,8,0),"")</f>
        <v>790.2</v>
      </c>
      <c r="S1222" s="796"/>
      <c r="T1222" s="797"/>
      <c r="U1222" s="797"/>
      <c r="V1222" s="797"/>
      <c r="W1222" s="785">
        <f>IFERROR(VLOOKUP($Q1222,'391'!$S:$AG,15,0),0)</f>
        <v>4098.88</v>
      </c>
      <c r="X1222" s="1090">
        <f t="shared" si="751"/>
        <v>1172.6099999999997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35" t="str">
        <f>IF(L1229=0,"",MAX($A$16:A1222)+1)</f>
        <v/>
      </c>
      <c r="B1223" s="2066" t="s">
        <v>1143</v>
      </c>
      <c r="C1223" s="127"/>
      <c r="D1223" s="881" t="s">
        <v>10</v>
      </c>
      <c r="E1223" s="882">
        <v>44853</v>
      </c>
      <c r="F1223" s="71">
        <f t="shared" ref="F1223:F1228" si="753">$L$7-E1223</f>
        <v>1423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4">
        <f t="shared" ref="L1223:L1228" si="754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55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51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36"/>
      <c r="B1224" s="2068"/>
      <c r="C1224" s="127"/>
      <c r="D1224" s="881" t="s">
        <v>10</v>
      </c>
      <c r="E1224" s="882">
        <v>45801</v>
      </c>
      <c r="F1224" s="71">
        <f t="shared" si="753"/>
        <v>475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3">
        <f t="shared" si="754"/>
        <v>0</v>
      </c>
      <c r="M1224" s="48"/>
      <c r="N1224" s="48"/>
      <c r="O1224" s="48"/>
      <c r="P1224" s="738"/>
      <c r="Q1224" s="795" t="s">
        <v>1145</v>
      </c>
      <c r="R1224" s="785" t="str">
        <f>IFERROR(VLOOKUP($Q1224,'391'!$S:$Z,8,0),"0")</f>
        <v>0</v>
      </c>
      <c r="S1224" s="796"/>
      <c r="T1224" s="797" t="str">
        <f t="shared" si="755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51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6"/>
      <c r="B1225" s="2068"/>
      <c r="C1225" s="127" t="s">
        <v>581</v>
      </c>
      <c r="D1225" s="881" t="s">
        <v>10</v>
      </c>
      <c r="E1225" s="882">
        <v>45862</v>
      </c>
      <c r="F1225" s="71">
        <f t="shared" ref="F1225" si="756">$L$7-E1225</f>
        <v>414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3">
        <f t="shared" si="754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55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51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199"/>
      <c r="B1226" s="2067"/>
      <c r="C1226" s="127"/>
      <c r="D1226" s="881" t="s">
        <v>10</v>
      </c>
      <c r="E1226" s="882">
        <v>45862</v>
      </c>
      <c r="F1226" s="71">
        <f t="shared" si="753"/>
        <v>414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3">
        <f t="shared" si="754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55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51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6"/>
      <c r="B1227" s="2068"/>
      <c r="C1227" s="127"/>
      <c r="D1227" s="881" t="s">
        <v>10</v>
      </c>
      <c r="E1227" s="882">
        <v>44755</v>
      </c>
      <c r="F1227" s="71">
        <f t="shared" si="753"/>
        <v>1521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4">
        <f t="shared" si="754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55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51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37"/>
      <c r="B1228" s="2069"/>
      <c r="C1228" s="108" t="s">
        <v>46</v>
      </c>
      <c r="D1228" s="863" t="s">
        <v>10</v>
      </c>
      <c r="E1228" s="886">
        <v>45862</v>
      </c>
      <c r="F1228" s="39">
        <f t="shared" si="753"/>
        <v>414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4">
        <f t="shared" si="754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55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51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57">SUM(H1223:H1228)</f>
        <v>0</v>
      </c>
      <c r="I1229" s="1337">
        <f t="shared" si="757"/>
        <v>0</v>
      </c>
      <c r="J1229" s="1337">
        <f t="shared" ref="J1229:L1229" si="758">SUM(J1223:J1228)</f>
        <v>0</v>
      </c>
      <c r="K1229" s="1337">
        <f t="shared" si="758"/>
        <v>0</v>
      </c>
      <c r="L1229" s="1337">
        <f t="shared" si="758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51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35">
        <f>IF(L1237=0,"",MAX($A$16:A1229)+1)</f>
        <v>81</v>
      </c>
      <c r="B1230" s="2032" t="s">
        <v>1514</v>
      </c>
      <c r="C1230" s="127"/>
      <c r="D1230" s="881" t="s">
        <v>10</v>
      </c>
      <c r="E1230" s="888">
        <v>46031</v>
      </c>
      <c r="F1230" s="70">
        <f t="shared" ref="F1230:F1232" si="759">$L$7-E1230</f>
        <v>245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3">
        <f t="shared" ref="L1230:L1236" si="760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61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51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36"/>
      <c r="B1231" s="2033"/>
      <c r="C1231" s="127"/>
      <c r="D1231" s="881" t="s">
        <v>10</v>
      </c>
      <c r="E1231" s="888">
        <v>46141</v>
      </c>
      <c r="F1231" s="70">
        <f t="shared" si="759"/>
        <v>135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3">
        <f t="shared" si="760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61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51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36"/>
      <c r="B1232" s="2033"/>
      <c r="C1232" s="127" t="s">
        <v>138</v>
      </c>
      <c r="D1232" s="881" t="s">
        <v>10</v>
      </c>
      <c r="E1232" s="888">
        <v>46247</v>
      </c>
      <c r="F1232" s="70">
        <f t="shared" si="759"/>
        <v>29</v>
      </c>
      <c r="G1232" s="63">
        <v>175</v>
      </c>
      <c r="H1232" s="63"/>
      <c r="I1232" s="63"/>
      <c r="J1232" s="1378"/>
      <c r="K1232" s="63">
        <f>IFERROR(SUMIF(INTAKE!$A:$A,$T1232,INTAKE!$P:$P),0)</f>
        <v>50</v>
      </c>
      <c r="L1232" s="1703">
        <f t="shared" si="760"/>
        <v>125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61"/>
        <v>Microplex 1000ppm(USA)Z5.146247</v>
      </c>
      <c r="U1232" s="797"/>
      <c r="V1232" s="797"/>
      <c r="W1232" s="785">
        <f>IFERROR(VLOOKUP($Q1232,'391'!$S:$AG,15,0),0)</f>
        <v>0</v>
      </c>
      <c r="X1232" s="1090">
        <f t="shared" si="751"/>
        <v>175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36"/>
      <c r="B1233" s="2033"/>
      <c r="C1233" s="127" t="s">
        <v>138</v>
      </c>
      <c r="D1233" s="881" t="s">
        <v>10</v>
      </c>
      <c r="E1233" s="888">
        <v>46262</v>
      </c>
      <c r="F1233" s="70">
        <f t="shared" ref="F1233:F1236" si="762">$L$7-E1233</f>
        <v>14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4">
        <f t="shared" si="760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61"/>
        <v>Microplex 1000ppm(USA)Z5.146262</v>
      </c>
      <c r="U1233" s="797"/>
      <c r="V1233" s="797"/>
      <c r="W1233" s="785">
        <f>IFERROR(VLOOKUP($Q1233,'391'!$S:$AG,15,0),0)</f>
        <v>0</v>
      </c>
      <c r="X1233" s="1090">
        <f t="shared" si="751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customHeight="1" x14ac:dyDescent="0.25">
      <c r="A1234" s="2036"/>
      <c r="B1234" s="2033"/>
      <c r="C1234" s="127" t="s">
        <v>138</v>
      </c>
      <c r="D1234" s="881" t="s">
        <v>10</v>
      </c>
      <c r="E1234" s="888">
        <v>46275</v>
      </c>
      <c r="F1234" s="70">
        <f t="shared" si="762"/>
        <v>1</v>
      </c>
      <c r="G1234" s="63">
        <v>500</v>
      </c>
      <c r="H1234" s="63"/>
      <c r="I1234" s="63"/>
      <c r="J1234" s="1378"/>
      <c r="K1234" s="63">
        <f>IFERROR(SUMIF(INTAKE!$A:$A,$T1234,INTAKE!$P:$P),0)</f>
        <v>0</v>
      </c>
      <c r="L1234" s="1534">
        <f t="shared" si="760"/>
        <v>500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61"/>
        <v>Microplex 1000ppm(USA)Z5.146275</v>
      </c>
      <c r="U1234" s="797"/>
      <c r="V1234" s="797"/>
      <c r="W1234" s="785">
        <f>IFERROR(VLOOKUP($Q1234,'391'!$S:$AG,15,0),0)</f>
        <v>0</v>
      </c>
      <c r="X1234" s="1090">
        <f t="shared" si="751"/>
        <v>500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36"/>
      <c r="B1235" s="2033"/>
      <c r="C1235" s="127"/>
      <c r="D1235" s="881" t="s">
        <v>10</v>
      </c>
      <c r="E1235" s="888">
        <v>44309</v>
      </c>
      <c r="F1235" s="70">
        <f t="shared" si="762"/>
        <v>1967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4">
        <f t="shared" si="760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61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51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37"/>
      <c r="B1236" s="2034"/>
      <c r="C1236" s="108" t="s">
        <v>46</v>
      </c>
      <c r="D1236" s="863" t="s">
        <v>10</v>
      </c>
      <c r="E1236" s="886">
        <v>46247</v>
      </c>
      <c r="F1236" s="39">
        <f t="shared" si="762"/>
        <v>29</v>
      </c>
      <c r="G1236" s="37">
        <v>98.080000000000013</v>
      </c>
      <c r="H1236" s="37"/>
      <c r="I1236" s="37">
        <f>+SUM(K1230:K1235)</f>
        <v>50</v>
      </c>
      <c r="J1236" s="1385">
        <f>+usage!I128</f>
        <v>41.76</v>
      </c>
      <c r="K1236" s="63">
        <f>IFERROR(SUMIF(INTAKE!$A:$A,$T1236,INTAKE!$P:$P),0)</f>
        <v>0</v>
      </c>
      <c r="L1236" s="1534">
        <f t="shared" si="760"/>
        <v>106.32000000000002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61"/>
        <v>Microplex 1000ppm(USA)Feedmill46247</v>
      </c>
      <c r="U1236" s="797"/>
      <c r="V1236" s="797"/>
      <c r="W1236" s="785">
        <f>IFERROR(VLOOKUP($Q1236,'391'!$S:$AG,15,0),0)</f>
        <v>0</v>
      </c>
      <c r="X1236" s="1090">
        <f t="shared" si="751"/>
        <v>98.080000000000013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1273.08</v>
      </c>
      <c r="H1237" s="1337">
        <f t="shared" ref="H1237:I1237" si="763">+SUM(H1230:H1236)</f>
        <v>0</v>
      </c>
      <c r="I1237" s="1337">
        <f t="shared" si="763"/>
        <v>50</v>
      </c>
      <c r="J1237" s="1337">
        <f t="shared" ref="J1237:L1237" si="764">+SUM(J1230:J1236)</f>
        <v>41.76</v>
      </c>
      <c r="K1237" s="1337">
        <f t="shared" si="764"/>
        <v>50</v>
      </c>
      <c r="L1237" s="1337">
        <f t="shared" si="764"/>
        <v>1231.32</v>
      </c>
      <c r="M1237" s="59">
        <f>IFERROR(R1237/$S$2,"")</f>
        <v>25.893333333333331</v>
      </c>
      <c r="N1237" s="366">
        <f>IFERROR((L1237/M1237),"")</f>
        <v>47.553553038105051</v>
      </c>
      <c r="O1237" s="59">
        <f>IFERROR(SUMIF(ETM!$A:$A,$Q1237,ETM!$E:$E),"")</f>
        <v>34.333333333333336</v>
      </c>
      <c r="P1237" s="880">
        <f>IFERROR(L1237/O1237,0)</f>
        <v>35.863689320388346</v>
      </c>
      <c r="Q1237" s="795" t="s">
        <v>838</v>
      </c>
      <c r="R1237" s="785">
        <f>IFERROR(VLOOKUP($Q1237,'391'!$S:$Z,8,0),"")</f>
        <v>116.52</v>
      </c>
      <c r="S1237" s="796"/>
      <c r="T1237" s="797"/>
      <c r="U1237" s="797"/>
      <c r="V1237" s="797"/>
      <c r="W1237" s="785">
        <f>IFERROR(VLOOKUP($Q1237,'391'!$S:$AG,15,0),0)</f>
        <v>831.32</v>
      </c>
      <c r="X1237" s="1090">
        <f t="shared" si="751"/>
        <v>441.75999999999988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35" t="str">
        <f>IF(L1241=0,"",MAX($A$16:A1237)+1)</f>
        <v/>
      </c>
      <c r="B1238" s="2051" t="s">
        <v>1626</v>
      </c>
      <c r="C1238" s="160"/>
      <c r="D1238" s="936" t="s">
        <v>10</v>
      </c>
      <c r="E1238" s="882">
        <v>44148</v>
      </c>
      <c r="F1238" s="71">
        <f>$L$7-E1238</f>
        <v>2128</v>
      </c>
      <c r="G1238" s="64">
        <v>0</v>
      </c>
      <c r="H1238" s="1332"/>
      <c r="I1238" s="1332"/>
      <c r="J1238" s="1418"/>
      <c r="K1238" s="1410"/>
      <c r="L1238" s="1534">
        <f t="shared" ref="L1238:L1248" si="765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51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36"/>
      <c r="B1239" s="2073"/>
      <c r="C1239" s="160"/>
      <c r="D1239" s="936" t="s">
        <v>10</v>
      </c>
      <c r="E1239" s="882">
        <v>45870</v>
      </c>
      <c r="F1239" s="71">
        <f>$L$7-E1239</f>
        <v>406</v>
      </c>
      <c r="G1239" s="64">
        <v>0</v>
      </c>
      <c r="H1239" s="64"/>
      <c r="I1239" s="64"/>
      <c r="J1239" s="1367"/>
      <c r="K1239" s="1410"/>
      <c r="L1239" s="1534">
        <f t="shared" si="765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51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37"/>
      <c r="B1240" s="2052"/>
      <c r="C1240" s="108" t="s">
        <v>76</v>
      </c>
      <c r="D1240" s="863" t="s">
        <v>10</v>
      </c>
      <c r="E1240" s="886">
        <v>45870</v>
      </c>
      <c r="F1240" s="39">
        <f>$L$7-E1240</f>
        <v>406</v>
      </c>
      <c r="G1240" s="37">
        <v>0</v>
      </c>
      <c r="H1240" s="37"/>
      <c r="I1240" s="56">
        <f>SUM(K1238:K1239)</f>
        <v>0</v>
      </c>
      <c r="J1240" s="1369"/>
      <c r="K1240" s="56"/>
      <c r="L1240" s="1534">
        <f t="shared" si="765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51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1627</v>
      </c>
      <c r="C1241" s="575"/>
      <c r="D1241" s="900"/>
      <c r="E1241" s="901"/>
      <c r="F1241" s="902"/>
      <c r="G1241" s="1337">
        <v>0</v>
      </c>
      <c r="H1241" s="1337">
        <f t="shared" ref="H1241:L1241" si="766">+SUM(H1238:H1240)</f>
        <v>0</v>
      </c>
      <c r="I1241" s="1337">
        <f t="shared" si="766"/>
        <v>0</v>
      </c>
      <c r="J1241" s="1337">
        <f>+SUM(J1238:J1240)</f>
        <v>0</v>
      </c>
      <c r="K1241" s="1337">
        <f t="shared" si="766"/>
        <v>0</v>
      </c>
      <c r="L1241" s="1337">
        <f t="shared" si="766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1628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51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35">
        <f>IF(L1249=0,"",MAX($A$16:A1241)+1)</f>
        <v>82</v>
      </c>
      <c r="B1242" s="2051" t="s">
        <v>1594</v>
      </c>
      <c r="C1242" s="127"/>
      <c r="D1242" s="881" t="s">
        <v>10</v>
      </c>
      <c r="E1242" s="882">
        <v>44764</v>
      </c>
      <c r="F1242" s="71">
        <f t="shared" ref="F1242:F1248" si="767">$L$7-E1242</f>
        <v>1512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4">
        <f t="shared" si="765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68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51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36"/>
      <c r="B1243" s="2073"/>
      <c r="C1243" s="127"/>
      <c r="D1243" s="881" t="s">
        <v>10</v>
      </c>
      <c r="E1243" s="882">
        <v>44837</v>
      </c>
      <c r="F1243" s="71">
        <f t="shared" si="767"/>
        <v>1439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4">
        <f t="shared" si="765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68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51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6"/>
      <c r="B1244" s="2073"/>
      <c r="C1244" s="127"/>
      <c r="D1244" s="881" t="s">
        <v>10</v>
      </c>
      <c r="E1244" s="882">
        <v>45444</v>
      </c>
      <c r="F1244" s="71">
        <f t="shared" si="767"/>
        <v>832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4">
        <f t="shared" si="765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68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51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6"/>
      <c r="B1245" s="2073"/>
      <c r="C1245" s="127"/>
      <c r="D1245" s="881" t="s">
        <v>10</v>
      </c>
      <c r="E1245" s="882">
        <v>45801</v>
      </c>
      <c r="F1245" s="71">
        <f t="shared" ref="F1245:F1246" si="769">$L$7-E1245</f>
        <v>475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3">
        <f t="shared" si="765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68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51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36"/>
      <c r="B1246" s="2073"/>
      <c r="C1246" s="127" t="s">
        <v>1313</v>
      </c>
      <c r="D1246" s="881" t="s">
        <v>10</v>
      </c>
      <c r="E1246" s="882">
        <v>46127</v>
      </c>
      <c r="F1246" s="71">
        <f t="shared" si="769"/>
        <v>149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3">
        <f t="shared" si="765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51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36"/>
      <c r="B1247" s="2073"/>
      <c r="C1247" s="127"/>
      <c r="D1247" s="881" t="s">
        <v>10</v>
      </c>
      <c r="E1247" s="882">
        <v>46127</v>
      </c>
      <c r="F1247" s="71">
        <f t="shared" si="767"/>
        <v>149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3">
        <f t="shared" si="765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68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51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37"/>
      <c r="B1248" s="2052"/>
      <c r="C1248" s="108" t="s">
        <v>46</v>
      </c>
      <c r="D1248" s="863" t="s">
        <v>10</v>
      </c>
      <c r="E1248" s="886">
        <v>46127</v>
      </c>
      <c r="F1248" s="39">
        <f t="shared" si="767"/>
        <v>149</v>
      </c>
      <c r="G1248" s="37">
        <v>9.9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4">
        <f t="shared" si="765"/>
        <v>9.9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68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51"/>
        <v>9.9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134.9</v>
      </c>
      <c r="H1249" s="1337">
        <f t="shared" ref="H1249:J1249" si="770">+SUM(H1242:H1248)</f>
        <v>0</v>
      </c>
      <c r="I1249" s="1337">
        <f t="shared" si="770"/>
        <v>0</v>
      </c>
      <c r="J1249" s="1337">
        <f t="shared" si="770"/>
        <v>0</v>
      </c>
      <c r="K1249" s="1337">
        <f>+SUM(K1242:K1248)</f>
        <v>0</v>
      </c>
      <c r="L1249" s="1337">
        <f>+SUM(L1242:L1248)</f>
        <v>134.9</v>
      </c>
      <c r="M1249" s="59">
        <f>IFERROR(S1249/$S$2,"")</f>
        <v>0</v>
      </c>
      <c r="N1249" s="366">
        <f>IFERROR(L1249/M1249,0)</f>
        <v>0</v>
      </c>
      <c r="O1249" s="59">
        <f>IFERROR(SUMIF(ETM!$A:$A,$Q1249,ETM!$E:$E),"")</f>
        <v>0</v>
      </c>
      <c r="P1249" s="880">
        <f>IFERROR(L1249/O1249,0)</f>
        <v>0</v>
      </c>
      <c r="Q1249" s="795" t="s">
        <v>1593</v>
      </c>
      <c r="R1249" s="785">
        <f>IFERROR(VLOOKUP($Q1249,'391'!$S:$Z,8,0),"0")</f>
        <v>0</v>
      </c>
      <c r="S1249" s="796">
        <f>+R1248+R1249</f>
        <v>0</v>
      </c>
      <c r="T1249" s="797"/>
      <c r="U1249" s="797"/>
      <c r="V1249" s="797"/>
      <c r="W1249" s="785">
        <f>IFERROR(VLOOKUP($Q1249,'391'!$S:$AG,15,0),0)</f>
        <v>143.30000000000001</v>
      </c>
      <c r="X1249" s="1090">
        <f t="shared" si="751"/>
        <v>-8.4000000000000057</v>
      </c>
      <c r="Y1249" s="1088">
        <f>+W1248+W1249+W1246</f>
        <v>143.30000000000001</v>
      </c>
      <c r="Z1249" s="1101">
        <f>+G1249-Y1249</f>
        <v>-8.4000000000000057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35">
        <f>IF(L1254=0,"",MAX($A$16:A1249)+1)</f>
        <v>83</v>
      </c>
      <c r="B1250" s="2051" t="s">
        <v>1592</v>
      </c>
      <c r="C1250" s="114"/>
      <c r="D1250" s="866" t="s">
        <v>10</v>
      </c>
      <c r="E1250" s="867">
        <v>45859</v>
      </c>
      <c r="F1250" s="75">
        <f>$L$7-E1250</f>
        <v>417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3">
        <f t="shared" ref="L1250:L1283" si="771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51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36"/>
      <c r="B1251" s="2073"/>
      <c r="C1251" s="114" t="s">
        <v>1875</v>
      </c>
      <c r="D1251" s="866" t="s">
        <v>10</v>
      </c>
      <c r="E1251" s="867">
        <v>46261</v>
      </c>
      <c r="F1251" s="75">
        <f>$L$7-E1251</f>
        <v>15</v>
      </c>
      <c r="G1251" s="64">
        <v>3000</v>
      </c>
      <c r="H1251" s="64"/>
      <c r="I1251" s="64"/>
      <c r="J1251" s="1367"/>
      <c r="K1251" s="64">
        <f>IFERROR(SUMIF(INTAKE!$A:$A,$T1251,INTAKE!$P:$P),0)</f>
        <v>0</v>
      </c>
      <c r="L1251" s="1703">
        <f t="shared" si="771"/>
        <v>3000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51"/>
        <v>3000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36"/>
      <c r="B1252" s="2073"/>
      <c r="C1252" s="114"/>
      <c r="D1252" s="866" t="s">
        <v>10</v>
      </c>
      <c r="E1252" s="867">
        <v>46225</v>
      </c>
      <c r="F1252" s="75">
        <f>$L$7-E1252</f>
        <v>51</v>
      </c>
      <c r="G1252" s="64">
        <v>0</v>
      </c>
      <c r="H1252" s="64"/>
      <c r="I1252" s="64"/>
      <c r="J1252" s="1367"/>
      <c r="K1252" s="64">
        <f>IFERROR(SUMIF(INTAKE!$A:$A,$T1252,INTAKE!$P:$P),0)</f>
        <v>0</v>
      </c>
      <c r="L1252" s="1703">
        <f t="shared" si="771"/>
        <v>0</v>
      </c>
      <c r="M1252" s="1453"/>
      <c r="N1252" s="1460"/>
      <c r="O1252" s="1860"/>
      <c r="P1252" s="1861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Republic)46225</v>
      </c>
      <c r="U1252" s="797"/>
      <c r="V1252" s="797"/>
      <c r="W1252" s="785">
        <f>IFERROR(VLOOKUP($Q1252,'391'!$S:$AG,15,0),0)</f>
        <v>0</v>
      </c>
      <c r="X1252" s="1090">
        <f t="shared" si="751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37"/>
      <c r="B1253" s="2052"/>
      <c r="C1253" s="108" t="s">
        <v>76</v>
      </c>
      <c r="D1253" s="863" t="s">
        <v>10</v>
      </c>
      <c r="E1253" s="886">
        <v>46261</v>
      </c>
      <c r="F1253" s="39">
        <f>$L$7-E1253</f>
        <v>15</v>
      </c>
      <c r="G1253" s="37">
        <v>330.48000000000008</v>
      </c>
      <c r="H1253" s="37"/>
      <c r="I1253" s="37">
        <f>+SUM(K1250:K1252)</f>
        <v>0</v>
      </c>
      <c r="J1253" s="1385">
        <f>usage!I71</f>
        <v>291.86</v>
      </c>
      <c r="K1253" s="37"/>
      <c r="L1253" s="1534">
        <f t="shared" si="771"/>
        <v>38.620000000000061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72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51"/>
        <v>330.48000000000008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3330.48</v>
      </c>
      <c r="H1254" s="1337">
        <f t="shared" ref="H1254:L1254" si="773">+SUM(H1250:H1253)</f>
        <v>0</v>
      </c>
      <c r="I1254" s="1337">
        <f t="shared" si="773"/>
        <v>0</v>
      </c>
      <c r="J1254" s="1337">
        <f t="shared" si="773"/>
        <v>291.86</v>
      </c>
      <c r="K1254" s="1337">
        <f t="shared" si="773"/>
        <v>0</v>
      </c>
      <c r="L1254" s="1337">
        <f t="shared" si="773"/>
        <v>3038.62</v>
      </c>
      <c r="M1254" s="59">
        <f>IFERROR(R1254/$S$2,"")</f>
        <v>155.33333333333334</v>
      </c>
      <c r="N1254" s="366">
        <f>IFERROR(L1254/M1254,0)</f>
        <v>19.561931330472103</v>
      </c>
      <c r="O1254" s="59">
        <f>IFERROR(SUMIF(ETM!$A:$A,$Q1254,ETM!$E:$E),"")</f>
        <v>108.83333333333334</v>
      </c>
      <c r="P1254" s="880">
        <f>IFERROR(L1254/O1254,0)</f>
        <v>27.919938744257269</v>
      </c>
      <c r="Q1254" s="666" t="s">
        <v>1595</v>
      </c>
      <c r="R1254" s="785">
        <f>IFERROR(VLOOKUP($Q1254,'391'!$S:$Z,8,0),"")</f>
        <v>699</v>
      </c>
      <c r="S1254" s="796"/>
      <c r="T1254" s="797"/>
      <c r="U1254" s="797"/>
      <c r="V1254" s="797"/>
      <c r="W1254" s="785">
        <f>IFERROR(VLOOKUP($Q1254,'391'!$S:$AG,15,0),0)</f>
        <v>3946.62</v>
      </c>
      <c r="X1254" s="1090">
        <f>G1254-W1254</f>
        <v>-616.13999999999987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91" t="str">
        <f>IF(L1260=0,"",MAX($A$16:A1254)+1)</f>
        <v/>
      </c>
      <c r="B1255" s="2016" t="s">
        <v>529</v>
      </c>
      <c r="C1255" s="143" t="s">
        <v>1313</v>
      </c>
      <c r="D1255" s="881" t="s">
        <v>10</v>
      </c>
      <c r="E1255" s="882">
        <v>45295</v>
      </c>
      <c r="F1255" s="71">
        <f>$L$7-E1255</f>
        <v>981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4">
        <f t="shared" si="771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51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92"/>
      <c r="B1256" s="2017"/>
      <c r="C1256" s="143"/>
      <c r="D1256" s="881" t="s">
        <v>10</v>
      </c>
      <c r="E1256" s="882">
        <v>45295</v>
      </c>
      <c r="F1256" s="71">
        <f>$L$7-E1256</f>
        <v>981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4">
        <f t="shared" si="771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51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92"/>
      <c r="B1257" s="2017"/>
      <c r="C1257" s="143"/>
      <c r="D1257" s="881" t="s">
        <v>10</v>
      </c>
      <c r="E1257" s="882">
        <v>45140</v>
      </c>
      <c r="F1257" s="71">
        <f>$L$7-E1257</f>
        <v>1136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4">
        <f t="shared" si="771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51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92"/>
      <c r="B1258" s="2017"/>
      <c r="C1258" s="143"/>
      <c r="D1258" s="881" t="s">
        <v>10</v>
      </c>
      <c r="E1258" s="882">
        <v>43167</v>
      </c>
      <c r="F1258" s="71">
        <f>$L$7-E1258</f>
        <v>3109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4">
        <f t="shared" si="771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51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93"/>
      <c r="B1259" s="2198"/>
      <c r="C1259" s="138" t="s">
        <v>76</v>
      </c>
      <c r="D1259" s="863" t="s">
        <v>10</v>
      </c>
      <c r="E1259" s="886">
        <v>45295</v>
      </c>
      <c r="F1259" s="39">
        <f>$L$7-E1259</f>
        <v>981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4">
        <f t="shared" si="771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51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74">+SUM(H1255:H1259)</f>
        <v>0</v>
      </c>
      <c r="I1260" s="1337">
        <f t="shared" si="774"/>
        <v>0</v>
      </c>
      <c r="J1260" s="1337">
        <f t="shared" si="774"/>
        <v>0</v>
      </c>
      <c r="K1260" s="1337">
        <f t="shared" si="774"/>
        <v>0</v>
      </c>
      <c r="L1260" s="1534">
        <f t="shared" si="771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51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91" t="str">
        <f>IF(L1266=0,"",MAX($A$16:A1260)+1)</f>
        <v/>
      </c>
      <c r="B1261" s="2023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2108</v>
      </c>
      <c r="G1261" s="64">
        <v>0</v>
      </c>
      <c r="H1261" s="1358"/>
      <c r="I1261" s="1358"/>
      <c r="J1261" s="1411"/>
      <c r="K1261" s="1358"/>
      <c r="L1261" s="1534">
        <f t="shared" si="771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51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92"/>
      <c r="B1262" s="2024"/>
      <c r="C1262" s="143" t="s">
        <v>197</v>
      </c>
      <c r="D1262" s="881" t="s">
        <v>10</v>
      </c>
      <c r="E1262" s="882">
        <v>42733</v>
      </c>
      <c r="F1262" s="71">
        <f>$L$7-E1262</f>
        <v>3543</v>
      </c>
      <c r="G1262" s="64">
        <v>0</v>
      </c>
      <c r="H1262" s="64"/>
      <c r="I1262" s="64"/>
      <c r="J1262" s="1367"/>
      <c r="K1262" s="64"/>
      <c r="L1262" s="1534">
        <f t="shared" si="771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51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92"/>
      <c r="B1263" s="2024"/>
      <c r="C1263" s="143" t="s">
        <v>197</v>
      </c>
      <c r="D1263" s="881" t="s">
        <v>10</v>
      </c>
      <c r="E1263" s="882">
        <v>42746</v>
      </c>
      <c r="F1263" s="71">
        <f>$L$7-E1263</f>
        <v>3530</v>
      </c>
      <c r="G1263" s="64">
        <v>0</v>
      </c>
      <c r="H1263" s="63"/>
      <c r="I1263" s="63"/>
      <c r="J1263" s="1378"/>
      <c r="K1263" s="63"/>
      <c r="L1263" s="1534">
        <f t="shared" si="771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51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92"/>
      <c r="B1264" s="2024"/>
      <c r="C1264" s="143" t="s">
        <v>197</v>
      </c>
      <c r="D1264" s="881" t="s">
        <v>10</v>
      </c>
      <c r="E1264" s="882">
        <v>42755</v>
      </c>
      <c r="F1264" s="71">
        <f>$L$7-E1264</f>
        <v>3521</v>
      </c>
      <c r="G1264" s="64">
        <v>0</v>
      </c>
      <c r="H1264" s="63"/>
      <c r="I1264" s="63"/>
      <c r="J1264" s="1378"/>
      <c r="K1264" s="63"/>
      <c r="L1264" s="1534">
        <f t="shared" si="771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51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93"/>
      <c r="B1265" s="2204"/>
      <c r="C1265" s="138" t="s">
        <v>76</v>
      </c>
      <c r="D1265" s="863" t="s">
        <v>10</v>
      </c>
      <c r="E1265" s="886">
        <v>43252</v>
      </c>
      <c r="F1265" s="39">
        <f>$L$7-E1265</f>
        <v>3024</v>
      </c>
      <c r="G1265" s="1308">
        <v>0</v>
      </c>
      <c r="H1265" s="1308"/>
      <c r="I1265" s="1308"/>
      <c r="J1265" s="1417">
        <f>usage!I140</f>
        <v>0</v>
      </c>
      <c r="K1265" s="1308"/>
      <c r="L1265" s="1534">
        <f t="shared" si="771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51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75">+SUM(H1261:H1265)</f>
        <v>0</v>
      </c>
      <c r="I1266" s="1337">
        <f t="shared" si="775"/>
        <v>0</v>
      </c>
      <c r="J1266" s="1337">
        <f t="shared" si="775"/>
        <v>0</v>
      </c>
      <c r="K1266" s="1337">
        <f>+SUM(K1261:K1265)</f>
        <v>0</v>
      </c>
      <c r="L1266" s="1534">
        <f t="shared" si="771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51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91">
        <f>IF(L1272=0,"",MAX($A$16:A1266)+1)</f>
        <v>84</v>
      </c>
      <c r="B1267" s="2074" t="s">
        <v>1513</v>
      </c>
      <c r="C1267" s="120"/>
      <c r="D1267" s="881" t="s">
        <v>10</v>
      </c>
      <c r="E1267" s="882">
        <v>46052</v>
      </c>
      <c r="F1267" s="71">
        <f t="shared" ref="F1267:F1268" si="776">$L$7-E1267</f>
        <v>224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3">
        <f t="shared" si="771"/>
        <v>0</v>
      </c>
      <c r="M1267" s="50"/>
      <c r="N1267" s="167"/>
      <c r="O1267" s="50"/>
      <c r="P1267" s="1741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51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92"/>
      <c r="B1268" s="2075"/>
      <c r="C1268" s="120" t="s">
        <v>1213</v>
      </c>
      <c r="D1268" s="881" t="s">
        <v>10</v>
      </c>
      <c r="E1268" s="882">
        <v>46247</v>
      </c>
      <c r="F1268" s="71">
        <f t="shared" si="776"/>
        <v>29</v>
      </c>
      <c r="G1268" s="1381">
        <v>50</v>
      </c>
      <c r="H1268" s="1381"/>
      <c r="I1268" s="1381"/>
      <c r="J1268" s="1900"/>
      <c r="K1268" s="1348">
        <f>IFERROR(SUMIF(INTAKE!$A:$A,$T1268,INTAKE!$P:$P),0)</f>
        <v>25</v>
      </c>
      <c r="L1268" s="1703">
        <f t="shared" si="771"/>
        <v>25</v>
      </c>
      <c r="M1268" s="48"/>
      <c r="N1268" s="163"/>
      <c r="O1268" s="48"/>
      <c r="P1268" s="1741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(Monensin)E346247</v>
      </c>
      <c r="U1268" s="797"/>
      <c r="V1268" s="797"/>
      <c r="W1268" s="785">
        <f>IFERROR(VLOOKUP($Q1268,'391'!$S:$AG,15,0),0)</f>
        <v>0</v>
      </c>
      <c r="X1268" s="1090">
        <f t="shared" si="751"/>
        <v>50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customHeight="1" x14ac:dyDescent="0.25">
      <c r="A1269" s="2092"/>
      <c r="B1269" s="2075"/>
      <c r="C1269" s="120" t="s">
        <v>1213</v>
      </c>
      <c r="D1269" s="881" t="s">
        <v>10</v>
      </c>
      <c r="E1269" s="882">
        <v>46262</v>
      </c>
      <c r="F1269" s="71">
        <f t="shared" ref="F1269" si="777">$L$7-E1269</f>
        <v>14</v>
      </c>
      <c r="G1269" s="1381">
        <v>100</v>
      </c>
      <c r="H1269" s="1381"/>
      <c r="I1269" s="1381"/>
      <c r="J1269" s="1900"/>
      <c r="K1269" s="1348">
        <f>IFERROR(SUMIF(INTAKE!$A:$A,$T1269,INTAKE!$P:$P),0)</f>
        <v>0</v>
      </c>
      <c r="L1269" s="1703">
        <f t="shared" si="771"/>
        <v>100</v>
      </c>
      <c r="M1269" s="48"/>
      <c r="N1269" s="163"/>
      <c r="O1269" s="48"/>
      <c r="P1269" s="1741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(Monensin)E346262</v>
      </c>
      <c r="U1269" s="797"/>
      <c r="V1269" s="797"/>
      <c r="W1269" s="785">
        <f>IFERROR(VLOOKUP($Q1269,'391'!$S:$AG,15,0),0)</f>
        <v>0</v>
      </c>
      <c r="X1269" s="1090">
        <f t="shared" si="751"/>
        <v>100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129"/>
      <c r="B1270" s="2080"/>
      <c r="C1270" s="120"/>
      <c r="D1270" s="881" t="s">
        <v>10</v>
      </c>
      <c r="E1270" s="882">
        <v>46247</v>
      </c>
      <c r="F1270" s="71">
        <f t="shared" ref="F1270:F1271" si="778">$L$7-E1270</f>
        <v>29</v>
      </c>
      <c r="G1270" s="1381">
        <v>0</v>
      </c>
      <c r="H1270" s="1381"/>
      <c r="I1270" s="1381"/>
      <c r="J1270" s="1900"/>
      <c r="K1270" s="1348">
        <f>IFERROR(SUMIF(INTAKE!$A:$A,$T1270,INTAKE!$P:$P),0)</f>
        <v>0</v>
      </c>
      <c r="L1270" s="1703">
        <f t="shared" si="771"/>
        <v>0</v>
      </c>
      <c r="M1270" s="1487"/>
      <c r="N1270" s="1904"/>
      <c r="O1270" s="1487"/>
      <c r="P1270" s="1901"/>
      <c r="Q1270" s="1819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93"/>
      <c r="B1271" s="2076"/>
      <c r="C1271" s="108" t="s">
        <v>76</v>
      </c>
      <c r="D1271" s="863" t="s">
        <v>10</v>
      </c>
      <c r="E1271" s="886">
        <v>46247</v>
      </c>
      <c r="F1271" s="39">
        <f t="shared" si="778"/>
        <v>29</v>
      </c>
      <c r="G1271" s="37">
        <v>9.4399999999999942</v>
      </c>
      <c r="H1271" s="37"/>
      <c r="I1271" s="37">
        <f>+SUM(K1267:K1270)</f>
        <v>25</v>
      </c>
      <c r="J1271" s="1385">
        <f>usage!I191</f>
        <v>10.08</v>
      </c>
      <c r="K1271" s="37"/>
      <c r="L1271" s="1534">
        <f t="shared" si="771"/>
        <v>24.36</v>
      </c>
      <c r="M1271" s="35"/>
      <c r="N1271" s="920"/>
      <c r="O1271" s="35"/>
      <c r="P1271" s="1965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51"/>
        <v>9.4399999999999942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159.44</v>
      </c>
      <c r="H1272" s="1337">
        <f t="shared" ref="H1272:L1272" si="779">+SUM(H1267:H1271)</f>
        <v>0</v>
      </c>
      <c r="I1272" s="1337">
        <f t="shared" si="779"/>
        <v>25</v>
      </c>
      <c r="J1272" s="1337">
        <f t="shared" si="779"/>
        <v>10.08</v>
      </c>
      <c r="K1272" s="1337">
        <f t="shared" si="779"/>
        <v>25</v>
      </c>
      <c r="L1272" s="1337">
        <f t="shared" si="779"/>
        <v>149.36000000000001</v>
      </c>
      <c r="M1272" s="59">
        <f>IFERROR(R1272/$S$2,"")</f>
        <v>5.2577777777777781</v>
      </c>
      <c r="N1272" s="366">
        <f>IFERROR(L1272/M1272,0)</f>
        <v>28.407438715131022</v>
      </c>
      <c r="O1272" s="59">
        <f>IFERROR(SUMIF(ETM!$A:$A,$Q1272,ETM!$E:$E),"")</f>
        <v>5.5000000000000009</v>
      </c>
      <c r="P1272" s="880">
        <f>IFERROR(L1272/O1272,0)</f>
        <v>27.156363636363633</v>
      </c>
      <c r="Q1272" s="795" t="s">
        <v>1512</v>
      </c>
      <c r="R1272" s="785">
        <f>IFERROR(VLOOKUP($Q1272,'391'!$S:$Z,8,0),"")</f>
        <v>23.66</v>
      </c>
      <c r="S1272" s="796"/>
      <c r="T1272" s="797"/>
      <c r="U1272" s="797"/>
      <c r="V1272" s="797"/>
      <c r="W1272" s="785">
        <f>IFERROR(VLOOKUP($Q1272,'391'!$S:$AG,15,0),0)</f>
        <v>169.53</v>
      </c>
      <c r="X1272" s="1090">
        <f t="shared" si="751"/>
        <v>-10.090000000000003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91" t="str">
        <f>IF(L1279=0,"",MAX($A$16:A1272)+1)</f>
        <v/>
      </c>
      <c r="B1273" s="2023" t="s">
        <v>346</v>
      </c>
      <c r="C1273" s="574"/>
      <c r="D1273" s="881" t="s">
        <v>10</v>
      </c>
      <c r="E1273" s="882">
        <v>44736</v>
      </c>
      <c r="F1273" s="71">
        <f t="shared" ref="F1273:F1278" si="780">$L$7-E1273</f>
        <v>1540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4">
        <f t="shared" si="771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81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51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92"/>
      <c r="B1274" s="2024"/>
      <c r="C1274" s="574" t="s">
        <v>283</v>
      </c>
      <c r="D1274" s="881" t="s">
        <v>10</v>
      </c>
      <c r="E1274" s="882">
        <v>44935</v>
      </c>
      <c r="F1274" s="71">
        <f t="shared" si="780"/>
        <v>1341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4">
        <f t="shared" si="771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81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51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92"/>
      <c r="B1275" s="2024"/>
      <c r="C1275" s="574"/>
      <c r="D1275" s="881" t="s">
        <v>10</v>
      </c>
      <c r="E1275" s="882">
        <v>44935</v>
      </c>
      <c r="F1275" s="71">
        <f t="shared" si="780"/>
        <v>1341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4">
        <f t="shared" si="771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81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51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92"/>
      <c r="B1276" s="2024"/>
      <c r="C1276" s="574"/>
      <c r="D1276" s="881" t="s">
        <v>10</v>
      </c>
      <c r="E1276" s="882">
        <v>44736</v>
      </c>
      <c r="F1276" s="71">
        <f t="shared" si="780"/>
        <v>1540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4">
        <f t="shared" si="771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81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51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92"/>
      <c r="B1277" s="2024"/>
      <c r="C1277" s="574"/>
      <c r="D1277" s="881" t="s">
        <v>10</v>
      </c>
      <c r="E1277" s="882">
        <v>44610</v>
      </c>
      <c r="F1277" s="71">
        <f t="shared" si="780"/>
        <v>1666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4">
        <f t="shared" si="771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81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51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92"/>
      <c r="B1278" s="2024"/>
      <c r="C1278" s="108" t="s">
        <v>76</v>
      </c>
      <c r="D1278" s="852" t="s">
        <v>10</v>
      </c>
      <c r="E1278" s="853">
        <v>44935</v>
      </c>
      <c r="F1278" s="73">
        <f t="shared" si="780"/>
        <v>1341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4">
        <f t="shared" si="771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81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51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82">+SUM(H1273:H1278)</f>
        <v>0</v>
      </c>
      <c r="I1279" s="1337">
        <f t="shared" si="782"/>
        <v>0</v>
      </c>
      <c r="J1279" s="1337">
        <f t="shared" ref="J1279:K1279" si="783">+SUM(J1273:J1278)</f>
        <v>0</v>
      </c>
      <c r="K1279" s="1337">
        <f t="shared" si="783"/>
        <v>0</v>
      </c>
      <c r="L1279" s="1534">
        <f t="shared" si="771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51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91" t="str">
        <f>IF(L1284=0,"",MAX($A$16:A1279)+1)</f>
        <v/>
      </c>
      <c r="B1280" s="2023" t="s">
        <v>342</v>
      </c>
      <c r="C1280" s="127"/>
      <c r="D1280" s="866" t="s">
        <v>10</v>
      </c>
      <c r="E1280" s="867">
        <v>45926</v>
      </c>
      <c r="F1280" s="75">
        <f>$L$7-E1280</f>
        <v>350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3">
        <f t="shared" si="771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51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92"/>
      <c r="B1281" s="2024"/>
      <c r="C1281" s="127" t="s">
        <v>596</v>
      </c>
      <c r="D1281" s="866" t="s">
        <v>10</v>
      </c>
      <c r="E1281" s="867">
        <v>46129</v>
      </c>
      <c r="F1281" s="75">
        <f>$L$7-E1281</f>
        <v>147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3">
        <f t="shared" si="771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51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92"/>
      <c r="B1282" s="2024"/>
      <c r="C1282" s="127"/>
      <c r="D1282" s="866" t="s">
        <v>10</v>
      </c>
      <c r="E1282" s="867">
        <v>46084</v>
      </c>
      <c r="F1282" s="75">
        <f>$L$7-E1282</f>
        <v>192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4">
        <f t="shared" si="771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51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93"/>
      <c r="B1283" s="2204"/>
      <c r="C1283" s="108" t="s">
        <v>46</v>
      </c>
      <c r="D1283" s="884" t="s">
        <v>10</v>
      </c>
      <c r="E1283" s="885">
        <v>46129</v>
      </c>
      <c r="F1283" s="293">
        <f>$L$7-E1283</f>
        <v>147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4">
        <f t="shared" si="771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51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84">+SUM(H1280:H1283)</f>
        <v>0</v>
      </c>
      <c r="I1284" s="1337">
        <f t="shared" si="784"/>
        <v>0</v>
      </c>
      <c r="J1284" s="1337">
        <f t="shared" si="784"/>
        <v>0</v>
      </c>
      <c r="K1284" s="1337">
        <f t="shared" si="784"/>
        <v>0</v>
      </c>
      <c r="L1284" s="1337">
        <f t="shared" si="784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85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91">
        <f>IF(L1290=0,"",MAX($A$16:A1284)+1)</f>
        <v>85</v>
      </c>
      <c r="B1285" s="2083" t="s">
        <v>1747</v>
      </c>
      <c r="C1285" s="574"/>
      <c r="D1285" s="881" t="s">
        <v>10</v>
      </c>
      <c r="E1285" s="882">
        <v>45758</v>
      </c>
      <c r="F1285" s="71">
        <f t="shared" ref="F1285:F1287" si="786">$L$7-E1285</f>
        <v>518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3">
        <f t="shared" ref="L1285:L1289" si="787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85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92"/>
      <c r="B1286" s="2084"/>
      <c r="C1286" s="574" t="s">
        <v>1310</v>
      </c>
      <c r="D1286" s="881" t="s">
        <v>10</v>
      </c>
      <c r="E1286" s="882">
        <v>46247</v>
      </c>
      <c r="F1286" s="71">
        <f t="shared" ref="F1286" si="788">$L$7-E1286</f>
        <v>29</v>
      </c>
      <c r="G1286" s="64">
        <v>450</v>
      </c>
      <c r="H1286" s="64"/>
      <c r="I1286" s="64"/>
      <c r="J1286" s="1367"/>
      <c r="K1286" s="64">
        <f>IFERROR(SUMIF(INTAKE!$A:$A,$T1286,INTAKE!$P:$P),0)</f>
        <v>50</v>
      </c>
      <c r="L1286" s="1703">
        <f t="shared" si="787"/>
        <v>400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85"/>
        <v>450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92"/>
      <c r="B1287" s="2084"/>
      <c r="C1287" s="574" t="s">
        <v>1310</v>
      </c>
      <c r="D1287" s="881" t="s">
        <v>10</v>
      </c>
      <c r="E1287" s="882">
        <v>46275</v>
      </c>
      <c r="F1287" s="71">
        <f t="shared" si="786"/>
        <v>1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3">
        <f t="shared" si="787"/>
        <v>500</v>
      </c>
      <c r="M1287" s="48"/>
      <c r="N1287" s="48"/>
      <c r="O1287" s="48"/>
      <c r="P1287" s="738"/>
      <c r="Q1287" s="666" t="s">
        <v>1719</v>
      </c>
      <c r="R1287" s="785">
        <f>IFERROR(VLOOKUP($Q1287,'391'!$S:$Z,8,0),"")</f>
        <v>118.8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602.30000000000007</v>
      </c>
      <c r="X1287" s="1090">
        <f t="shared" si="785"/>
        <v>-102.30000000000007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92"/>
      <c r="B1288" s="2084"/>
      <c r="C1288" s="574"/>
      <c r="D1288" s="881" t="s">
        <v>10</v>
      </c>
      <c r="E1288" s="882">
        <v>46247</v>
      </c>
      <c r="F1288" s="71">
        <f t="shared" ref="F1288:F1289" si="789">$L$7-E1288</f>
        <v>29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3">
        <f t="shared" si="787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85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93"/>
      <c r="B1289" s="2200"/>
      <c r="C1289" s="138" t="s">
        <v>76</v>
      </c>
      <c r="D1289" s="884" t="s">
        <v>10</v>
      </c>
      <c r="E1289" s="885">
        <v>46247</v>
      </c>
      <c r="F1289" s="293">
        <f t="shared" si="789"/>
        <v>29</v>
      </c>
      <c r="G1289" s="1214">
        <v>17.299999999999983</v>
      </c>
      <c r="H1289" s="37"/>
      <c r="I1289" s="37">
        <f>SUM(K1285:K1288)</f>
        <v>50</v>
      </c>
      <c r="J1289" s="1385">
        <f>+usage!I93</f>
        <v>20.399999999999999</v>
      </c>
      <c r="K1289" s="64">
        <f>IFERROR(SUMIF(INTAKE!$A:$A,$T1289,INTAKE!$P:$P),0)</f>
        <v>0</v>
      </c>
      <c r="L1289" s="1534">
        <f t="shared" si="787"/>
        <v>46.899999999999984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85"/>
        <v>17.299999999999983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967.3</v>
      </c>
      <c r="H1290" s="1337">
        <f t="shared" ref="H1290:L1290" si="790">+SUM(H1285:H1289)</f>
        <v>0</v>
      </c>
      <c r="I1290" s="1337">
        <f t="shared" si="790"/>
        <v>50</v>
      </c>
      <c r="J1290" s="1337">
        <f t="shared" si="790"/>
        <v>20.399999999999999</v>
      </c>
      <c r="K1290" s="1337">
        <f t="shared" si="790"/>
        <v>50</v>
      </c>
      <c r="L1290" s="1337">
        <f t="shared" si="790"/>
        <v>946.9</v>
      </c>
      <c r="M1290" s="59">
        <f>IFERROR(S1290/$S$2,"")</f>
        <v>26.4</v>
      </c>
      <c r="N1290" s="854">
        <f>IFERROR((L1290/M1290),0)</f>
        <v>35.867424242424242</v>
      </c>
      <c r="O1290" s="59">
        <f>IFERROR(SUMIF(ETM!$A:$A,$Q1290,ETM!$E:$E),"")</f>
        <v>25.166666666666668</v>
      </c>
      <c r="P1290" s="880">
        <f>IFERROR(L1290/O1290,0)</f>
        <v>37.625165562913907</v>
      </c>
      <c r="Q1290" s="795" t="s">
        <v>323</v>
      </c>
      <c r="R1290" s="785" t="str">
        <f>IFERROR(VLOOKUP($Q1290,'391'!$S:$Z,8,0),"0")</f>
        <v>0</v>
      </c>
      <c r="S1290" s="819">
        <f>+R1287+R1290</f>
        <v>118.8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364.99999999999989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91">
        <f>IF(L1295=0,"",MAX($A$16:A1290)+1)</f>
        <v>86</v>
      </c>
      <c r="B1291" s="2032" t="s">
        <v>471</v>
      </c>
      <c r="C1291" s="114"/>
      <c r="D1291" s="881" t="s">
        <v>10</v>
      </c>
      <c r="E1291" s="935">
        <v>46016</v>
      </c>
      <c r="F1291" s="71">
        <f>$L$7-E1291</f>
        <v>260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3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85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92"/>
      <c r="B1292" s="2033"/>
      <c r="C1292" s="114" t="s">
        <v>1875</v>
      </c>
      <c r="D1292" s="881" t="s">
        <v>10</v>
      </c>
      <c r="E1292" s="935">
        <v>46247</v>
      </c>
      <c r="F1292" s="71">
        <f>$L$7-E1292</f>
        <v>29</v>
      </c>
      <c r="G1292" s="64">
        <v>675</v>
      </c>
      <c r="H1292" s="64"/>
      <c r="I1292" s="64"/>
      <c r="J1292" s="1367"/>
      <c r="K1292" s="64">
        <f>IFERROR(SUMIF(INTAKE!$A:$A,$T1292,INTAKE!$P:$P),0)</f>
        <v>50</v>
      </c>
      <c r="L1292" s="1703">
        <f>+G1292+H1292+I1292-J1292-K1292</f>
        <v>625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85"/>
        <v>675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92"/>
      <c r="B1293" s="2033"/>
      <c r="C1293" s="114"/>
      <c r="D1293" s="881" t="s">
        <v>10</v>
      </c>
      <c r="E1293" s="935">
        <v>46247</v>
      </c>
      <c r="F1293" s="71">
        <f>$L$7-E1293</f>
        <v>29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3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85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93"/>
      <c r="B1294" s="2034"/>
      <c r="C1294" s="108" t="s">
        <v>46</v>
      </c>
      <c r="D1294" s="884" t="s">
        <v>10</v>
      </c>
      <c r="E1294" s="885">
        <v>46219</v>
      </c>
      <c r="F1294" s="293">
        <f>$L$7-E1294</f>
        <v>57</v>
      </c>
      <c r="G1294" s="1214">
        <v>108.01000000000002</v>
      </c>
      <c r="H1294" s="37"/>
      <c r="I1294" s="37">
        <f>SUM(K1291:K1293)</f>
        <v>50</v>
      </c>
      <c r="J1294" s="1385">
        <f>+usage!I130</f>
        <v>32.33</v>
      </c>
      <c r="K1294" s="64">
        <f>IFERROR(SUMIF(INTAKE!$A:$A,$T1294,INTAKE!$P:$P),0)</f>
        <v>0</v>
      </c>
      <c r="L1294" s="1534">
        <f>+G1294+H1294+I1294-J1294-K1294</f>
        <v>125.68000000000002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85"/>
        <v>108.01000000000002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783.01</v>
      </c>
      <c r="H1295" s="1337">
        <f>+SUM(H1291:H1294)</f>
        <v>0</v>
      </c>
      <c r="I1295" s="1337">
        <f>+SUM(I1291:I1294)</f>
        <v>50</v>
      </c>
      <c r="J1295" s="1337">
        <f t="shared" ref="J1295" si="791">+SUM(J1291:J1294)</f>
        <v>32.33</v>
      </c>
      <c r="K1295" s="1337">
        <f t="shared" ref="K1295:L1295" si="792">+SUM(K1291:K1294)</f>
        <v>50</v>
      </c>
      <c r="L1295" s="1337">
        <f t="shared" si="792"/>
        <v>750.68000000000006</v>
      </c>
      <c r="M1295" s="59">
        <f>IFERROR(R1295/$S$2,"")</f>
        <v>10.36</v>
      </c>
      <c r="N1295" s="366">
        <f>IFERROR(L1295/M1295,0)</f>
        <v>72.459459459459467</v>
      </c>
      <c r="O1295" s="59">
        <f>IFERROR(SUMIF(ETM!$A:$A,$Q1295,ETM!$E:$E),"")</f>
        <v>13.666666666666668</v>
      </c>
      <c r="P1295" s="880">
        <f>IFERROR(L1295/O1295,0)</f>
        <v>54.927804878048782</v>
      </c>
      <c r="Q1295" s="795" t="s">
        <v>471</v>
      </c>
      <c r="R1295" s="785">
        <f>IFERROR(VLOOKUP($Q1295,'391'!$S:$Z,8,0),"")</f>
        <v>46.62</v>
      </c>
      <c r="S1295" s="796"/>
      <c r="T1295" s="797"/>
      <c r="U1295" s="797"/>
      <c r="V1295" s="797"/>
      <c r="W1295" s="785">
        <f>IFERROR(VLOOKUP($Q1295,'391'!$S:$AG,15,0),0)</f>
        <v>879.43000000000006</v>
      </c>
      <c r="X1295" s="1090">
        <f t="shared" si="785"/>
        <v>-96.420000000000073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91">
        <f>IF(L1300=0,"",MAX($A$16:A1295)+1)</f>
        <v>87</v>
      </c>
      <c r="B1296" s="2020" t="s">
        <v>516</v>
      </c>
      <c r="C1296" s="574" t="s">
        <v>1715</v>
      </c>
      <c r="D1296" s="881" t="s">
        <v>10</v>
      </c>
      <c r="E1296" s="882">
        <v>46178</v>
      </c>
      <c r="F1296" s="71">
        <f>$L$7-E1296</f>
        <v>98</v>
      </c>
      <c r="G1296" s="64">
        <v>7000</v>
      </c>
      <c r="H1296" s="64"/>
      <c r="I1296" s="64"/>
      <c r="J1296" s="1404"/>
      <c r="K1296" s="1348">
        <f>IFERROR(SUMIF(INTAKE!$A:$A,$T1296,INTAKE!$P:$P),0)</f>
        <v>0</v>
      </c>
      <c r="L1296" s="1703">
        <f>+G1296+H1296+I1296-J1296-K1296</f>
        <v>7000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85"/>
        <v>7000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92"/>
      <c r="B1297" s="2021"/>
      <c r="C1297" s="574" t="s">
        <v>1715</v>
      </c>
      <c r="D1297" s="881" t="s">
        <v>10</v>
      </c>
      <c r="E1297" s="882">
        <v>46241</v>
      </c>
      <c r="F1297" s="71">
        <f>$L$7-E1297</f>
        <v>35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3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85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92"/>
      <c r="B1298" s="2021"/>
      <c r="C1298" s="574"/>
      <c r="D1298" s="881" t="s">
        <v>10</v>
      </c>
      <c r="E1298" s="882">
        <v>45839</v>
      </c>
      <c r="F1298" s="71">
        <f>$L$7-E1298</f>
        <v>437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3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85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93"/>
      <c r="B1299" s="2202"/>
      <c r="C1299" s="138" t="s">
        <v>868</v>
      </c>
      <c r="D1299" s="884" t="s">
        <v>10</v>
      </c>
      <c r="E1299" s="885">
        <v>46178</v>
      </c>
      <c r="F1299" s="293">
        <f>$L$7-E1299</f>
        <v>98</v>
      </c>
      <c r="G1299" s="1214">
        <v>1970.48</v>
      </c>
      <c r="H1299" s="37"/>
      <c r="I1299" s="37">
        <f>K1296+K1297</f>
        <v>0</v>
      </c>
      <c r="J1299" s="1420">
        <f>usage!I153</f>
        <v>39</v>
      </c>
      <c r="K1299" s="1348"/>
      <c r="L1299" s="1534">
        <f>+G1299+H1299+I1299-J1299-K1299</f>
        <v>1931.48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85"/>
        <v>1970.48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18970.48</v>
      </c>
      <c r="H1300" s="1337">
        <f>+SUM(H1296:H1299)</f>
        <v>0</v>
      </c>
      <c r="I1300" s="1337">
        <f>+SUM(I1296:I1299)</f>
        <v>0</v>
      </c>
      <c r="J1300" s="1337">
        <f t="shared" ref="J1300" si="793">+SUM(J1296:J1299)</f>
        <v>39</v>
      </c>
      <c r="K1300" s="1337">
        <f t="shared" ref="K1300:L1300" si="794">+SUM(K1296:K1299)</f>
        <v>0</v>
      </c>
      <c r="L1300" s="1337">
        <f t="shared" si="794"/>
        <v>18931.48</v>
      </c>
      <c r="M1300" s="59">
        <f>IFERROR(R1300/$S$2,"")</f>
        <v>63.599999999999994</v>
      </c>
      <c r="N1300" s="366">
        <f>IFERROR(L1300/M1300,0)</f>
        <v>297.66477987421388</v>
      </c>
      <c r="O1300" s="59">
        <f>IFERROR(SUMIF(ETM!$A:$A,$Q1300,ETM!$E:$E),"")</f>
        <v>4</v>
      </c>
      <c r="P1300" s="880">
        <f>IFERROR(L1300/O1300,0)</f>
        <v>4732.87</v>
      </c>
      <c r="Q1300" s="809" t="s">
        <v>833</v>
      </c>
      <c r="R1300" s="785">
        <f>IFERROR(VLOOKUP($Q1300,'391'!$S:$Z,8,0),"")</f>
        <v>286.2</v>
      </c>
      <c r="S1300" s="796"/>
      <c r="T1300" s="797"/>
      <c r="U1300" s="797"/>
      <c r="V1300" s="797"/>
      <c r="W1300" s="785">
        <f>IFERROR(VLOOKUP($Q1300,'391'!$S:$AG,15,0),0)</f>
        <v>19240.48</v>
      </c>
      <c r="X1300" s="1090">
        <f t="shared" si="785"/>
        <v>-270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91">
        <f>IF(L1309=0,"",MAX($A$16:A1300)+1)</f>
        <v>88</v>
      </c>
      <c r="B1301" s="2083" t="s">
        <v>547</v>
      </c>
      <c r="C1301" s="574"/>
      <c r="D1301" s="881" t="s">
        <v>10</v>
      </c>
      <c r="E1301" s="882">
        <v>46134</v>
      </c>
      <c r="F1301" s="71">
        <f t="shared" ref="F1301:F1306" si="795">$L$7-E1301</f>
        <v>142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3">
        <f t="shared" ref="L1301:L1308" si="796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797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85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92"/>
      <c r="B1302" s="2084"/>
      <c r="C1302" s="574" t="s">
        <v>1936</v>
      </c>
      <c r="D1302" s="881" t="s">
        <v>10</v>
      </c>
      <c r="E1302" s="882">
        <v>46254</v>
      </c>
      <c r="F1302" s="71">
        <f t="shared" ref="F1302:F1304" si="798">$L$7-E1302</f>
        <v>22</v>
      </c>
      <c r="G1302" s="64">
        <v>2000</v>
      </c>
      <c r="H1302" s="64"/>
      <c r="I1302" s="64"/>
      <c r="J1302" s="1367"/>
      <c r="K1302" s="64">
        <f>IFERROR(SUMIF(INTAKE!$A:$A,$T1302,INTAKE!$P:$P),0)</f>
        <v>0</v>
      </c>
      <c r="L1302" s="1703">
        <f t="shared" si="796"/>
        <v>2000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797"/>
        <v>L-Valine (China)V5.346254</v>
      </c>
      <c r="U1302" s="797"/>
      <c r="V1302" s="797"/>
      <c r="W1302" s="785">
        <f>IFERROR(VLOOKUP($Q1302,'391'!$S:$AG,15,0),0)</f>
        <v>0</v>
      </c>
      <c r="X1302" s="1090">
        <f t="shared" si="785"/>
        <v>2000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129"/>
      <c r="B1303" s="2090"/>
      <c r="C1303" s="574" t="s">
        <v>1977</v>
      </c>
      <c r="D1303" s="881" t="s">
        <v>10</v>
      </c>
      <c r="E1303" s="882">
        <v>46270</v>
      </c>
      <c r="F1303" s="71">
        <f t="shared" si="798"/>
        <v>6</v>
      </c>
      <c r="G1303" s="64">
        <v>2000</v>
      </c>
      <c r="H1303" s="64"/>
      <c r="I1303" s="64"/>
      <c r="J1303" s="1367"/>
      <c r="K1303" s="64">
        <f>IFERROR(SUMIF(INTAKE!$A:$A,$T1303,INTAKE!$P:$P),0)</f>
        <v>0</v>
      </c>
      <c r="L1303" s="1703">
        <f t="shared" si="796"/>
        <v>2000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797"/>
        <v>L-Valine (China)V1.346270</v>
      </c>
      <c r="U1303" s="797"/>
      <c r="V1303" s="797"/>
      <c r="W1303" s="785">
        <f>IFERROR(VLOOKUP($Q1303,'391'!$S:$AG,15,0),0)</f>
        <v>0</v>
      </c>
      <c r="X1303" s="1090">
        <f t="shared" si="785"/>
        <v>2000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129"/>
      <c r="B1304" s="2090"/>
      <c r="C1304" s="574" t="s">
        <v>1877</v>
      </c>
      <c r="D1304" s="881" t="s">
        <v>10</v>
      </c>
      <c r="E1304" s="882">
        <v>46270</v>
      </c>
      <c r="F1304" s="71">
        <f t="shared" si="798"/>
        <v>6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3">
        <f t="shared" si="796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97"/>
        <v>L-Valine (China)V2.346270</v>
      </c>
      <c r="U1304" s="797"/>
      <c r="V1304" s="797"/>
      <c r="W1304" s="785">
        <f>IFERROR(VLOOKUP($Q1304,'391'!$S:$AG,15,0),0)</f>
        <v>0</v>
      </c>
      <c r="X1304" s="1090">
        <f t="shared" ref="X1304" si="799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129"/>
      <c r="B1305" s="2090"/>
      <c r="C1305" s="574" t="s">
        <v>1851</v>
      </c>
      <c r="D1305" s="881" t="s">
        <v>10</v>
      </c>
      <c r="E1305" s="882">
        <v>46275</v>
      </c>
      <c r="F1305" s="71">
        <f t="shared" ref="F1305" si="800">$L$7-E1305</f>
        <v>1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3">
        <f t="shared" si="796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97"/>
        <v>L-Valine (China)V3.346275</v>
      </c>
      <c r="U1305" s="797"/>
      <c r="V1305" s="797"/>
      <c r="W1305" s="785">
        <f>IFERROR(VLOOKUP($Q1305,'391'!$S:$AG,15,0),0)</f>
        <v>0</v>
      </c>
      <c r="X1305" s="1090">
        <f t="shared" si="785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129"/>
      <c r="B1306" s="2090"/>
      <c r="C1306" s="574"/>
      <c r="D1306" s="881" t="s">
        <v>10</v>
      </c>
      <c r="E1306" s="882">
        <v>46225</v>
      </c>
      <c r="F1306" s="71">
        <f t="shared" si="795"/>
        <v>51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3">
        <f t="shared" si="796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97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85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129"/>
      <c r="B1307" s="2090"/>
      <c r="C1307" s="574"/>
      <c r="D1307" s="881" t="s">
        <v>10</v>
      </c>
      <c r="E1307" s="882">
        <v>46205</v>
      </c>
      <c r="F1307" s="71">
        <f t="shared" ref="F1307" si="801">$L$7-E1307</f>
        <v>71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3">
        <f t="shared" ref="L1307" si="802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97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03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93"/>
      <c r="B1308" s="2076"/>
      <c r="C1308" s="108" t="s">
        <v>46</v>
      </c>
      <c r="D1308" s="884" t="s">
        <v>10</v>
      </c>
      <c r="E1308" s="885">
        <v>46241</v>
      </c>
      <c r="F1308" s="293">
        <f t="shared" ref="F1308" si="804">$L$7-E1308</f>
        <v>35</v>
      </c>
      <c r="G1308" s="1214">
        <v>1314.5599999999986</v>
      </c>
      <c r="H1308" s="37"/>
      <c r="I1308" s="37">
        <f>+SUM(K1301:K1305)</f>
        <v>0</v>
      </c>
      <c r="J1308" s="1385">
        <f>usage!I154</f>
        <v>372.8</v>
      </c>
      <c r="K1308" s="64">
        <f>IFERROR(SUMIF(INTAKE!$A:$A,$T1308,INTAKE!$P:$P),0)</f>
        <v>0</v>
      </c>
      <c r="L1308" s="1534">
        <f t="shared" si="796"/>
        <v>941.75999999999863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797"/>
        <v>L-Valine (China)Feedmill46241</v>
      </c>
      <c r="U1308" s="797"/>
      <c r="V1308" s="797"/>
      <c r="W1308" s="785">
        <f>IFERROR(VLOOKUP($Q1308,'391'!$S:$AG,15,0),0)</f>
        <v>0</v>
      </c>
      <c r="X1308" s="1090">
        <f t="shared" si="785"/>
        <v>1314.5599999999986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9314.5599999999977</v>
      </c>
      <c r="H1309" s="1337">
        <f>+SUM(H1301:H1308)</f>
        <v>0</v>
      </c>
      <c r="I1309" s="1337">
        <f t="shared" ref="I1309:L1309" si="805">+SUM(I1301:I1308)</f>
        <v>0</v>
      </c>
      <c r="J1309" s="1337">
        <f t="shared" si="805"/>
        <v>372.8</v>
      </c>
      <c r="K1309" s="1337">
        <f t="shared" si="805"/>
        <v>0</v>
      </c>
      <c r="L1309" s="1337">
        <f t="shared" si="805"/>
        <v>8941.7599999999984</v>
      </c>
      <c r="M1309" s="59">
        <f>IFERROR(R1309/$S$2,"")</f>
        <v>371.61333333333334</v>
      </c>
      <c r="N1309" s="366">
        <f>IFERROR(L1309/M1309,"")</f>
        <v>24.061999928240819</v>
      </c>
      <c r="O1309" s="59">
        <f>IFERROR(SUMIF(ETM!$A:$A,$Q1309,ETM!$E:$E),"")</f>
        <v>375.16666666666663</v>
      </c>
      <c r="P1309" s="880">
        <f>IFERROR(L1309/O1309,0)</f>
        <v>23.834100399822301</v>
      </c>
      <c r="Q1309" s="795" t="s">
        <v>845</v>
      </c>
      <c r="R1309" s="785">
        <f>IFERROR(VLOOKUP($Q1309,'391'!$S:$Z,8,0),"")</f>
        <v>1672.26</v>
      </c>
      <c r="S1309" s="796"/>
      <c r="T1309" s="797"/>
      <c r="U1309" s="797"/>
      <c r="V1309" s="797"/>
      <c r="W1309" s="785">
        <f>IFERROR(VLOOKUP($Q1309,'391'!$S:$AG,15,0),0)</f>
        <v>8767.86</v>
      </c>
      <c r="X1309" s="1090">
        <f t="shared" si="785"/>
        <v>546.69999999999709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91">
        <f>IF(L1316=0,"",MAX($A$16:A1309)+1)</f>
        <v>89</v>
      </c>
      <c r="B1310" s="2083" t="s">
        <v>571</v>
      </c>
      <c r="C1310" s="574" t="s">
        <v>1875</v>
      </c>
      <c r="D1310" s="881" t="s">
        <v>10</v>
      </c>
      <c r="E1310" s="882">
        <v>46241</v>
      </c>
      <c r="F1310" s="71">
        <f t="shared" ref="F1310:F1311" si="806">$L$7-E1310</f>
        <v>35</v>
      </c>
      <c r="G1310" s="64">
        <v>50</v>
      </c>
      <c r="H1310" s="64"/>
      <c r="I1310" s="64"/>
      <c r="J1310" s="1367"/>
      <c r="K1310" s="64">
        <f>IFERROR(SUMIF(INTAKE!$A:$A,$T1310,INTAKE!$P:$P),0)</f>
        <v>0</v>
      </c>
      <c r="L1310" s="1703">
        <f t="shared" ref="L1310:L1329" si="807">+G1310+H1310+I1310-J1310-K1310</f>
        <v>50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50D246241</v>
      </c>
      <c r="U1310" s="797"/>
      <c r="V1310" s="797"/>
      <c r="W1310" s="785">
        <f>IFERROR(VLOOKUP($Q1310,'391'!$S:$AG,15,0),0)</f>
        <v>0</v>
      </c>
      <c r="X1310" s="1090">
        <f t="shared" si="785"/>
        <v>50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129"/>
      <c r="B1311" s="2090"/>
      <c r="C1311" s="574" t="s">
        <v>1875</v>
      </c>
      <c r="D1311" s="881" t="s">
        <v>10</v>
      </c>
      <c r="E1311" s="882">
        <v>46254</v>
      </c>
      <c r="F1311" s="71">
        <f t="shared" si="806"/>
        <v>22</v>
      </c>
      <c r="G1311" s="64">
        <v>50</v>
      </c>
      <c r="H1311" s="64"/>
      <c r="I1311" s="64"/>
      <c r="J1311" s="1367"/>
      <c r="K1311" s="64">
        <f>IFERROR(SUMIF(INTAKE!$A:$A,$T1311,INTAKE!$P:$P),0)</f>
        <v>0</v>
      </c>
      <c r="L1311" s="1703">
        <f t="shared" ref="L1311:L1313" si="808">+G1311+H1311+I1311-J1311-K1311</f>
        <v>50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50D246254</v>
      </c>
      <c r="U1311" s="797"/>
      <c r="V1311" s="797"/>
      <c r="W1311" s="785">
        <f>IFERROR(VLOOKUP($Q1311,'391'!$S:$AG,15,0),0)</f>
        <v>0</v>
      </c>
      <c r="X1311" s="1090">
        <f t="shared" ref="X1311:X1313" si="809">G1311-W1311</f>
        <v>50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129"/>
      <c r="B1312" s="2090"/>
      <c r="C1312" s="574" t="s">
        <v>1875</v>
      </c>
      <c r="D1312" s="881" t="s">
        <v>10</v>
      </c>
      <c r="E1312" s="882">
        <v>46275</v>
      </c>
      <c r="F1312" s="71">
        <f t="shared" ref="F1312:F1313" si="810">$L$7-E1312</f>
        <v>1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3">
        <f t="shared" si="808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50D246275</v>
      </c>
      <c r="U1312" s="797"/>
      <c r="V1312" s="797"/>
      <c r="W1312" s="785">
        <f>IFERROR(VLOOKUP($Q1312,'391'!$S:$AG,15,0),0)</f>
        <v>0</v>
      </c>
      <c r="X1312" s="1090">
        <f t="shared" si="809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129"/>
      <c r="B1313" s="2090"/>
      <c r="C1313" s="574"/>
      <c r="D1313" s="881" t="s">
        <v>10</v>
      </c>
      <c r="E1313" s="882">
        <v>46255</v>
      </c>
      <c r="F1313" s="71">
        <f t="shared" si="810"/>
        <v>21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3">
        <f t="shared" si="808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11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09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92"/>
      <c r="B1314" s="2084"/>
      <c r="C1314" s="574"/>
      <c r="D1314" s="881" t="s">
        <v>10</v>
      </c>
      <c r="E1314" s="882">
        <v>46255</v>
      </c>
      <c r="F1314" s="71">
        <f t="shared" ref="F1314:F1315" si="812">$L$7-E1314</f>
        <v>21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3">
        <f t="shared" si="807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13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85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93"/>
      <c r="B1315" s="2076"/>
      <c r="C1315" s="138" t="s">
        <v>76</v>
      </c>
      <c r="D1315" s="884" t="s">
        <v>10</v>
      </c>
      <c r="E1315" s="885">
        <v>46225</v>
      </c>
      <c r="F1315" s="293">
        <f t="shared" si="812"/>
        <v>51</v>
      </c>
      <c r="G1315" s="1214">
        <v>17.320000000000007</v>
      </c>
      <c r="H1315" s="37"/>
      <c r="I1315" s="37">
        <f>SUM(K1310:K1312)</f>
        <v>0</v>
      </c>
      <c r="J1315" s="1385">
        <f>usage!I160</f>
        <v>3.78</v>
      </c>
      <c r="K1315" s="37"/>
      <c r="L1315" s="1534">
        <f t="shared" si="807"/>
        <v>13.540000000000008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13"/>
        <v>Vitamin E 50Feedmil46225</v>
      </c>
      <c r="U1315" s="797"/>
      <c r="V1315" s="797"/>
      <c r="W1315" s="785">
        <f>IFERROR(VLOOKUP($Q1315,'391'!$S:$AG,15,0),0)</f>
        <v>0</v>
      </c>
      <c r="X1315" s="1090">
        <f t="shared" si="785"/>
        <v>17.320000000000007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1649</v>
      </c>
      <c r="C1316" s="575"/>
      <c r="D1316" s="900"/>
      <c r="E1316" s="901"/>
      <c r="F1316" s="902"/>
      <c r="G1316" s="1337">
        <v>167.32</v>
      </c>
      <c r="H1316" s="1337">
        <f>+SUM(H1310:H1315)</f>
        <v>0</v>
      </c>
      <c r="I1316" s="1337">
        <f t="shared" ref="I1316:L1316" si="814">+SUM(I1310:I1315)</f>
        <v>0</v>
      </c>
      <c r="J1316" s="1337">
        <f t="shared" si="814"/>
        <v>3.78</v>
      </c>
      <c r="K1316" s="1337">
        <f t="shared" si="814"/>
        <v>0</v>
      </c>
      <c r="L1316" s="1337">
        <f t="shared" si="814"/>
        <v>163.54000000000002</v>
      </c>
      <c r="M1316" s="59">
        <f>IFERROR(R1316/$S$2,"")</f>
        <v>7.6155555555555559</v>
      </c>
      <c r="N1316" s="366">
        <f>IFERROR(L1316/M1316,0)</f>
        <v>21.474467464254452</v>
      </c>
      <c r="O1316" s="59">
        <f>IFERROR(SUMIF(ETM!$A:$A,$Q1316,ETM!$E:$E),"")</f>
        <v>7.5</v>
      </c>
      <c r="P1316" s="880">
        <f>IFERROR(L1316/O1316,0)</f>
        <v>21.805333333333337</v>
      </c>
      <c r="Q1316" s="795" t="s">
        <v>846</v>
      </c>
      <c r="R1316" s="785">
        <f>IFERROR(VLOOKUP($Q1316,'391'!$S:$Z,8,0),"")</f>
        <v>34.270000000000003</v>
      </c>
      <c r="S1316" s="796"/>
      <c r="T1316" s="797"/>
      <c r="U1316" s="797"/>
      <c r="V1316" s="797"/>
      <c r="W1316" s="785">
        <f>IFERROR(VLOOKUP($Q1316,'391'!$S:$AG,15,0),0)</f>
        <v>155.29</v>
      </c>
      <c r="X1316" s="1090">
        <f t="shared" si="785"/>
        <v>12.030000000000001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91" t="str">
        <f>IF(L1320=0,"",MAX($A$16:A1316)+1)</f>
        <v/>
      </c>
      <c r="B1317" s="2121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2198</v>
      </c>
      <c r="G1317" s="64">
        <v>0</v>
      </c>
      <c r="H1317" s="64"/>
      <c r="I1317" s="64"/>
      <c r="J1317" s="1367"/>
      <c r="K1317" s="64"/>
      <c r="L1317" s="1534">
        <f t="shared" si="807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85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92"/>
      <c r="B1318" s="2203"/>
      <c r="C1318" s="574" t="s">
        <v>510</v>
      </c>
      <c r="D1318" s="881" t="s">
        <v>10</v>
      </c>
      <c r="E1318" s="882">
        <v>43890</v>
      </c>
      <c r="F1318" s="71">
        <f>$L$7-E1318</f>
        <v>2386</v>
      </c>
      <c r="G1318" s="64">
        <v>0</v>
      </c>
      <c r="H1318" s="64"/>
      <c r="I1318" s="64"/>
      <c r="J1318" s="1367"/>
      <c r="K1318" s="64"/>
      <c r="L1318" s="1534">
        <f t="shared" si="807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85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93"/>
      <c r="B1319" s="2093"/>
      <c r="C1319" s="138" t="s">
        <v>76</v>
      </c>
      <c r="D1319" s="884" t="s">
        <v>10</v>
      </c>
      <c r="E1319" s="885">
        <v>44078</v>
      </c>
      <c r="F1319" s="293">
        <f>$L$7-E1319</f>
        <v>2198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4">
        <f t="shared" si="807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85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15">+SUM(I1317:I1319)</f>
        <v>0</v>
      </c>
      <c r="J1320" s="1337">
        <f t="shared" si="815"/>
        <v>0</v>
      </c>
      <c r="K1320" s="1337">
        <f t="shared" si="815"/>
        <v>0</v>
      </c>
      <c r="L1320" s="1534">
        <f t="shared" si="807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85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91" t="str">
        <f>IF(L1324=0,"",MAX($A$16:A1320)+1)</f>
        <v/>
      </c>
      <c r="B1321" s="2121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2277</v>
      </c>
      <c r="G1321" s="64">
        <v>0</v>
      </c>
      <c r="H1321" s="64"/>
      <c r="I1321" s="64"/>
      <c r="J1321" s="1367"/>
      <c r="K1321" s="64"/>
      <c r="L1321" s="1534">
        <f t="shared" si="807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85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92"/>
      <c r="B1322" s="2203"/>
      <c r="C1322" s="574" t="s">
        <v>510</v>
      </c>
      <c r="D1322" s="881" t="s">
        <v>10</v>
      </c>
      <c r="E1322" s="882">
        <v>43890</v>
      </c>
      <c r="F1322" s="71">
        <f>$L$7-E1322</f>
        <v>2386</v>
      </c>
      <c r="G1322" s="64">
        <v>0</v>
      </c>
      <c r="H1322" s="64"/>
      <c r="I1322" s="64"/>
      <c r="J1322" s="1367"/>
      <c r="K1322" s="64"/>
      <c r="L1322" s="1534">
        <f t="shared" si="807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85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93"/>
      <c r="B1323" s="2093"/>
      <c r="C1323" s="138" t="s">
        <v>76</v>
      </c>
      <c r="D1323" s="884" t="s">
        <v>10</v>
      </c>
      <c r="E1323" s="885">
        <v>43999</v>
      </c>
      <c r="F1323" s="293">
        <f>$L$7-E1323</f>
        <v>2277</v>
      </c>
      <c r="G1323" s="1214">
        <v>0</v>
      </c>
      <c r="H1323" s="37"/>
      <c r="I1323" s="37"/>
      <c r="J1323" s="1385">
        <f>usage!I159</f>
        <v>0</v>
      </c>
      <c r="K1323" s="37"/>
      <c r="L1323" s="1534">
        <f t="shared" si="807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85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16">+SUM(J1321:J1323)</f>
        <v>0</v>
      </c>
      <c r="K1324" s="1337">
        <f t="shared" si="816"/>
        <v>0</v>
      </c>
      <c r="L1324" s="1534">
        <f t="shared" si="807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85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91" t="str">
        <f>IF(L1330=0,"",MAX($A$16:A1324)+1)</f>
        <v/>
      </c>
      <c r="B1325" s="2083" t="s">
        <v>569</v>
      </c>
      <c r="C1325" s="574"/>
      <c r="D1325" s="881" t="s">
        <v>10</v>
      </c>
      <c r="E1325" s="882">
        <v>46129</v>
      </c>
      <c r="F1325" s="71">
        <f>$L$7-E1325</f>
        <v>147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3">
        <f t="shared" si="807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85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92"/>
      <c r="B1326" s="2084"/>
      <c r="C1326" s="574"/>
      <c r="D1326" s="881" t="s">
        <v>10</v>
      </c>
      <c r="E1326" s="882">
        <v>46162</v>
      </c>
      <c r="F1326" s="71">
        <f>$L$7-E1326</f>
        <v>114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3">
        <f t="shared" si="807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85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92"/>
      <c r="B1327" s="2084"/>
      <c r="C1327" s="574" t="s">
        <v>1249</v>
      </c>
      <c r="D1327" s="881" t="s">
        <v>10</v>
      </c>
      <c r="E1327" s="882">
        <v>46185</v>
      </c>
      <c r="F1327" s="71">
        <f>$L$7-E1327</f>
        <v>91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3">
        <f t="shared" si="807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85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129"/>
      <c r="B1328" s="2090"/>
      <c r="C1328" s="574"/>
      <c r="D1328" s="881" t="s">
        <v>10</v>
      </c>
      <c r="E1328" s="882">
        <v>46185</v>
      </c>
      <c r="F1328" s="71">
        <f>$L$7-E1328</f>
        <v>91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3">
        <f t="shared" si="807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85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93"/>
      <c r="B1329" s="2076"/>
      <c r="C1329" s="108" t="s">
        <v>46</v>
      </c>
      <c r="D1329" s="884" t="s">
        <v>10</v>
      </c>
      <c r="E1329" s="885">
        <v>46185</v>
      </c>
      <c r="F1329" s="293">
        <f>$L$7-E1329</f>
        <v>91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4">
        <f t="shared" si="807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85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17">+SUM(J1325:J1329)</f>
        <v>0</v>
      </c>
      <c r="K1330" s="1337">
        <f t="shared" si="817"/>
        <v>0</v>
      </c>
      <c r="L1330" s="1337">
        <f t="shared" si="817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85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91" t="str">
        <f>IF(L1334=0,"",MAX($A$16:A1330)+1)</f>
        <v/>
      </c>
      <c r="B1331" s="2121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2129</v>
      </c>
      <c r="G1331" s="64">
        <v>0</v>
      </c>
      <c r="H1331" s="64"/>
      <c r="I1331" s="64"/>
      <c r="J1331" s="1367"/>
      <c r="K1331" s="64"/>
      <c r="L1331" s="1534">
        <f t="shared" ref="L1331:L1340" si="818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85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92"/>
      <c r="B1332" s="2203"/>
      <c r="C1332" s="574" t="s">
        <v>510</v>
      </c>
      <c r="D1332" s="881" t="s">
        <v>10</v>
      </c>
      <c r="E1332" s="882">
        <v>44125</v>
      </c>
      <c r="F1332" s="71">
        <f>$L$7-E1332</f>
        <v>2151</v>
      </c>
      <c r="G1332" s="64">
        <v>0</v>
      </c>
      <c r="H1332" s="64"/>
      <c r="I1332" s="64"/>
      <c r="J1332" s="1367"/>
      <c r="K1332" s="64"/>
      <c r="L1332" s="1534">
        <f t="shared" si="818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85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93"/>
      <c r="B1333" s="2093"/>
      <c r="C1333" s="138" t="s">
        <v>76</v>
      </c>
      <c r="D1333" s="884" t="s">
        <v>10</v>
      </c>
      <c r="E1333" s="885">
        <v>44147</v>
      </c>
      <c r="F1333" s="293">
        <f>$L$7-E1333</f>
        <v>2129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4">
        <f t="shared" si="818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85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19">+SUM(I1331:I1333)</f>
        <v>0</v>
      </c>
      <c r="J1334" s="1337">
        <f t="shared" si="819"/>
        <v>0</v>
      </c>
      <c r="K1334" s="1337">
        <f t="shared" si="819"/>
        <v>0</v>
      </c>
      <c r="L1334" s="1534">
        <f t="shared" si="818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85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91">
        <f>IF(L1341=0,"",MAX($A$16:A1334)+1)</f>
        <v>90</v>
      </c>
      <c r="B1335" s="2083" t="s">
        <v>602</v>
      </c>
      <c r="C1335" s="574"/>
      <c r="D1335" s="881" t="s">
        <v>10</v>
      </c>
      <c r="E1335" s="882">
        <v>45715</v>
      </c>
      <c r="F1335" s="71">
        <f t="shared" ref="F1335" si="820">$L$7-E1335</f>
        <v>561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3">
        <f t="shared" si="818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21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85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129"/>
      <c r="B1336" s="2090"/>
      <c r="C1336" s="574"/>
      <c r="D1336" s="881" t="s">
        <v>10</v>
      </c>
      <c r="E1336" s="882">
        <v>45764</v>
      </c>
      <c r="F1336" s="71">
        <f t="shared" ref="F1336" si="822">$L$7-E1336</f>
        <v>512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3">
        <f t="shared" si="818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21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85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129"/>
      <c r="B1337" s="2090"/>
      <c r="C1337" s="574"/>
      <c r="D1337" s="881" t="s">
        <v>10</v>
      </c>
      <c r="E1337" s="882">
        <v>46114</v>
      </c>
      <c r="F1337" s="71">
        <f t="shared" ref="F1337:F1338" si="823">$L$7-E1337</f>
        <v>162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3">
        <f t="shared" si="818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21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85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92"/>
      <c r="B1338" s="2084"/>
      <c r="C1338" s="574" t="s">
        <v>1313</v>
      </c>
      <c r="D1338" s="881" t="s">
        <v>10</v>
      </c>
      <c r="E1338" s="882">
        <v>46206</v>
      </c>
      <c r="F1338" s="71">
        <f t="shared" si="823"/>
        <v>70</v>
      </c>
      <c r="G1338" s="64">
        <v>620</v>
      </c>
      <c r="H1338" s="64"/>
      <c r="I1338" s="64"/>
      <c r="J1338" s="1367"/>
      <c r="K1338" s="64">
        <f>IFERROR(SUMIF(INTAKE!$A:$A,$T1338,INTAKE!$P:$P),0)</f>
        <v>0</v>
      </c>
      <c r="L1338" s="1703">
        <f t="shared" si="818"/>
        <v>620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21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85"/>
        <v>620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129"/>
      <c r="B1339" s="2090"/>
      <c r="C1339" s="574" t="s">
        <v>1313</v>
      </c>
      <c r="D1339" s="881" t="s">
        <v>10</v>
      </c>
      <c r="E1339" s="882">
        <v>46248</v>
      </c>
      <c r="F1339" s="71">
        <f t="shared" ref="F1339:F1340" si="824">$L$7-E1339</f>
        <v>28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3">
        <f t="shared" si="818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21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85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93"/>
      <c r="B1340" s="2076"/>
      <c r="C1340" s="108" t="s">
        <v>46</v>
      </c>
      <c r="D1340" s="884" t="s">
        <v>10</v>
      </c>
      <c r="E1340" s="885">
        <v>46206</v>
      </c>
      <c r="F1340" s="293">
        <f t="shared" si="824"/>
        <v>70</v>
      </c>
      <c r="G1340" s="1214">
        <v>112</v>
      </c>
      <c r="H1340" s="37"/>
      <c r="I1340" s="37">
        <f>+SUM(K1337:K1339)</f>
        <v>0</v>
      </c>
      <c r="J1340" s="1385">
        <f>usage!I147</f>
        <v>80</v>
      </c>
      <c r="K1340" s="64">
        <f>IFERROR(SUMIF(INTAKE!$A:$A,$T1340,INTAKE!$P:$P),0)</f>
        <v>0</v>
      </c>
      <c r="L1340" s="1534">
        <f t="shared" si="818"/>
        <v>32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21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85"/>
        <v>112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1732</v>
      </c>
      <c r="H1341" s="1337">
        <f>+SUM(H1335:H1340)</f>
        <v>0</v>
      </c>
      <c r="I1341" s="1337">
        <f t="shared" ref="I1341:L1341" si="825">+SUM(I1335:I1340)</f>
        <v>0</v>
      </c>
      <c r="J1341" s="1337">
        <f>+SUM(J1335:J1340)</f>
        <v>80</v>
      </c>
      <c r="K1341" s="1337">
        <f t="shared" si="825"/>
        <v>0</v>
      </c>
      <c r="L1341" s="1337">
        <f t="shared" si="825"/>
        <v>1652</v>
      </c>
      <c r="M1341" s="59">
        <f>+M1091</f>
        <v>17.777777777777779</v>
      </c>
      <c r="N1341" s="366">
        <f>IFERROR(L1341/M1341,0)</f>
        <v>92.924999999999997</v>
      </c>
      <c r="O1341" s="59">
        <f>+O1091</f>
        <v>32</v>
      </c>
      <c r="P1341" s="880">
        <f>IFERROR(L1341/O1341,0)</f>
        <v>51.625</v>
      </c>
      <c r="Q1341" s="795" t="s">
        <v>602</v>
      </c>
      <c r="R1341" s="785">
        <f>IFERROR(VLOOKUP($Q1341,'391'!$S:$Z,8,0),"")</f>
        <v>80</v>
      </c>
      <c r="S1341" s="796"/>
      <c r="T1341" s="797"/>
      <c r="U1341" s="797"/>
      <c r="V1341" s="797"/>
      <c r="W1341" s="785">
        <f>IFERROR(VLOOKUP($Q1341,'391'!$S:$AG,15,0),0)</f>
        <v>1859.7</v>
      </c>
      <c r="X1341" s="1090">
        <f>G1341-W1341</f>
        <v>-127.70000000000005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91" t="str">
        <f>IF(L1347=0,"",MAX($A$16:A1341)+1)</f>
        <v/>
      </c>
      <c r="B1342" s="2083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2059</v>
      </c>
      <c r="G1342" s="64">
        <v>0</v>
      </c>
      <c r="H1342" s="64"/>
      <c r="I1342" s="64"/>
      <c r="J1342" s="1367"/>
      <c r="K1342" s="64"/>
      <c r="L1342" s="1534">
        <f t="shared" ref="L1342:L1360" si="826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85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92"/>
      <c r="B1343" s="2084"/>
      <c r="C1343" s="574" t="s">
        <v>248</v>
      </c>
      <c r="D1343" s="881" t="s">
        <v>10</v>
      </c>
      <c r="E1343" s="882">
        <v>44217</v>
      </c>
      <c r="F1343" s="71">
        <f>$L$7-E1343</f>
        <v>2059</v>
      </c>
      <c r="G1343" s="64">
        <v>0</v>
      </c>
      <c r="H1343" s="64"/>
      <c r="I1343" s="64"/>
      <c r="J1343" s="1367"/>
      <c r="K1343" s="64"/>
      <c r="L1343" s="1534">
        <f t="shared" si="826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85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92"/>
      <c r="B1344" s="2084"/>
      <c r="C1344" s="574" t="s">
        <v>248</v>
      </c>
      <c r="D1344" s="881" t="s">
        <v>10</v>
      </c>
      <c r="E1344" s="882">
        <v>44217</v>
      </c>
      <c r="F1344" s="71">
        <f>$L$7-E1344</f>
        <v>2059</v>
      </c>
      <c r="G1344" s="64">
        <v>0</v>
      </c>
      <c r="H1344" s="64"/>
      <c r="I1344" s="64"/>
      <c r="J1344" s="1367"/>
      <c r="K1344" s="64"/>
      <c r="L1344" s="1534">
        <f t="shared" si="826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85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92"/>
      <c r="B1345" s="2084"/>
      <c r="C1345" s="574" t="s">
        <v>248</v>
      </c>
      <c r="D1345" s="881" t="s">
        <v>10</v>
      </c>
      <c r="E1345" s="882">
        <v>44217</v>
      </c>
      <c r="F1345" s="71">
        <f>$L$7-E1345</f>
        <v>2059</v>
      </c>
      <c r="G1345" s="64">
        <v>0</v>
      </c>
      <c r="H1345" s="64"/>
      <c r="I1345" s="64"/>
      <c r="J1345" s="1367"/>
      <c r="K1345" s="64"/>
      <c r="L1345" s="1534">
        <f t="shared" si="826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85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93"/>
      <c r="B1346" s="2076"/>
      <c r="C1346" s="138" t="s">
        <v>76</v>
      </c>
      <c r="D1346" s="884" t="s">
        <v>10</v>
      </c>
      <c r="E1346" s="885">
        <v>44217</v>
      </c>
      <c r="F1346" s="293">
        <f>$L$7-E1346</f>
        <v>2059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4">
        <f t="shared" si="826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85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27">+SUM(I1342:I1346)</f>
        <v>0</v>
      </c>
      <c r="J1347" s="1337">
        <f t="shared" si="827"/>
        <v>0</v>
      </c>
      <c r="K1347" s="1337">
        <f t="shared" si="827"/>
        <v>0</v>
      </c>
      <c r="L1347" s="1534">
        <f t="shared" si="826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85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91" t="str">
        <f>IF(L1353=0,"",MAX($A$16:A1347)+1)</f>
        <v/>
      </c>
      <c r="B1348" s="2083" t="s">
        <v>1224</v>
      </c>
      <c r="C1348" s="574"/>
      <c r="D1348" s="881" t="s">
        <v>10</v>
      </c>
      <c r="E1348" s="882">
        <v>44398</v>
      </c>
      <c r="F1348" s="71">
        <f>$L$7-E1348</f>
        <v>1878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4">
        <f t="shared" si="826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85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92"/>
      <c r="B1349" s="2084"/>
      <c r="C1349" s="574"/>
      <c r="D1349" s="881" t="s">
        <v>10</v>
      </c>
      <c r="E1349" s="882">
        <v>44398</v>
      </c>
      <c r="F1349" s="71">
        <f>$L$7-E1349</f>
        <v>1878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4">
        <f t="shared" si="826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85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92"/>
      <c r="B1350" s="2084"/>
      <c r="C1350" s="574" t="s">
        <v>248</v>
      </c>
      <c r="D1350" s="881" t="s">
        <v>10</v>
      </c>
      <c r="E1350" s="882">
        <v>44217</v>
      </c>
      <c r="F1350" s="71">
        <f>$L$7-E1350</f>
        <v>2059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4">
        <f t="shared" si="826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85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92"/>
      <c r="B1351" s="2084"/>
      <c r="C1351" s="574" t="s">
        <v>248</v>
      </c>
      <c r="D1351" s="881" t="s">
        <v>10</v>
      </c>
      <c r="E1351" s="882">
        <v>44217</v>
      </c>
      <c r="F1351" s="71">
        <f>$L$7-E1351</f>
        <v>2059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4">
        <f t="shared" si="826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85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93"/>
      <c r="B1352" s="2076"/>
      <c r="C1352" s="138" t="s">
        <v>76</v>
      </c>
      <c r="D1352" s="884" t="s">
        <v>10</v>
      </c>
      <c r="E1352" s="885">
        <v>44398</v>
      </c>
      <c r="F1352" s="293">
        <f>$L$7-E1352</f>
        <v>1878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4">
        <f t="shared" si="826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85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28">+SUM(I1348:I1352)</f>
        <v>0</v>
      </c>
      <c r="J1353" s="1337">
        <f t="shared" si="828"/>
        <v>0</v>
      </c>
      <c r="K1353" s="1337">
        <f t="shared" si="828"/>
        <v>0</v>
      </c>
      <c r="L1353" s="1534">
        <f t="shared" si="826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29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91">
        <f>IF(L1361=0,"",MAX($A$16:A1353)+1)</f>
        <v>91</v>
      </c>
      <c r="B1354" s="2083" t="s">
        <v>872</v>
      </c>
      <c r="C1354" s="574"/>
      <c r="D1354" s="881" t="s">
        <v>10</v>
      </c>
      <c r="E1354" s="882">
        <v>44288</v>
      </c>
      <c r="F1354" s="71">
        <f t="shared" ref="F1354:F1360" si="830">$L$7-E1354</f>
        <v>1988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4">
        <f t="shared" si="826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31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29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92"/>
      <c r="B1355" s="2084"/>
      <c r="C1355" s="574" t="s">
        <v>267</v>
      </c>
      <c r="D1355" s="881" t="s">
        <v>10</v>
      </c>
      <c r="E1355" s="882">
        <v>46254</v>
      </c>
      <c r="F1355" s="71">
        <f t="shared" ref="F1355:F1356" si="832">$L$7-E1355</f>
        <v>22</v>
      </c>
      <c r="G1355" s="64">
        <v>200</v>
      </c>
      <c r="H1355" s="64"/>
      <c r="I1355" s="64"/>
      <c r="J1355" s="1367"/>
      <c r="K1355" s="1348">
        <f>IFERROR(SUMIF(INTAKE!$A:$A,$T1355,INTAKE!$P:$P),0)</f>
        <v>200</v>
      </c>
      <c r="L1355" s="1703">
        <f t="shared" si="826"/>
        <v>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31"/>
        <v>L-Arginine (China)Z6.146254</v>
      </c>
      <c r="U1355" s="797"/>
      <c r="V1355" s="797"/>
      <c r="W1355" s="785">
        <f>IFERROR(VLOOKUP($Q1355,'391'!$S:$AG,15,0),0)</f>
        <v>0</v>
      </c>
      <c r="X1355" s="1090">
        <f t="shared" si="829"/>
        <v>200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92"/>
      <c r="B1356" s="2084"/>
      <c r="C1356" s="574" t="s">
        <v>267</v>
      </c>
      <c r="D1356" s="881" t="s">
        <v>10</v>
      </c>
      <c r="E1356" s="882">
        <v>46262</v>
      </c>
      <c r="F1356" s="71">
        <f t="shared" si="832"/>
        <v>14</v>
      </c>
      <c r="G1356" s="64">
        <v>1000</v>
      </c>
      <c r="H1356" s="64"/>
      <c r="I1356" s="64"/>
      <c r="J1356" s="1367"/>
      <c r="K1356" s="64">
        <f>IFERROR(SUMIF(INTAKE!$A:$A,$T1356,INTAKE!$P:$P),0)</f>
        <v>0</v>
      </c>
      <c r="L1356" s="1703">
        <f t="shared" si="826"/>
        <v>1000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31"/>
        <v>L-Arginine (China)Z6.146262</v>
      </c>
      <c r="U1356" s="797"/>
      <c r="V1356" s="797"/>
      <c r="W1356" s="785">
        <f>IFERROR(VLOOKUP($Q1356,'391'!$S:$AG,15,0),0)</f>
        <v>0</v>
      </c>
      <c r="X1356" s="1090">
        <f t="shared" si="829"/>
        <v>1000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customHeight="1" x14ac:dyDescent="0.25">
      <c r="A1357" s="2092"/>
      <c r="B1357" s="2084"/>
      <c r="C1357" s="574" t="s">
        <v>267</v>
      </c>
      <c r="D1357" s="881" t="s">
        <v>10</v>
      </c>
      <c r="E1357" s="882">
        <v>46270</v>
      </c>
      <c r="F1357" s="71">
        <f t="shared" ref="F1357" si="833">$L$7-E1357</f>
        <v>6</v>
      </c>
      <c r="G1357" s="64">
        <v>1000</v>
      </c>
      <c r="H1357" s="64"/>
      <c r="I1357" s="64"/>
      <c r="J1357" s="1367"/>
      <c r="K1357" s="64">
        <f>IFERROR(SUMIF(INTAKE!$A:$A,$T1357,INTAKE!$P:$P),0)</f>
        <v>0</v>
      </c>
      <c r="L1357" s="1703">
        <f t="shared" si="826"/>
        <v>1000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31"/>
        <v>L-Arginine (China)Z6.146270</v>
      </c>
      <c r="U1357" s="797"/>
      <c r="V1357" s="797"/>
      <c r="W1357" s="785">
        <f>IFERROR(VLOOKUP($Q1357,'391'!$S:$AG,15,0),0)</f>
        <v>0</v>
      </c>
      <c r="X1357" s="1090">
        <f t="shared" si="829"/>
        <v>1000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129"/>
      <c r="B1358" s="2090"/>
      <c r="C1358" s="574"/>
      <c r="D1358" s="881" t="s">
        <v>10</v>
      </c>
      <c r="E1358" s="882">
        <v>45665</v>
      </c>
      <c r="F1358" s="71">
        <f t="shared" ref="F1358" si="834">$L$7-E1358</f>
        <v>611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3">
        <f t="shared" si="826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31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29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129"/>
      <c r="B1359" s="2090"/>
      <c r="C1359" s="574"/>
      <c r="D1359" s="881" t="s">
        <v>10</v>
      </c>
      <c r="E1359" s="882">
        <v>45665</v>
      </c>
      <c r="F1359" s="71">
        <f t="shared" si="830"/>
        <v>611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2">
        <f t="shared" si="826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31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29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93"/>
      <c r="B1360" s="2076"/>
      <c r="C1360" s="108" t="s">
        <v>46</v>
      </c>
      <c r="D1360" s="884" t="s">
        <v>10</v>
      </c>
      <c r="E1360" s="885">
        <v>46254</v>
      </c>
      <c r="F1360" s="293">
        <f t="shared" si="830"/>
        <v>22</v>
      </c>
      <c r="G1360" s="1214">
        <v>134.71999999999997</v>
      </c>
      <c r="H1360" s="37"/>
      <c r="I1360" s="37">
        <f>+K1355+K1354+K1356+K1357</f>
        <v>200</v>
      </c>
      <c r="J1360" s="1385">
        <f>usage!I163</f>
        <v>120.42</v>
      </c>
      <c r="K1360" s="64">
        <f>IFERROR(SUMIF(INTAKE!$A:$A,$T1360,INTAKE!$P:$P),0)</f>
        <v>0</v>
      </c>
      <c r="L1360" s="1534">
        <f t="shared" si="826"/>
        <v>214.29999999999995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31"/>
        <v>L-Arginine (China)Feedmill46254</v>
      </c>
      <c r="U1360" s="797"/>
      <c r="V1360" s="797"/>
      <c r="W1360" s="785">
        <f>IFERROR(VLOOKUP($Q1360,'391'!$S:$AG,15,0),0)</f>
        <v>0</v>
      </c>
      <c r="X1360" s="1090">
        <f t="shared" si="829"/>
        <v>134.71999999999997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2334.7199999999998</v>
      </c>
      <c r="H1361" s="1337">
        <f>+SUM(H1354:H1360)</f>
        <v>0</v>
      </c>
      <c r="I1361" s="1337">
        <f t="shared" ref="I1361:L1361" si="835">+SUM(I1354:I1360)</f>
        <v>200</v>
      </c>
      <c r="J1361" s="1337">
        <f t="shared" si="835"/>
        <v>120.42</v>
      </c>
      <c r="K1361" s="1337">
        <f t="shared" si="835"/>
        <v>200</v>
      </c>
      <c r="L1361" s="1337">
        <f t="shared" si="835"/>
        <v>2214.3000000000002</v>
      </c>
      <c r="M1361" s="59">
        <f>IFERROR(R1361/$S$2,"")</f>
        <v>97.506666666666675</v>
      </c>
      <c r="N1361" s="366">
        <f>IFERROR(L1361/M1361,0)</f>
        <v>22.709216463831535</v>
      </c>
      <c r="O1361" s="59">
        <f>IFERROR(SUMIF(ETM!$A:$A,$Q1361,ETM!$E:$E),"")</f>
        <v>63.666666666666664</v>
      </c>
      <c r="P1361" s="880">
        <f>IFERROR(L1361/O1361,0)</f>
        <v>34.779581151832467</v>
      </c>
      <c r="Q1361" s="795" t="s">
        <v>879</v>
      </c>
      <c r="R1361" s="785">
        <f>IFERROR(VLOOKUP($Q1361,'391'!$S:$Z,8,0),"")</f>
        <v>438.78000000000003</v>
      </c>
      <c r="S1361" s="796"/>
      <c r="T1361" s="797"/>
      <c r="U1361" s="797"/>
      <c r="V1361" s="797"/>
      <c r="W1361" s="785">
        <f>IFERROR(VLOOKUP($Q1361,'391'!$S:$AG,15,0),0)</f>
        <v>2741.4</v>
      </c>
      <c r="X1361" s="1090">
        <f t="shared" si="829"/>
        <v>-406.68000000000029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91" t="str">
        <f>IF(L1367=0,"",MAX($A$16:A1361)+1)</f>
        <v/>
      </c>
      <c r="B1362" s="2083" t="s">
        <v>1187</v>
      </c>
      <c r="C1362" s="574" t="s">
        <v>267</v>
      </c>
      <c r="D1362" s="881" t="s">
        <v>10</v>
      </c>
      <c r="E1362" s="882">
        <v>44790</v>
      </c>
      <c r="F1362" s="71">
        <f>$L$7-E1362</f>
        <v>1486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4">
        <f t="shared" ref="L1362:L1398" si="836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29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92"/>
      <c r="B1363" s="2084"/>
      <c r="C1363" s="574"/>
      <c r="D1363" s="881" t="s">
        <v>10</v>
      </c>
      <c r="E1363" s="882"/>
      <c r="F1363" s="71">
        <f>$L$7-E1363</f>
        <v>46276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4">
        <f t="shared" si="836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29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92"/>
      <c r="B1364" s="2084"/>
      <c r="C1364" s="574"/>
      <c r="D1364" s="881" t="s">
        <v>10</v>
      </c>
      <c r="E1364" s="882"/>
      <c r="F1364" s="71">
        <f>$L$7-E1364</f>
        <v>46276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4">
        <f t="shared" si="836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29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92"/>
      <c r="B1365" s="2084"/>
      <c r="C1365" s="574"/>
      <c r="D1365" s="881" t="s">
        <v>10</v>
      </c>
      <c r="E1365" s="882"/>
      <c r="F1365" s="71">
        <f>$L$7-E1365</f>
        <v>46276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4">
        <f t="shared" si="836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29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93"/>
      <c r="B1366" s="2076"/>
      <c r="C1366" s="138" t="s">
        <v>76</v>
      </c>
      <c r="D1366" s="884" t="s">
        <v>10</v>
      </c>
      <c r="E1366" s="885">
        <v>44790</v>
      </c>
      <c r="F1366" s="293">
        <f>$L$7-E1366</f>
        <v>1486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4">
        <f t="shared" si="836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29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37">+SUM(I1362:I1366)</f>
        <v>0</v>
      </c>
      <c r="J1367" s="1337">
        <f t="shared" si="837"/>
        <v>0</v>
      </c>
      <c r="K1367" s="1337">
        <f t="shared" si="837"/>
        <v>0</v>
      </c>
      <c r="L1367" s="1534">
        <f t="shared" si="836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29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91" t="str">
        <f>IF(L1373=0,"",MAX($A$16:A1367)+1)</f>
        <v/>
      </c>
      <c r="B1368" s="2083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1982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4">
        <f t="shared" si="836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29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92"/>
      <c r="B1369" s="2084"/>
      <c r="C1369" s="574" t="s">
        <v>248</v>
      </c>
      <c r="D1369" s="881" t="s">
        <v>10</v>
      </c>
      <c r="E1369" s="882">
        <v>44217</v>
      </c>
      <c r="F1369" s="71">
        <f>$L$7-E1369</f>
        <v>2059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4">
        <f t="shared" si="836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29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92"/>
      <c r="B1370" s="2084"/>
      <c r="C1370" s="574" t="s">
        <v>248</v>
      </c>
      <c r="D1370" s="881" t="s">
        <v>10</v>
      </c>
      <c r="E1370" s="882">
        <v>44217</v>
      </c>
      <c r="F1370" s="71">
        <f>$L$7-E1370</f>
        <v>2059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4">
        <f t="shared" si="836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29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92"/>
      <c r="B1371" s="2084"/>
      <c r="C1371" s="574" t="s">
        <v>248</v>
      </c>
      <c r="D1371" s="881" t="s">
        <v>10</v>
      </c>
      <c r="E1371" s="882">
        <v>44217</v>
      </c>
      <c r="F1371" s="71">
        <f>$L$7-E1371</f>
        <v>2059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4">
        <f t="shared" si="836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29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93"/>
      <c r="B1372" s="2076"/>
      <c r="C1372" s="138" t="s">
        <v>76</v>
      </c>
      <c r="D1372" s="884" t="s">
        <v>10</v>
      </c>
      <c r="E1372" s="885">
        <v>44294</v>
      </c>
      <c r="F1372" s="293">
        <f>$L$7-E1372</f>
        <v>1982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4">
        <f t="shared" si="836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29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38">+SUM(I1368:I1372)</f>
        <v>0</v>
      </c>
      <c r="J1373" s="1337">
        <f t="shared" si="838"/>
        <v>0</v>
      </c>
      <c r="K1373" s="1337">
        <f t="shared" si="838"/>
        <v>0</v>
      </c>
      <c r="L1373" s="1534">
        <f t="shared" si="836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29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91">
        <f>IF(L1382=0,"",MAX($A$16:A1373)+1)</f>
        <v>92</v>
      </c>
      <c r="B1374" s="2083" t="s">
        <v>903</v>
      </c>
      <c r="C1374" s="574"/>
      <c r="D1374" s="881" t="s">
        <v>10</v>
      </c>
      <c r="E1374" s="882">
        <v>46087</v>
      </c>
      <c r="F1374" s="71">
        <f t="shared" ref="F1374:F1378" si="839">$L$7-E1374</f>
        <v>189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3">
        <f t="shared" si="836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40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29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92"/>
      <c r="B1375" s="2084"/>
      <c r="C1375" s="574" t="s">
        <v>283</v>
      </c>
      <c r="D1375" s="881" t="s">
        <v>10</v>
      </c>
      <c r="E1375" s="882">
        <v>46262</v>
      </c>
      <c r="F1375" s="71">
        <f t="shared" ref="F1375:F1377" si="841">$L$7-E1375</f>
        <v>14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3">
        <f t="shared" si="836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40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29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92"/>
      <c r="B1376" s="2084"/>
      <c r="C1376" s="574" t="s">
        <v>284</v>
      </c>
      <c r="D1376" s="881" t="s">
        <v>10</v>
      </c>
      <c r="E1376" s="882">
        <v>46262</v>
      </c>
      <c r="F1376" s="71">
        <f t="shared" si="841"/>
        <v>14</v>
      </c>
      <c r="G1376" s="64">
        <v>12500</v>
      </c>
      <c r="H1376" s="64"/>
      <c r="I1376" s="64"/>
      <c r="J1376" s="1367"/>
      <c r="K1376" s="64">
        <f>IFERROR(SUMIF(INTAKE!$A:$A,$T1376,INTAKE!$P:$P),0)</f>
        <v>2500</v>
      </c>
      <c r="L1376" s="1703">
        <f t="shared" si="836"/>
        <v>10000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40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29"/>
        <v>12500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129"/>
      <c r="B1377" s="2090"/>
      <c r="C1377" s="574" t="s">
        <v>283</v>
      </c>
      <c r="D1377" s="881" t="s">
        <v>10</v>
      </c>
      <c r="E1377" s="882">
        <v>46263</v>
      </c>
      <c r="F1377" s="71">
        <f t="shared" si="841"/>
        <v>13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3">
        <f t="shared" si="836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40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29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hidden="1" customHeight="1" x14ac:dyDescent="0.25">
      <c r="A1378" s="2129"/>
      <c r="B1378" s="2090"/>
      <c r="C1378" s="574"/>
      <c r="D1378" s="881" t="s">
        <v>10</v>
      </c>
      <c r="E1378" s="882">
        <v>46263</v>
      </c>
      <c r="F1378" s="71">
        <f t="shared" si="839"/>
        <v>13</v>
      </c>
      <c r="G1378" s="64">
        <v>0</v>
      </c>
      <c r="H1378" s="64"/>
      <c r="I1378" s="64"/>
      <c r="J1378" s="1367"/>
      <c r="K1378" s="64">
        <f>IFERROR(SUMIF(INTAKE!$A:$A,$T1378,INTAKE!$P:$P),0)</f>
        <v>0</v>
      </c>
      <c r="L1378" s="1703">
        <f t="shared" ref="L1378:L1379" si="842">+G1378+H1378+I1378-J1378-K1378</f>
        <v>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40"/>
        <v>DPS 50(USA)46263</v>
      </c>
      <c r="U1378" s="797"/>
      <c r="V1378" s="797"/>
      <c r="W1378" s="785">
        <f>IFERROR(VLOOKUP($Q1378,'391'!$S:$AG,15,0),0)</f>
        <v>0</v>
      </c>
      <c r="X1378" s="1090">
        <f t="shared" ref="X1378:X1379" si="843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129"/>
      <c r="B1379" s="2090"/>
      <c r="C1379" s="574"/>
      <c r="D1379" s="881" t="s">
        <v>10</v>
      </c>
      <c r="E1379" s="882">
        <v>46263</v>
      </c>
      <c r="F1379" s="71">
        <f t="shared" ref="F1379" si="844">$L$7-E1379</f>
        <v>13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3">
        <f t="shared" si="842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40"/>
        <v>DPS 50(USA)46263</v>
      </c>
      <c r="U1379" s="797"/>
      <c r="V1379" s="797"/>
      <c r="W1379" s="785">
        <f>IFERROR(VLOOKUP($Q1379,'391'!$S:$AG,15,0),0)</f>
        <v>0</v>
      </c>
      <c r="X1379" s="1090">
        <f t="shared" si="843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92"/>
      <c r="B1380" s="2084"/>
      <c r="C1380" s="574"/>
      <c r="D1380" s="881" t="s">
        <v>10</v>
      </c>
      <c r="E1380" s="882">
        <v>46087</v>
      </c>
      <c r="F1380" s="71">
        <f t="shared" ref="F1380:F1381" si="845">$L$7-E1380</f>
        <v>189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3">
        <f t="shared" si="836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40"/>
        <v>DPS 50(USA)46087</v>
      </c>
      <c r="U1380" s="797"/>
      <c r="V1380" s="797"/>
      <c r="W1380" s="785">
        <f>IFERROR(VLOOKUP($Q1380,'391'!$S:$AG,15,0),0)</f>
        <v>0</v>
      </c>
      <c r="X1380" s="1090">
        <f t="shared" si="829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93"/>
      <c r="B1381" s="2076"/>
      <c r="C1381" s="138" t="s">
        <v>76</v>
      </c>
      <c r="D1381" s="884" t="s">
        <v>10</v>
      </c>
      <c r="E1381" s="885">
        <v>46262</v>
      </c>
      <c r="F1381" s="293">
        <f t="shared" si="845"/>
        <v>14</v>
      </c>
      <c r="G1381" s="1214">
        <v>785</v>
      </c>
      <c r="H1381" s="37"/>
      <c r="I1381" s="37">
        <f>SUM(K1374:K1378)</f>
        <v>2500</v>
      </c>
      <c r="J1381" s="1385">
        <f>usage!I167</f>
        <v>0</v>
      </c>
      <c r="K1381" s="64">
        <f>IFERROR(SUMIF(INTAKE!$A:$A,$T1381,INTAKE!$P:$P),0)</f>
        <v>0</v>
      </c>
      <c r="L1381" s="1534">
        <f t="shared" si="836"/>
        <v>3285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40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29"/>
        <v>785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22285</v>
      </c>
      <c r="H1382" s="1337">
        <f>+SUM(H1374:H1381)</f>
        <v>0</v>
      </c>
      <c r="I1382" s="1337">
        <f t="shared" ref="I1382:L1382" si="846">+SUM(I1374:I1381)</f>
        <v>2500</v>
      </c>
      <c r="J1382" s="1337">
        <f t="shared" si="846"/>
        <v>0</v>
      </c>
      <c r="K1382" s="1337">
        <f t="shared" si="846"/>
        <v>2500</v>
      </c>
      <c r="L1382" s="1337">
        <f t="shared" si="846"/>
        <v>22285</v>
      </c>
      <c r="M1382" s="59">
        <f>IFERROR(R1382/$S$2,"")</f>
        <v>1410</v>
      </c>
      <c r="N1382" s="366">
        <f>IFERROR(L1382/M1382,0)</f>
        <v>15.804964539007091</v>
      </c>
      <c r="O1382" s="59">
        <f>IFERROR(SUMIF(ETM!$A:$A,$Q1382,ETM!$E:$E),"")</f>
        <v>585</v>
      </c>
      <c r="P1382" s="880">
        <f>IFERROR(L1382/O1382,0)</f>
        <v>38.094017094017097</v>
      </c>
      <c r="Q1382" s="795" t="s">
        <v>903</v>
      </c>
      <c r="R1382" s="785">
        <f>IFERROR(VLOOKUP($Q1382,'391'!$S:$Z,8,0),"")</f>
        <v>6345</v>
      </c>
      <c r="S1382" s="796"/>
      <c r="T1382" s="797"/>
      <c r="U1382" s="797"/>
      <c r="V1382" s="797"/>
      <c r="W1382" s="785">
        <f>IFERROR(VLOOKUP($Q1382,'391'!$S:$AG,15,0),0)</f>
        <v>26420</v>
      </c>
      <c r="X1382" s="1090">
        <f t="shared" si="829"/>
        <v>-4135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91" t="str">
        <f>IF(L1388=0,"",MAX($A$16:A1382)+1)</f>
        <v/>
      </c>
      <c r="B1383" s="2083" t="s">
        <v>905</v>
      </c>
      <c r="C1383" s="574"/>
      <c r="D1383" s="881" t="s">
        <v>10</v>
      </c>
      <c r="E1383" s="882">
        <v>44918</v>
      </c>
      <c r="F1383" s="71">
        <f>$L$7-E1383</f>
        <v>1358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4">
        <f t="shared" si="836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29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92"/>
      <c r="B1384" s="2084"/>
      <c r="C1384" s="574" t="s">
        <v>1232</v>
      </c>
      <c r="D1384" s="881" t="s">
        <v>10</v>
      </c>
      <c r="E1384" s="882">
        <v>44918</v>
      </c>
      <c r="F1384" s="71">
        <f>$L$7-E1384</f>
        <v>1358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4">
        <f t="shared" si="836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29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92"/>
      <c r="B1385" s="2084"/>
      <c r="C1385" s="574"/>
      <c r="D1385" s="881" t="s">
        <v>10</v>
      </c>
      <c r="E1385" s="882">
        <v>44217</v>
      </c>
      <c r="F1385" s="71">
        <f>$L$7-E1385</f>
        <v>2059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4">
        <f t="shared" si="836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29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92"/>
      <c r="B1386" s="2084"/>
      <c r="C1386" s="574"/>
      <c r="D1386" s="881" t="s">
        <v>10</v>
      </c>
      <c r="E1386" s="882">
        <v>44217</v>
      </c>
      <c r="F1386" s="71">
        <f>$L$7-E1386</f>
        <v>2059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4">
        <f t="shared" si="836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29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93"/>
      <c r="B1387" s="2076"/>
      <c r="C1387" s="138" t="s">
        <v>76</v>
      </c>
      <c r="D1387" s="884" t="s">
        <v>10</v>
      </c>
      <c r="E1387" s="885">
        <v>44918</v>
      </c>
      <c r="F1387" s="293">
        <f>$L$7-E1387</f>
        <v>1358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4">
        <f t="shared" si="836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29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47">+SUM(I1383:I1387)</f>
        <v>0</v>
      </c>
      <c r="J1388" s="1337">
        <f t="shared" si="847"/>
        <v>0</v>
      </c>
      <c r="K1388" s="1337">
        <f t="shared" si="847"/>
        <v>0</v>
      </c>
      <c r="L1388" s="1534">
        <f t="shared" si="836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29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91" t="str">
        <f>IF(L1394=0,"",MAX($A$16:A1388)+1)</f>
        <v/>
      </c>
      <c r="B1389" s="2083" t="s">
        <v>1115</v>
      </c>
      <c r="C1389" s="574" t="s">
        <v>190</v>
      </c>
      <c r="D1389" s="881" t="s">
        <v>10</v>
      </c>
      <c r="E1389" s="882">
        <v>44553</v>
      </c>
      <c r="F1389" s="71">
        <f>$L$7-E1389</f>
        <v>1723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4">
        <f t="shared" si="836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29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92"/>
      <c r="B1390" s="2084"/>
      <c r="C1390" s="574"/>
      <c r="D1390" s="881" t="s">
        <v>10</v>
      </c>
      <c r="E1390" s="882">
        <v>44217</v>
      </c>
      <c r="F1390" s="71">
        <f>$L$7-E1390</f>
        <v>2059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4">
        <f t="shared" si="836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29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92"/>
      <c r="B1391" s="2084"/>
      <c r="C1391" s="574"/>
      <c r="D1391" s="881" t="s">
        <v>10</v>
      </c>
      <c r="E1391" s="882">
        <v>44217</v>
      </c>
      <c r="F1391" s="71">
        <f>$L$7-E1391</f>
        <v>2059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4">
        <f t="shared" si="836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29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92"/>
      <c r="B1392" s="2084"/>
      <c r="C1392" s="574"/>
      <c r="D1392" s="881" t="s">
        <v>10</v>
      </c>
      <c r="E1392" s="882">
        <v>44217</v>
      </c>
      <c r="F1392" s="71">
        <f>$L$7-E1392</f>
        <v>2059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4">
        <f t="shared" si="836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29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93"/>
      <c r="B1393" s="2076"/>
      <c r="C1393" s="138" t="s">
        <v>76</v>
      </c>
      <c r="D1393" s="884" t="s">
        <v>10</v>
      </c>
      <c r="E1393" s="885">
        <v>44553</v>
      </c>
      <c r="F1393" s="293">
        <f>$L$7-E1393</f>
        <v>1723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4">
        <f t="shared" si="836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29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1116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48">+SUM(I1389:I1393)</f>
        <v>0</v>
      </c>
      <c r="J1394" s="1337">
        <f t="shared" si="848"/>
        <v>0</v>
      </c>
      <c r="K1394" s="1337">
        <f t="shared" si="848"/>
        <v>0</v>
      </c>
      <c r="L1394" s="1534">
        <f t="shared" si="836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29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91">
        <f>IF(L1399=0,"",MAX($A$16:A1380)+1)</f>
        <v>93</v>
      </c>
      <c r="B1395" s="2083" t="s">
        <v>1111</v>
      </c>
      <c r="C1395" s="574"/>
      <c r="D1395" s="881" t="s">
        <v>10</v>
      </c>
      <c r="E1395" s="882">
        <v>46050</v>
      </c>
      <c r="F1395" s="71">
        <f>$L$7-E1395</f>
        <v>226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3">
        <f t="shared" si="836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29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129"/>
      <c r="B1396" s="2090"/>
      <c r="C1396" s="574" t="s">
        <v>1582</v>
      </c>
      <c r="D1396" s="881" t="s">
        <v>10</v>
      </c>
      <c r="E1396" s="882">
        <v>46224</v>
      </c>
      <c r="F1396" s="71">
        <f>$L$7-E1396</f>
        <v>52</v>
      </c>
      <c r="G1396" s="64">
        <v>25</v>
      </c>
      <c r="H1396" s="64"/>
      <c r="I1396" s="64"/>
      <c r="J1396" s="1367"/>
      <c r="K1396" s="64">
        <f>IFERROR(SUMIF(INTAKE!$A:$A,$T1396,INTAKE!$P:$P),0)</f>
        <v>25</v>
      </c>
      <c r="L1396" s="1703">
        <f t="shared" si="836"/>
        <v>0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(India)V1.146224</v>
      </c>
      <c r="U1396" s="797"/>
      <c r="V1396" s="797"/>
      <c r="W1396" s="785">
        <f>IFERROR(VLOOKUP($Q1396,'391'!$S:$AG,15,0),0)</f>
        <v>0</v>
      </c>
      <c r="X1396" s="1090">
        <f t="shared" si="829"/>
        <v>25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customHeight="1" x14ac:dyDescent="0.25">
      <c r="A1397" s="2092"/>
      <c r="B1397" s="2084"/>
      <c r="C1397" s="574" t="s">
        <v>1582</v>
      </c>
      <c r="D1397" s="881" t="s">
        <v>10</v>
      </c>
      <c r="E1397" s="882">
        <v>46260</v>
      </c>
      <c r="F1397" s="71">
        <f>$L$7-E1397</f>
        <v>16</v>
      </c>
      <c r="G1397" s="64">
        <v>500</v>
      </c>
      <c r="H1397" s="64"/>
      <c r="I1397" s="64"/>
      <c r="J1397" s="1367"/>
      <c r="K1397" s="64">
        <f>IFERROR(SUMIF(INTAKE!$A:$A,$T1397,INTAKE!$P:$P),0)</f>
        <v>25</v>
      </c>
      <c r="L1397" s="1703">
        <f t="shared" si="836"/>
        <v>475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(India)V1.146260</v>
      </c>
      <c r="U1397" s="797"/>
      <c r="V1397" s="797"/>
      <c r="W1397" s="785">
        <f>IFERROR(VLOOKUP($Q1397,'391'!$S:$AG,15,0),0)</f>
        <v>0</v>
      </c>
      <c r="X1397" s="1090">
        <f t="shared" si="829"/>
        <v>500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93"/>
      <c r="B1398" s="2076"/>
      <c r="C1398" s="108" t="s">
        <v>46</v>
      </c>
      <c r="D1398" s="884" t="s">
        <v>10</v>
      </c>
      <c r="E1398" s="885">
        <v>46224</v>
      </c>
      <c r="F1398" s="293">
        <f>$L$7-E1398</f>
        <v>52</v>
      </c>
      <c r="G1398" s="1214">
        <v>15.159999999999998</v>
      </c>
      <c r="H1398" s="37"/>
      <c r="I1398" s="37">
        <f>+K1397+K1395+K1396</f>
        <v>50</v>
      </c>
      <c r="J1398" s="1385">
        <f>usage!I171</f>
        <v>27.72</v>
      </c>
      <c r="K1398" s="64">
        <f>IFERROR(SUMIF(INTAKE!$A:$A,$T1398,INTAKE!$P:$P),0)</f>
        <v>0</v>
      </c>
      <c r="L1398" s="1534">
        <f t="shared" si="836"/>
        <v>37.44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(India)Feedmill46224</v>
      </c>
      <c r="U1398" s="797"/>
      <c r="V1398" s="797"/>
      <c r="W1398" s="785">
        <f>IFERROR(VLOOKUP($Q1398,'391'!$S:$AG,15,0),0)</f>
        <v>0</v>
      </c>
      <c r="X1398" s="1090">
        <f t="shared" si="829"/>
        <v>15.159999999999998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1110</v>
      </c>
      <c r="C1399" s="575"/>
      <c r="D1399" s="900"/>
      <c r="E1399" s="901"/>
      <c r="F1399" s="902"/>
      <c r="G1399" s="1297">
        <v>540.16</v>
      </c>
      <c r="H1399" s="1297">
        <f>+SUM(H1395:H1398)</f>
        <v>0</v>
      </c>
      <c r="I1399" s="1297">
        <f>+SUM(I1395:I1398)</f>
        <v>50</v>
      </c>
      <c r="J1399" s="1297">
        <f t="shared" ref="J1399:L1399" si="849">+SUM(J1395:J1398)</f>
        <v>27.72</v>
      </c>
      <c r="K1399" s="1297">
        <f t="shared" si="849"/>
        <v>50</v>
      </c>
      <c r="L1399" s="1297">
        <f t="shared" si="849"/>
        <v>512.44000000000005</v>
      </c>
      <c r="M1399" s="59">
        <f>IFERROR(R1399/$S$2,"")</f>
        <v>16.239999999999998</v>
      </c>
      <c r="N1399" s="99">
        <f>IFERROR(L1399/M1399,0)</f>
        <v>31.554187192118231</v>
      </c>
      <c r="O1399" s="59">
        <f>IFERROR(SUMIF(ETM!$A:$A,$Q1399,ETM!$E:$E),"")</f>
        <v>15.333333333333332</v>
      </c>
      <c r="P1399" s="741">
        <f>IFERROR(L1399/O1399,0)</f>
        <v>33.420000000000009</v>
      </c>
      <c r="Q1399" s="809" t="s">
        <v>1111</v>
      </c>
      <c r="R1399" s="785">
        <f>IFERROR(VLOOKUP($Q1399,'391'!$S:$Z,8,0),"")</f>
        <v>73.08</v>
      </c>
      <c r="S1399" s="796"/>
      <c r="T1399" s="797"/>
      <c r="U1399" s="797"/>
      <c r="V1399" s="797"/>
      <c r="W1399" s="785">
        <f>IFERROR(VLOOKUP($Q1399,'391'!$S:$AG,15,0),0)</f>
        <v>585.80000000000007</v>
      </c>
      <c r="X1399" s="1090">
        <f t="shared" si="829"/>
        <v>-45.6400000000001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91" t="str">
        <f>IF(L1403=0,"",MAX($A$16:A1384)+1)</f>
        <v/>
      </c>
      <c r="B1400" s="2083" t="s">
        <v>1125</v>
      </c>
      <c r="C1400" s="574"/>
      <c r="D1400" s="881" t="s">
        <v>10</v>
      </c>
      <c r="E1400" s="882">
        <v>44571</v>
      </c>
      <c r="F1400" s="71">
        <f>$L$7-E1400</f>
        <v>1705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4">
        <f t="shared" ref="L1400:L1426" si="850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29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92"/>
      <c r="B1401" s="2084"/>
      <c r="C1401" s="574" t="s">
        <v>248</v>
      </c>
      <c r="D1401" s="881" t="s">
        <v>10</v>
      </c>
      <c r="E1401" s="882">
        <v>44566</v>
      </c>
      <c r="F1401" s="71">
        <f>$L$7-E1401</f>
        <v>1710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4">
        <f t="shared" si="850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29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93"/>
      <c r="B1402" s="2076"/>
      <c r="C1402" s="138" t="s">
        <v>76</v>
      </c>
      <c r="D1402" s="884" t="s">
        <v>10</v>
      </c>
      <c r="E1402" s="885">
        <v>44571</v>
      </c>
      <c r="F1402" s="293">
        <f>$L$7-E1402</f>
        <v>1705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4">
        <f t="shared" si="850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29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1126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51">+SUM(I1400:I1402)</f>
        <v>0</v>
      </c>
      <c r="J1403" s="1297">
        <f t="shared" si="851"/>
        <v>0</v>
      </c>
      <c r="K1403" s="1297">
        <f t="shared" si="851"/>
        <v>0</v>
      </c>
      <c r="L1403" s="1534">
        <f t="shared" si="850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29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91" t="str">
        <f>IF(L1407=0,"",MAX($A$16:A1403)+1)</f>
        <v/>
      </c>
      <c r="B1404" s="2083" t="s">
        <v>1139</v>
      </c>
      <c r="C1404" s="574" t="s">
        <v>227</v>
      </c>
      <c r="D1404" s="881" t="s">
        <v>10</v>
      </c>
      <c r="E1404" s="882">
        <v>44958</v>
      </c>
      <c r="F1404" s="71">
        <f>$L$7-E1404</f>
        <v>1318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4">
        <f t="shared" si="850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29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92"/>
      <c r="B1405" s="2084"/>
      <c r="C1405" s="574"/>
      <c r="D1405" s="881" t="s">
        <v>10</v>
      </c>
      <c r="E1405" s="882">
        <v>44958</v>
      </c>
      <c r="F1405" s="71">
        <f>$L$7-E1405</f>
        <v>1318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4">
        <f t="shared" si="850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29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93"/>
      <c r="B1406" s="2076"/>
      <c r="C1406" s="138" t="s">
        <v>76</v>
      </c>
      <c r="D1406" s="884" t="s">
        <v>10</v>
      </c>
      <c r="E1406" s="885">
        <v>44958</v>
      </c>
      <c r="F1406" s="293">
        <f>$L$7-E1406</f>
        <v>1318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4">
        <f t="shared" si="850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29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1140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52">+SUM(I1404:I1406)</f>
        <v>0</v>
      </c>
      <c r="J1407" s="1297">
        <f t="shared" si="852"/>
        <v>0</v>
      </c>
      <c r="K1407" s="1297">
        <f t="shared" si="852"/>
        <v>0</v>
      </c>
      <c r="L1407" s="1534">
        <f t="shared" si="850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29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91" t="str">
        <f>IF(L1411=0,"",MAX($A$16:A1407)+1)</f>
        <v/>
      </c>
      <c r="B1408" s="2083" t="s">
        <v>1156</v>
      </c>
      <c r="C1408" s="574"/>
      <c r="D1408" s="881" t="s">
        <v>10</v>
      </c>
      <c r="E1408" s="882">
        <v>44664</v>
      </c>
      <c r="F1408" s="71">
        <f>$L$7-E1408</f>
        <v>1612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4">
        <f t="shared" si="850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29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92"/>
      <c r="B1409" s="2084"/>
      <c r="C1409" s="574"/>
      <c r="D1409" s="881" t="s">
        <v>10</v>
      </c>
      <c r="E1409" s="882">
        <v>44566</v>
      </c>
      <c r="F1409" s="71">
        <f>$L$7-E1409</f>
        <v>1710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4">
        <f t="shared" si="850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29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93"/>
      <c r="B1410" s="2076"/>
      <c r="C1410" s="138" t="s">
        <v>76</v>
      </c>
      <c r="D1410" s="884" t="s">
        <v>10</v>
      </c>
      <c r="E1410" s="885">
        <v>44664</v>
      </c>
      <c r="F1410" s="293">
        <f>$L$7-E1410</f>
        <v>1612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4">
        <f t="shared" si="850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29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1157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53">+SUM(I1408:I1410)</f>
        <v>0</v>
      </c>
      <c r="J1411" s="1297">
        <f t="shared" si="853"/>
        <v>0</v>
      </c>
      <c r="K1411" s="1297">
        <f t="shared" si="853"/>
        <v>0</v>
      </c>
      <c r="L1411" s="1534">
        <f t="shared" si="850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29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91" t="str">
        <f>IF(L1415=0,"",MAX($A$16:A1411)+1)</f>
        <v/>
      </c>
      <c r="B1412" s="2083" t="s">
        <v>1179</v>
      </c>
      <c r="C1412" s="574"/>
      <c r="D1412" s="881" t="s">
        <v>10</v>
      </c>
      <c r="E1412" s="882">
        <v>44761</v>
      </c>
      <c r="F1412" s="71">
        <f>$L$7-E1412</f>
        <v>1515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4">
        <f t="shared" si="850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29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92"/>
      <c r="B1413" s="2084"/>
      <c r="C1413" s="574"/>
      <c r="D1413" s="881" t="s">
        <v>10</v>
      </c>
      <c r="E1413" s="882">
        <v>44566</v>
      </c>
      <c r="F1413" s="71">
        <f>$L$7-E1413</f>
        <v>1710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4">
        <f t="shared" si="850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29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93"/>
      <c r="B1414" s="2076"/>
      <c r="C1414" s="138" t="s">
        <v>76</v>
      </c>
      <c r="D1414" s="884" t="s">
        <v>10</v>
      </c>
      <c r="E1414" s="885">
        <v>44761</v>
      </c>
      <c r="F1414" s="293">
        <f>$L$7-E1414</f>
        <v>1515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4">
        <f t="shared" si="850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29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1180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54">+SUM(I1412:I1414)</f>
        <v>0</v>
      </c>
      <c r="J1415" s="1297">
        <f t="shared" si="854"/>
        <v>0</v>
      </c>
      <c r="K1415" s="1297">
        <f t="shared" si="854"/>
        <v>0</v>
      </c>
      <c r="L1415" s="1534">
        <f t="shared" si="850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29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91" t="str">
        <f>IF(L1421=0,"",MAX($A$16:A1415)+1)</f>
        <v/>
      </c>
      <c r="B1416" s="2083" t="s">
        <v>1185</v>
      </c>
      <c r="C1416" s="574" t="s">
        <v>1691</v>
      </c>
      <c r="D1416" s="881" t="s">
        <v>10</v>
      </c>
      <c r="E1416" s="882">
        <v>46043</v>
      </c>
      <c r="F1416" s="71">
        <f>$L$7-E1416</f>
        <v>233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3">
        <f t="shared" si="850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29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129"/>
      <c r="B1417" s="2090"/>
      <c r="C1417" s="574"/>
      <c r="D1417" s="881" t="s">
        <v>10</v>
      </c>
      <c r="E1417" s="882">
        <v>46043</v>
      </c>
      <c r="F1417" s="71">
        <f>$L$7-E1417</f>
        <v>233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3">
        <f t="shared" ref="L1417:L1418" si="855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56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129"/>
      <c r="B1418" s="2090"/>
      <c r="C1418" s="574"/>
      <c r="D1418" s="881" t="s">
        <v>10</v>
      </c>
      <c r="E1418" s="882">
        <v>46024</v>
      </c>
      <c r="F1418" s="71">
        <f>$L$7-E1418</f>
        <v>252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3">
        <f t="shared" si="855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56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92"/>
      <c r="B1419" s="2084"/>
      <c r="C1419" s="574"/>
      <c r="D1419" s="881" t="s">
        <v>10</v>
      </c>
      <c r="E1419" s="882">
        <v>46024</v>
      </c>
      <c r="F1419" s="71">
        <f>$L$7-E1419</f>
        <v>252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3">
        <f t="shared" si="850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29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93"/>
      <c r="B1420" s="2076"/>
      <c r="C1420" s="138" t="s">
        <v>76</v>
      </c>
      <c r="D1420" s="884" t="s">
        <v>10</v>
      </c>
      <c r="E1420" s="885">
        <v>46043</v>
      </c>
      <c r="F1420" s="293">
        <f>$L$7-E1420</f>
        <v>233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4">
        <f t="shared" si="850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29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1188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57">+SUM(I1416:I1420)</f>
        <v>0</v>
      </c>
      <c r="J1421" s="1297">
        <f t="shared" si="857"/>
        <v>0</v>
      </c>
      <c r="K1421" s="1297">
        <f t="shared" si="857"/>
        <v>0</v>
      </c>
      <c r="L1421" s="1297">
        <f t="shared" si="857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1" si="858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91">
        <f>IF(L1427=0,"",MAX($A$16:A1421)+1)</f>
        <v>94</v>
      </c>
      <c r="B1422" s="2083" t="s">
        <v>1403</v>
      </c>
      <c r="C1422" s="574"/>
      <c r="D1422" s="881" t="s">
        <v>10</v>
      </c>
      <c r="E1422" s="882">
        <v>46064</v>
      </c>
      <c r="F1422" s="75">
        <f>$L$7-E1422</f>
        <v>212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3">
        <f t="shared" si="850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58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129"/>
      <c r="B1423" s="2090"/>
      <c r="C1423" s="574"/>
      <c r="D1423" s="881" t="s">
        <v>10</v>
      </c>
      <c r="E1423" s="882">
        <v>46087</v>
      </c>
      <c r="F1423" s="75">
        <f>$L$7-E1423</f>
        <v>189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3">
        <f t="shared" si="850"/>
        <v>0</v>
      </c>
      <c r="M1423" s="48"/>
      <c r="N1423" s="163"/>
      <c r="O1423" s="48"/>
      <c r="P1423" s="1774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58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129"/>
      <c r="B1424" s="2090"/>
      <c r="C1424" s="574" t="s">
        <v>324</v>
      </c>
      <c r="D1424" s="881" t="s">
        <v>10</v>
      </c>
      <c r="E1424" s="882">
        <v>46239</v>
      </c>
      <c r="F1424" s="75">
        <f>$L$7-E1424</f>
        <v>37</v>
      </c>
      <c r="G1424" s="300">
        <v>0</v>
      </c>
      <c r="H1424" s="300"/>
      <c r="I1424" s="300"/>
      <c r="J1424" s="1300"/>
      <c r="K1424" s="64">
        <f>IFERROR(SUMIF(INTAKE!$A:$A,$T1424,INTAKE!$P:$P),0)</f>
        <v>0</v>
      </c>
      <c r="L1424" s="1703">
        <f t="shared" si="850"/>
        <v>0</v>
      </c>
      <c r="M1424" s="48"/>
      <c r="N1424" s="163"/>
      <c r="O1424" s="48"/>
      <c r="P1424" s="1774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Nha)A19.446239</v>
      </c>
      <c r="U1424" s="797"/>
      <c r="V1424" s="797"/>
      <c r="W1424" s="785">
        <f>IFERROR(VLOOKUP($Q1424,'391'!$S:$AG,15,0),0)</f>
        <v>0</v>
      </c>
      <c r="X1424" s="799">
        <f t="shared" si="858"/>
        <v>0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customHeight="1" x14ac:dyDescent="0.25">
      <c r="A1425" s="2129"/>
      <c r="B1425" s="2090"/>
      <c r="C1425" s="574" t="s">
        <v>324</v>
      </c>
      <c r="D1425" s="881" t="s">
        <v>10</v>
      </c>
      <c r="E1425" s="882">
        <v>46269</v>
      </c>
      <c r="F1425" s="75">
        <f>$L$7-E1425</f>
        <v>7</v>
      </c>
      <c r="G1425" s="300">
        <v>1575</v>
      </c>
      <c r="H1425" s="300"/>
      <c r="I1425" s="300"/>
      <c r="J1425" s="1300"/>
      <c r="K1425" s="64">
        <f>IFERROR(SUMIF(INTAKE!$A:$A,$T1425,INTAKE!$P:$P),0)</f>
        <v>0</v>
      </c>
      <c r="L1425" s="1703">
        <f t="shared" ref="L1425" si="859">+G1425+H1425+I1425-J1425-K1425</f>
        <v>1575</v>
      </c>
      <c r="M1425" s="48"/>
      <c r="N1425" s="163"/>
      <c r="O1425" s="48"/>
      <c r="P1425" s="1774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Nha)A19.446269</v>
      </c>
      <c r="U1425" s="797"/>
      <c r="V1425" s="797"/>
      <c r="W1425" s="785">
        <f>IFERROR(VLOOKUP($Q1425,'391'!$S:$AG,15,0),0)</f>
        <v>0</v>
      </c>
      <c r="X1425" s="799">
        <f t="shared" ref="X1425" si="860">G1425-W1425</f>
        <v>1575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93"/>
      <c r="B1426" s="2076"/>
      <c r="C1426" s="108" t="s">
        <v>46</v>
      </c>
      <c r="D1426" s="884" t="s">
        <v>10</v>
      </c>
      <c r="E1426" s="882">
        <v>46239</v>
      </c>
      <c r="F1426" s="75">
        <f>$L$7-E1426</f>
        <v>37</v>
      </c>
      <c r="G1426" s="1214">
        <v>321.5</v>
      </c>
      <c r="H1426" s="28"/>
      <c r="I1426" s="37">
        <f>+K1425+K1423+K1422+K1424</f>
        <v>0</v>
      </c>
      <c r="J1426" s="1295">
        <f>usage!E189</f>
        <v>49.88</v>
      </c>
      <c r="K1426" s="28"/>
      <c r="L1426" s="1534">
        <f t="shared" si="850"/>
        <v>271.62</v>
      </c>
      <c r="M1426" s="35"/>
      <c r="N1426" s="920"/>
      <c r="O1426" s="35"/>
      <c r="P1426" s="1275"/>
      <c r="Q1426" s="666" t="s">
        <v>1656</v>
      </c>
      <c r="R1426" s="785">
        <f>IFERROR(VLOOKUP($Q1426,'391'!$S:$Z,8,0),"")</f>
        <v>622.84</v>
      </c>
      <c r="S1426" s="796"/>
      <c r="T1426" s="797" t="str">
        <f>$Q$1427&amp;C1426&amp;E1426</f>
        <v>Toxy-Nil Dry ( Belgium)Feedmill46239</v>
      </c>
      <c r="U1426" s="797"/>
      <c r="V1426" s="797"/>
      <c r="W1426" s="785">
        <f>IFERROR(VLOOKUP($Q1426,'391'!$S:$AG,15,0),0)</f>
        <v>2411.54</v>
      </c>
      <c r="X1426" s="799">
        <f t="shared" si="858"/>
        <v>-2090.04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1404</v>
      </c>
      <c r="C1427" s="575"/>
      <c r="D1427" s="900"/>
      <c r="E1427" s="901"/>
      <c r="F1427" s="902"/>
      <c r="G1427" s="1337">
        <v>1896.5</v>
      </c>
      <c r="H1427" s="1336">
        <f>+SUM(H1422:H1426)</f>
        <v>0</v>
      </c>
      <c r="I1427" s="1297">
        <f>+SUM(I1422:I1426)</f>
        <v>0</v>
      </c>
      <c r="J1427" s="1336">
        <f t="shared" ref="J1427" si="861">+SUM(J1422:J1426)</f>
        <v>49.88</v>
      </c>
      <c r="K1427" s="1297">
        <f>+SUM(K1422:K1426)</f>
        <v>0</v>
      </c>
      <c r="L1427" s="1337">
        <f>+SUM(L1422:L1426)</f>
        <v>1846.62</v>
      </c>
      <c r="M1427" s="59">
        <f>IFERROR(S1427/$S$2,"")</f>
        <v>138.4088888888889</v>
      </c>
      <c r="N1427" s="366">
        <f>IFERROR(L1427/M1427,0)</f>
        <v>13.341773168068844</v>
      </c>
      <c r="O1427" s="59">
        <f>IFERROR(SUMIF(ETM!$A:$A,$Q1427,ETM!$E:$E),"")</f>
        <v>113</v>
      </c>
      <c r="P1427" s="855">
        <f>IFERROR(L1427/O1427,0)</f>
        <v>16.341769911504425</v>
      </c>
      <c r="Q1427" s="1183" t="s">
        <v>1403</v>
      </c>
      <c r="R1427" s="785" t="str">
        <f>IFERROR(VLOOKUP($Q1427,'391'!$S:$Z,8,0),"0")</f>
        <v>0</v>
      </c>
      <c r="S1427" s="796">
        <f>+R1427+R1426</f>
        <v>622.84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-515.04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91">
        <f>IF(L1432=0,"",MAX($A$16:A1427)+1)</f>
        <v>95</v>
      </c>
      <c r="B1428" s="2083" t="s">
        <v>1935</v>
      </c>
      <c r="C1428" s="574"/>
      <c r="D1428" s="881" t="s">
        <v>10</v>
      </c>
      <c r="E1428" s="882">
        <v>45986</v>
      </c>
      <c r="F1428" s="71">
        <f>$L$7-E1428</f>
        <v>290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3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58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92"/>
      <c r="B1429" s="2084"/>
      <c r="C1429" s="574" t="s">
        <v>1875</v>
      </c>
      <c r="D1429" s="881" t="s">
        <v>10</v>
      </c>
      <c r="E1429" s="882">
        <v>46237</v>
      </c>
      <c r="F1429" s="71">
        <f>$L$7-E1429</f>
        <v>39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3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58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129"/>
      <c r="B1430" s="2090"/>
      <c r="C1430" s="574" t="s">
        <v>1875</v>
      </c>
      <c r="D1430" s="881" t="s">
        <v>10</v>
      </c>
      <c r="E1430" s="882">
        <v>46269</v>
      </c>
      <c r="F1430" s="71">
        <f>$L$7-E1430</f>
        <v>7</v>
      </c>
      <c r="G1430" s="64">
        <v>420</v>
      </c>
      <c r="H1430" s="64"/>
      <c r="I1430" s="64"/>
      <c r="J1430" s="1367"/>
      <c r="K1430" s="64">
        <f>IFERROR(SUMIF(INTAKE!$A:$A,$T1430,INTAKE!$P:$P),0)</f>
        <v>0</v>
      </c>
      <c r="L1430" s="1703">
        <f>+G1430+H1430+I1430-J1430-K1430</f>
        <v>420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58"/>
        <v>420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93"/>
      <c r="B1431" s="2076"/>
      <c r="C1431" s="108" t="s">
        <v>46</v>
      </c>
      <c r="D1431" s="884" t="s">
        <v>10</v>
      </c>
      <c r="E1431" s="885">
        <v>46269</v>
      </c>
      <c r="F1431" s="293">
        <f>$L$7-E1431</f>
        <v>7</v>
      </c>
      <c r="G1431" s="1214">
        <v>94.499999999999972</v>
      </c>
      <c r="H1431" s="37"/>
      <c r="I1431" s="37">
        <f>+K1429+K1428+K1430</f>
        <v>0</v>
      </c>
      <c r="J1431" s="1385">
        <f>usage!I100</f>
        <v>8.98</v>
      </c>
      <c r="K1431" s="64">
        <f>IFERROR(SUMIF(INTAKE!$A:$A,$T1431,INTAKE!$P:$P),0)</f>
        <v>0</v>
      </c>
      <c r="L1431" s="1534">
        <f>+G1431+H1431+I1431-J1431-K1431</f>
        <v>85.519999999999968</v>
      </c>
      <c r="M1431" s="98"/>
      <c r="N1431" s="1473"/>
      <c r="O1431" s="98"/>
      <c r="P1431" s="759"/>
      <c r="Q1431" s="666" t="s">
        <v>1727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58"/>
        <v>81.539999999999964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1197</v>
      </c>
      <c r="C1432" s="575"/>
      <c r="D1432" s="900"/>
      <c r="E1432" s="901"/>
      <c r="F1432" s="902"/>
      <c r="G1432" s="1297">
        <v>514.5</v>
      </c>
      <c r="H1432" s="1297">
        <f>+SUM(H1428:H1431)</f>
        <v>0</v>
      </c>
      <c r="I1432" s="1297">
        <f t="shared" ref="I1432:L1432" si="862">+SUM(I1428:I1431)</f>
        <v>0</v>
      </c>
      <c r="J1432" s="1297">
        <f t="shared" si="862"/>
        <v>8.98</v>
      </c>
      <c r="K1432" s="1297">
        <f t="shared" si="862"/>
        <v>0</v>
      </c>
      <c r="L1432" s="1297">
        <f t="shared" si="862"/>
        <v>505.52</v>
      </c>
      <c r="M1432" s="59">
        <f>IFERROR($S$1432/$S$2,"")</f>
        <v>20.399999999999999</v>
      </c>
      <c r="N1432" s="99">
        <f>IFERROR(L1432/M1432,0)</f>
        <v>24.780392156862746</v>
      </c>
      <c r="O1432" s="59">
        <f>IFERROR(SUMIF(ETM!$A:$A,$Q1432,ETM!$E:$E),"")</f>
        <v>16.999999999999996</v>
      </c>
      <c r="P1432" s="741">
        <f>IFERROR(L1432/O1432,0)</f>
        <v>29.736470588235299</v>
      </c>
      <c r="Q1432" s="809" t="s">
        <v>1198</v>
      </c>
      <c r="R1432" s="785">
        <f>IFERROR(VLOOKUP($Q1432,'391'!$S:$Z,8,0),"0")</f>
        <v>91.8</v>
      </c>
      <c r="S1432" s="796">
        <f>+R1431+R1432</f>
        <v>91.8</v>
      </c>
      <c r="T1432" s="797"/>
      <c r="U1432" s="797"/>
      <c r="V1432" s="797"/>
      <c r="W1432" s="821">
        <f>IFERROR(VLOOKUP($Q1432,'391'!$S:$AG,15,0),0)</f>
        <v>579.86</v>
      </c>
      <c r="X1432" s="1231">
        <f>G1432-W1432-W1431</f>
        <v>-78.320000000000022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91" t="str">
        <f>IF(L1436=0,"",MAX($A$16:A1432)+1)</f>
        <v/>
      </c>
      <c r="B1433" s="2083" t="s">
        <v>1260</v>
      </c>
      <c r="C1433" s="574"/>
      <c r="D1433" s="881" t="s">
        <v>10</v>
      </c>
      <c r="E1433" s="882">
        <v>44972</v>
      </c>
      <c r="F1433" s="71">
        <f>$L$7-E1433</f>
        <v>1304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4">
        <f t="shared" ref="L1433:L1485" si="863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58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92"/>
      <c r="B1434" s="2084"/>
      <c r="C1434" s="574"/>
      <c r="D1434" s="881" t="s">
        <v>10</v>
      </c>
      <c r="E1434" s="882">
        <v>44924</v>
      </c>
      <c r="F1434" s="71">
        <f>$L$7-E1434</f>
        <v>1352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4">
        <f t="shared" si="863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58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93"/>
      <c r="B1435" s="2076"/>
      <c r="C1435" s="138" t="s">
        <v>76</v>
      </c>
      <c r="D1435" s="884" t="s">
        <v>10</v>
      </c>
      <c r="E1435" s="885">
        <v>44972</v>
      </c>
      <c r="F1435" s="293">
        <f>$L$7-E1435</f>
        <v>1304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4">
        <f t="shared" si="863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58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1262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64">+SUM(I1433:I1435)</f>
        <v>0</v>
      </c>
      <c r="J1436" s="1297">
        <f t="shared" si="864"/>
        <v>0</v>
      </c>
      <c r="K1436" s="1297">
        <f t="shared" si="864"/>
        <v>0</v>
      </c>
      <c r="L1436" s="1534">
        <f t="shared" si="863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1260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58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91" t="str">
        <f>IF(L1440=0,"",MAX($A$16:A1436)+1)</f>
        <v/>
      </c>
      <c r="B1437" s="2083" t="s">
        <v>1265</v>
      </c>
      <c r="C1437" s="574" t="s">
        <v>579</v>
      </c>
      <c r="D1437" s="881" t="s">
        <v>10</v>
      </c>
      <c r="E1437" s="882">
        <v>44978</v>
      </c>
      <c r="F1437" s="71">
        <f>$L$7-E1437</f>
        <v>1298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4">
        <f t="shared" si="863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58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92"/>
      <c r="B1438" s="2084"/>
      <c r="C1438" s="574"/>
      <c r="D1438" s="881" t="s">
        <v>10</v>
      </c>
      <c r="E1438" s="882">
        <v>44924</v>
      </c>
      <c r="F1438" s="71">
        <f>$L$7-E1438</f>
        <v>1352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4">
        <f t="shared" si="863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58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93"/>
      <c r="B1439" s="2076"/>
      <c r="C1439" s="138" t="s">
        <v>76</v>
      </c>
      <c r="D1439" s="884" t="s">
        <v>10</v>
      </c>
      <c r="E1439" s="885">
        <v>44978</v>
      </c>
      <c r="F1439" s="293">
        <f>$L$7-E1439</f>
        <v>1298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4">
        <f t="shared" si="863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58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1266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65">+SUM(I1437:I1439)</f>
        <v>0</v>
      </c>
      <c r="J1440" s="1297">
        <f t="shared" si="865"/>
        <v>0</v>
      </c>
      <c r="K1440" s="1297">
        <f t="shared" si="865"/>
        <v>0</v>
      </c>
      <c r="L1440" s="1534">
        <f t="shared" si="863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1265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58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91" t="str">
        <f>IF(L1444=0,"",MAX($A$16:A1440)+1)</f>
        <v/>
      </c>
      <c r="B1441" s="2083" t="s">
        <v>1267</v>
      </c>
      <c r="C1441" s="574" t="s">
        <v>579</v>
      </c>
      <c r="D1441" s="881" t="s">
        <v>10</v>
      </c>
      <c r="E1441" s="882">
        <v>44978</v>
      </c>
      <c r="F1441" s="71">
        <f>$L$7-E1441</f>
        <v>1298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4">
        <f t="shared" si="863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58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92"/>
      <c r="B1442" s="2084"/>
      <c r="C1442" s="574"/>
      <c r="D1442" s="881" t="s">
        <v>10</v>
      </c>
      <c r="E1442" s="882">
        <v>44924</v>
      </c>
      <c r="F1442" s="71">
        <f>$L$7-E1442</f>
        <v>1352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4">
        <f t="shared" si="863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58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93"/>
      <c r="B1443" s="2076"/>
      <c r="C1443" s="138" t="s">
        <v>76</v>
      </c>
      <c r="D1443" s="884" t="s">
        <v>10</v>
      </c>
      <c r="E1443" s="885">
        <v>44978</v>
      </c>
      <c r="F1443" s="293">
        <f>$L$7-E1443</f>
        <v>1298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4">
        <f t="shared" si="863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58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1268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66">+SUM(I1441:I1443)</f>
        <v>0</v>
      </c>
      <c r="J1444" s="1297">
        <f t="shared" si="866"/>
        <v>0</v>
      </c>
      <c r="K1444" s="1297">
        <f t="shared" si="866"/>
        <v>0</v>
      </c>
      <c r="L1444" s="1534">
        <f t="shared" si="863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1267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58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91" t="str">
        <f>IF(L1448=0,"",MAX($A$16:A1444)+1)</f>
        <v/>
      </c>
      <c r="B1445" s="2083" t="s">
        <v>1273</v>
      </c>
      <c r="C1445" s="574" t="s">
        <v>227</v>
      </c>
      <c r="D1445" s="881" t="s">
        <v>10</v>
      </c>
      <c r="E1445" s="882">
        <v>44986</v>
      </c>
      <c r="F1445" s="71">
        <f>$L$7-E1445</f>
        <v>1290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4">
        <f t="shared" si="863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58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92"/>
      <c r="B1446" s="2084"/>
      <c r="C1446" s="574"/>
      <c r="D1446" s="881" t="s">
        <v>10</v>
      </c>
      <c r="E1446" s="882">
        <v>44924</v>
      </c>
      <c r="F1446" s="71">
        <f>$L$7-E1446</f>
        <v>1352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4">
        <f t="shared" si="863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58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93"/>
      <c r="B1447" s="2076"/>
      <c r="C1447" s="138" t="s">
        <v>76</v>
      </c>
      <c r="D1447" s="884" t="s">
        <v>10</v>
      </c>
      <c r="E1447" s="885">
        <v>44986</v>
      </c>
      <c r="F1447" s="293">
        <f>$L$7-E1447</f>
        <v>1290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4">
        <f t="shared" si="863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58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1274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67">+SUM(I1445:I1447)</f>
        <v>0</v>
      </c>
      <c r="J1448" s="1297">
        <f t="shared" si="867"/>
        <v>0</v>
      </c>
      <c r="K1448" s="1297">
        <f t="shared" si="867"/>
        <v>0</v>
      </c>
      <c r="L1448" s="1534">
        <f t="shared" si="863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1273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58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91" t="str">
        <f>IF(L1452=0,"",MAX($A$16:A1448)+1)</f>
        <v/>
      </c>
      <c r="B1449" s="2083" t="s">
        <v>1290</v>
      </c>
      <c r="C1449" s="574"/>
      <c r="D1449" s="881" t="s">
        <v>10</v>
      </c>
      <c r="E1449" s="882">
        <v>45027</v>
      </c>
      <c r="F1449" s="71">
        <f>$L$7-E1449</f>
        <v>1249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4">
        <f t="shared" si="863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58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92"/>
      <c r="B1450" s="2084"/>
      <c r="C1450" s="574"/>
      <c r="D1450" s="881" t="s">
        <v>10</v>
      </c>
      <c r="E1450" s="882">
        <v>44924</v>
      </c>
      <c r="F1450" s="71">
        <f>$L$7-E1450</f>
        <v>1352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4">
        <f t="shared" si="863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58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93"/>
      <c r="B1451" s="2076"/>
      <c r="C1451" s="138" t="s">
        <v>76</v>
      </c>
      <c r="D1451" s="884" t="s">
        <v>10</v>
      </c>
      <c r="E1451" s="885">
        <v>45027</v>
      </c>
      <c r="F1451" s="293">
        <f>$L$7-E1451</f>
        <v>1249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4">
        <f t="shared" si="863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58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1291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68">+SUM(I1449:I1451)</f>
        <v>0</v>
      </c>
      <c r="J1452" s="1297">
        <f t="shared" si="868"/>
        <v>0</v>
      </c>
      <c r="K1452" s="1297">
        <f t="shared" si="868"/>
        <v>0</v>
      </c>
      <c r="L1452" s="1534">
        <f t="shared" si="863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1298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58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91" t="str">
        <f>IF(L1456=0,"",MAX($A$16:A1452)+1)</f>
        <v/>
      </c>
      <c r="B1453" s="2083" t="s">
        <v>1333</v>
      </c>
      <c r="C1453" s="574" t="s">
        <v>1313</v>
      </c>
      <c r="D1453" s="881" t="s">
        <v>10</v>
      </c>
      <c r="E1453" s="882">
        <v>45155</v>
      </c>
      <c r="F1453" s="71">
        <f>$L$7-E1453</f>
        <v>1121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4">
        <f t="shared" si="863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58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92"/>
      <c r="B1454" s="2084"/>
      <c r="C1454" s="574"/>
      <c r="D1454" s="881" t="s">
        <v>10</v>
      </c>
      <c r="E1454" s="882">
        <v>44924</v>
      </c>
      <c r="F1454" s="71">
        <f>$L$7-E1454</f>
        <v>1352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4">
        <f t="shared" si="863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58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93"/>
      <c r="B1455" s="2076"/>
      <c r="C1455" s="138" t="s">
        <v>76</v>
      </c>
      <c r="D1455" s="884" t="s">
        <v>10</v>
      </c>
      <c r="E1455" s="885">
        <v>45155</v>
      </c>
      <c r="F1455" s="293">
        <f>$L$7-E1455</f>
        <v>1121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4">
        <f t="shared" si="863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58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1335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69">+SUM(I1453:I1455)</f>
        <v>0</v>
      </c>
      <c r="J1456" s="1297">
        <f t="shared" si="869"/>
        <v>0</v>
      </c>
      <c r="K1456" s="1297">
        <f t="shared" si="869"/>
        <v>0</v>
      </c>
      <c r="L1456" s="1534">
        <f t="shared" si="863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1333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58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91" t="str">
        <f>IF(L1460=0,"",MAX($A$16:A1452)+1)</f>
        <v/>
      </c>
      <c r="B1457" s="2083" t="s">
        <v>1215</v>
      </c>
      <c r="C1457" s="574"/>
      <c r="D1457" s="881" t="s">
        <v>10</v>
      </c>
      <c r="E1457" s="882">
        <v>44847</v>
      </c>
      <c r="F1457" s="71">
        <f>$L$7-E1457</f>
        <v>1429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4">
        <f t="shared" si="863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58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92"/>
      <c r="B1458" s="2084"/>
      <c r="C1458" s="574"/>
      <c r="D1458" s="881" t="s">
        <v>10</v>
      </c>
      <c r="E1458" s="882">
        <v>44566</v>
      </c>
      <c r="F1458" s="71">
        <f>$L$7-E1458</f>
        <v>1710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4">
        <f t="shared" si="863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58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93"/>
      <c r="B1459" s="2076"/>
      <c r="C1459" s="138" t="s">
        <v>76</v>
      </c>
      <c r="D1459" s="884" t="s">
        <v>10</v>
      </c>
      <c r="E1459" s="885">
        <v>44847</v>
      </c>
      <c r="F1459" s="293">
        <f>$L$7-E1459</f>
        <v>1429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4">
        <f t="shared" si="863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58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1216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70">+SUM(I1457:I1459)</f>
        <v>0</v>
      </c>
      <c r="J1460" s="1297">
        <f t="shared" si="870"/>
        <v>0</v>
      </c>
      <c r="K1460" s="1297">
        <f t="shared" si="870"/>
        <v>0</v>
      </c>
      <c r="L1460" s="1534">
        <f t="shared" si="863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1219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58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91" t="str">
        <f>IF(L1464=0,"",MAX($A$16:A1460)+1)</f>
        <v/>
      </c>
      <c r="B1461" s="2083" t="s">
        <v>1169</v>
      </c>
      <c r="C1461" s="574" t="s">
        <v>1211</v>
      </c>
      <c r="D1461" s="881" t="s">
        <v>10</v>
      </c>
      <c r="E1461" s="882">
        <v>44729</v>
      </c>
      <c r="F1461" s="71">
        <f>$L$7-E1461</f>
        <v>1547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4">
        <f t="shared" si="863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58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92"/>
      <c r="B1462" s="2084"/>
      <c r="C1462" s="574"/>
      <c r="D1462" s="881" t="s">
        <v>10</v>
      </c>
      <c r="E1462" s="882">
        <v>44729</v>
      </c>
      <c r="F1462" s="71">
        <f>$L$7-E1462</f>
        <v>1547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4">
        <f t="shared" si="863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58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93"/>
      <c r="B1463" s="2076"/>
      <c r="C1463" s="138" t="s">
        <v>76</v>
      </c>
      <c r="D1463" s="884" t="s">
        <v>10</v>
      </c>
      <c r="E1463" s="885">
        <v>44729</v>
      </c>
      <c r="F1463" s="293">
        <f>$L$7-E1463</f>
        <v>1547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4">
        <f t="shared" si="863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58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1170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71">+SUM(I1461:I1463)</f>
        <v>0</v>
      </c>
      <c r="J1464" s="1297">
        <f t="shared" si="871"/>
        <v>0</v>
      </c>
      <c r="K1464" s="1297">
        <f t="shared" si="871"/>
        <v>0</v>
      </c>
      <c r="L1464" s="1534">
        <f t="shared" si="863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58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91" t="str">
        <f>IF(L1469=0,"",MAX($A$16:A1464)+1)</f>
        <v/>
      </c>
      <c r="B1465" s="2083" t="s">
        <v>1606</v>
      </c>
      <c r="C1465" s="574" t="s">
        <v>251</v>
      </c>
      <c r="D1465" s="881" t="s">
        <v>10</v>
      </c>
      <c r="E1465" s="882">
        <v>45716</v>
      </c>
      <c r="F1465" s="71">
        <f>$L$7-E1465</f>
        <v>560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3">
        <f t="shared" ref="L1465:L1467" si="872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73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129"/>
      <c r="B1466" s="2090"/>
      <c r="C1466" s="574"/>
      <c r="D1466" s="881" t="s">
        <v>10</v>
      </c>
      <c r="E1466" s="882">
        <v>45716</v>
      </c>
      <c r="F1466" s="71">
        <f>$L$7-E1466</f>
        <v>560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3">
        <f t="shared" ref="L1466" si="874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75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76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92"/>
      <c r="B1467" s="2084"/>
      <c r="C1467" s="574"/>
      <c r="D1467" s="881" t="s">
        <v>10</v>
      </c>
      <c r="E1467" s="882">
        <v>45716</v>
      </c>
      <c r="F1467" s="71">
        <f>$L$7-E1467</f>
        <v>560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3">
        <f t="shared" si="872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77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73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93"/>
      <c r="B1468" s="2076"/>
      <c r="C1468" s="138" t="s">
        <v>76</v>
      </c>
      <c r="D1468" s="884" t="s">
        <v>10</v>
      </c>
      <c r="E1468" s="885">
        <v>45700</v>
      </c>
      <c r="F1468" s="293">
        <f>$L$7-E1468</f>
        <v>576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4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77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73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1517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78">+SUM(I1465:I1468)</f>
        <v>0</v>
      </c>
      <c r="J1469" s="1297">
        <f t="shared" si="878"/>
        <v>0</v>
      </c>
      <c r="K1469" s="1297">
        <f t="shared" si="878"/>
        <v>0</v>
      </c>
      <c r="L1469" s="1297">
        <f t="shared" si="878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1516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73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91">
        <f>IF(L1475=0,"",MAX($A$16:A1469)+1)</f>
        <v>96</v>
      </c>
      <c r="B1470" s="2083" t="s">
        <v>1519</v>
      </c>
      <c r="C1470" s="1742" t="s">
        <v>1875</v>
      </c>
      <c r="D1470" s="881" t="s">
        <v>10</v>
      </c>
      <c r="E1470" s="882">
        <v>46241</v>
      </c>
      <c r="F1470" s="71">
        <f>$L$7-E1470</f>
        <v>35</v>
      </c>
      <c r="G1470" s="64">
        <v>175</v>
      </c>
      <c r="H1470" s="64"/>
      <c r="I1470" s="64"/>
      <c r="J1470" s="1367"/>
      <c r="K1470" s="1348">
        <f>IFERROR(SUMIF(INTAKE!$A:$A,$T1470,INTAKE!$P:$P),0)</f>
        <v>100</v>
      </c>
      <c r="L1470" s="1703">
        <f t="shared" ref="L1470:L1472" si="879">+G1470+H1470+I1470-J1470-K1470</f>
        <v>75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(USA)D246241</v>
      </c>
      <c r="U1470" s="797"/>
      <c r="V1470" s="797"/>
      <c r="W1470" s="785">
        <f>IFERROR(VLOOKUP($Q1470,'391'!$S:$AG,15,0),0)</f>
        <v>0</v>
      </c>
      <c r="X1470" s="1090">
        <f t="shared" ref="X1470:X1475" si="880">G1470-W1470</f>
        <v>175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129"/>
      <c r="B1471" s="2090"/>
      <c r="C1471" s="1742" t="s">
        <v>1875</v>
      </c>
      <c r="D1471" s="881" t="s">
        <v>10</v>
      </c>
      <c r="E1471" s="882">
        <v>46270</v>
      </c>
      <c r="F1471" s="71">
        <f>$L$7-E1471</f>
        <v>6</v>
      </c>
      <c r="G1471" s="64">
        <v>500</v>
      </c>
      <c r="H1471" s="64"/>
      <c r="I1471" s="64"/>
      <c r="J1471" s="1367"/>
      <c r="K1471" s="64">
        <f>IFERROR(SUMIF(INTAKE!$A:$A,$T1471,INTAKE!$P:$P),0)</f>
        <v>0</v>
      </c>
      <c r="L1471" s="1703">
        <f t="shared" ref="L1471" si="881">+G1471+H1471+I1471-J1471-K1471</f>
        <v>500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82">$Q$1475&amp;C1471&amp;E1471</f>
        <v>CIBENZA DP100 (USA)D246270</v>
      </c>
      <c r="U1471" s="797"/>
      <c r="V1471" s="797"/>
      <c r="W1471" s="785">
        <f>IFERROR(VLOOKUP($Q1471,'391'!$S:$AG,15,0),0)</f>
        <v>0</v>
      </c>
      <c r="X1471" s="1090">
        <f t="shared" ref="X1471" si="883">G1471-W1471</f>
        <v>500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92"/>
      <c r="B1472" s="2084"/>
      <c r="C1472" s="1742"/>
      <c r="D1472" s="881" t="s">
        <v>10</v>
      </c>
      <c r="E1472" s="882">
        <v>46134</v>
      </c>
      <c r="F1472" s="71">
        <f>$L$7-E1472</f>
        <v>142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3">
        <f t="shared" si="879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80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129"/>
      <c r="B1473" s="2090"/>
      <c r="C1473" s="1742"/>
      <c r="D1473" s="881" t="s">
        <v>10</v>
      </c>
      <c r="E1473" s="882">
        <v>46064</v>
      </c>
      <c r="F1473" s="71">
        <f>$L$7-E1473</f>
        <v>212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3">
        <f t="shared" ref="L1473" si="884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85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93"/>
      <c r="B1474" s="2076"/>
      <c r="C1474" s="138" t="s">
        <v>76</v>
      </c>
      <c r="D1474" s="884" t="s">
        <v>10</v>
      </c>
      <c r="E1474" s="885">
        <v>46241</v>
      </c>
      <c r="F1474" s="293">
        <f>$L$7-E1474</f>
        <v>35</v>
      </c>
      <c r="G1474" s="1214">
        <v>98.339999999999975</v>
      </c>
      <c r="H1474" s="37"/>
      <c r="I1474" s="37">
        <f>SUM(K1470:K1473)</f>
        <v>100</v>
      </c>
      <c r="J1474" s="1385">
        <f>usage!I194</f>
        <v>104.19</v>
      </c>
      <c r="K1474" s="64">
        <f>IFERROR(SUMIF(INTAKE!$A:$A,$T1474,INTAKE!$P:$P),0)</f>
        <v>0</v>
      </c>
      <c r="L1474" s="1534">
        <f>+G1474+H1474+I1474-J1474-K1474</f>
        <v>94.149999999999977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(USA)Feedmil46241</v>
      </c>
      <c r="U1474" s="797"/>
      <c r="V1474" s="797"/>
      <c r="W1474" s="785">
        <f>IFERROR(VLOOKUP($Q1474,'391'!$S:$AG,15,0),0)</f>
        <v>0</v>
      </c>
      <c r="X1474" s="1090">
        <f t="shared" si="880"/>
        <v>98.339999999999975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1520</v>
      </c>
      <c r="C1475" s="575"/>
      <c r="D1475" s="900"/>
      <c r="E1475" s="901"/>
      <c r="F1475" s="902"/>
      <c r="G1475" s="1297">
        <v>773.33999999999992</v>
      </c>
      <c r="H1475" s="1297">
        <f>+SUM(H1470:H1474)</f>
        <v>0</v>
      </c>
      <c r="I1475" s="1297">
        <f t="shared" ref="I1475:L1475" si="886">+SUM(I1470:I1474)</f>
        <v>100</v>
      </c>
      <c r="J1475" s="1297">
        <f t="shared" si="886"/>
        <v>104.19</v>
      </c>
      <c r="K1475" s="1297">
        <f t="shared" si="886"/>
        <v>100</v>
      </c>
      <c r="L1475" s="1297">
        <f t="shared" si="886"/>
        <v>669.15</v>
      </c>
      <c r="M1475" s="59">
        <f>IFERROR(R1475/$S$2,"")</f>
        <v>15.757777777777777</v>
      </c>
      <c r="N1475" s="99">
        <f>IFERROR(L1475/M1475,0)</f>
        <v>42.464744041743053</v>
      </c>
      <c r="O1475" s="59">
        <f>IFERROR(SUMIF(ETM!$A:$A,$Q1475,ETM!$E:$E),"")</f>
        <v>26.333333333333332</v>
      </c>
      <c r="P1475" s="741">
        <f>IFERROR(L1475/O1475,0)</f>
        <v>25.410759493670888</v>
      </c>
      <c r="Q1475" s="809" t="s">
        <v>1521</v>
      </c>
      <c r="R1475" s="785">
        <f>IFERROR(VLOOKUP($Q1475,'391'!$S:$Z,8,0),"")</f>
        <v>70.91</v>
      </c>
      <c r="S1475" s="796"/>
      <c r="T1475" s="797"/>
      <c r="U1475" s="797"/>
      <c r="V1475" s="797"/>
      <c r="W1475" s="785">
        <f>IFERROR(VLOOKUP($Q1475,'391'!$S:$AG,15,0),0)</f>
        <v>1019.28</v>
      </c>
      <c r="X1475" s="1090">
        <f t="shared" si="880"/>
        <v>-245.94000000000005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91" t="str">
        <f>IF(L1480=0,"",MAX($A$16:A1475)+1)</f>
        <v/>
      </c>
      <c r="B1476" s="2083" t="s">
        <v>1532</v>
      </c>
      <c r="C1476" s="1742" t="s">
        <v>1313</v>
      </c>
      <c r="D1476" s="881" t="s">
        <v>10</v>
      </c>
      <c r="E1476" s="882">
        <v>45758</v>
      </c>
      <c r="F1476" s="71">
        <f>$L$7-E1476</f>
        <v>518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3">
        <f t="shared" ref="L1476:L1479" si="887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88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129"/>
      <c r="B1477" s="2090"/>
      <c r="C1477" s="1742"/>
      <c r="D1477" s="881" t="s">
        <v>10</v>
      </c>
      <c r="E1477" s="882">
        <v>45758</v>
      </c>
      <c r="F1477" s="71">
        <f>$L$7-E1477</f>
        <v>518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3">
        <f t="shared" ref="L1477" si="889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90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91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92"/>
      <c r="B1478" s="2084"/>
      <c r="C1478" s="1742"/>
      <c r="D1478" s="881" t="s">
        <v>10</v>
      </c>
      <c r="E1478" s="882">
        <v>45758</v>
      </c>
      <c r="F1478" s="71">
        <f>$L$7-E1478</f>
        <v>518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3">
        <f t="shared" si="887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892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88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93"/>
      <c r="B1479" s="2076"/>
      <c r="C1479" s="138" t="s">
        <v>76</v>
      </c>
      <c r="D1479" s="884" t="s">
        <v>10</v>
      </c>
      <c r="E1479" s="885">
        <v>45737</v>
      </c>
      <c r="F1479" s="293">
        <f>$L$7-E1479</f>
        <v>539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4">
        <f t="shared" si="887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892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88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1534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893">+SUM(I1476:I1479)</f>
        <v>0</v>
      </c>
      <c r="J1480" s="1297">
        <f t="shared" si="893"/>
        <v>0</v>
      </c>
      <c r="K1480" s="1297">
        <f t="shared" si="893"/>
        <v>0</v>
      </c>
      <c r="L1480" s="1297">
        <f t="shared" si="893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1535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88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91" t="str">
        <f>IF(L1486=0,"",MAX($A$16:A1480)+1)</f>
        <v/>
      </c>
      <c r="B1481" s="2083" t="s">
        <v>976</v>
      </c>
      <c r="C1481" s="574"/>
      <c r="D1481" s="881" t="s">
        <v>10</v>
      </c>
      <c r="E1481" s="882">
        <v>45637</v>
      </c>
      <c r="F1481" s="71">
        <f>$L$7-E1481</f>
        <v>639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3">
        <f t="shared" si="863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58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129"/>
      <c r="B1482" s="2090"/>
      <c r="C1482" s="574"/>
      <c r="D1482" s="881" t="s">
        <v>10</v>
      </c>
      <c r="E1482" s="882">
        <v>45637</v>
      </c>
      <c r="F1482" s="71">
        <f>$L$7-E1482</f>
        <v>639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3">
        <f t="shared" si="863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58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129"/>
      <c r="B1483" s="2090"/>
      <c r="C1483" s="574"/>
      <c r="D1483" s="881" t="s">
        <v>10</v>
      </c>
      <c r="E1483" s="882">
        <v>45637</v>
      </c>
      <c r="F1483" s="71">
        <f>$L$7-E1483</f>
        <v>639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3">
        <f t="shared" ref="L1483" si="894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895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92"/>
      <c r="B1484" s="2084"/>
      <c r="C1484" s="574"/>
      <c r="D1484" s="881" t="s">
        <v>10</v>
      </c>
      <c r="E1484" s="882">
        <v>45637</v>
      </c>
      <c r="F1484" s="71">
        <f>$L$7-E1484</f>
        <v>639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3">
        <f t="shared" si="863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58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93"/>
      <c r="B1485" s="2076"/>
      <c r="C1485" s="108" t="s">
        <v>46</v>
      </c>
      <c r="D1485" s="884" t="s">
        <v>10</v>
      </c>
      <c r="E1485" s="885">
        <v>45637</v>
      </c>
      <c r="F1485" s="293">
        <f>$L$7-E1485</f>
        <v>639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4">
        <f t="shared" si="863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58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896">+SUM(J1481:J1485)</f>
        <v>0</v>
      </c>
      <c r="K1486" s="1297">
        <f t="shared" si="896"/>
        <v>0</v>
      </c>
      <c r="L1486" s="1297">
        <f t="shared" si="896"/>
        <v>0</v>
      </c>
      <c r="M1486" s="59" t="str">
        <f>IFERROR(R1486/$S$2,"")</f>
        <v/>
      </c>
      <c r="N1486" s="99">
        <f>IFERROR(L1486/M1486,0)</f>
        <v>0</v>
      </c>
      <c r="O1486" s="92">
        <f>O1597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58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91" t="str">
        <f>IF(L1490=0,"",MAX($A$16:A1486)+1)</f>
        <v/>
      </c>
      <c r="B1487" s="2083" t="s">
        <v>1600</v>
      </c>
      <c r="C1487" s="574" t="s">
        <v>1249</v>
      </c>
      <c r="D1487" s="881" t="s">
        <v>10</v>
      </c>
      <c r="E1487" s="882">
        <v>45812</v>
      </c>
      <c r="F1487" s="71">
        <f>$L$7-E1487</f>
        <v>464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70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897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92"/>
      <c r="B1488" s="2084"/>
      <c r="C1488" s="574"/>
      <c r="D1488" s="881" t="s">
        <v>10</v>
      </c>
      <c r="E1488" s="882">
        <v>44200</v>
      </c>
      <c r="F1488" s="71">
        <f>$L$7-E1488</f>
        <v>2076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898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897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93"/>
      <c r="B1489" s="2076"/>
      <c r="C1489" s="138" t="s">
        <v>76</v>
      </c>
      <c r="D1489" s="884" t="s">
        <v>10</v>
      </c>
      <c r="E1489" s="885">
        <v>45812</v>
      </c>
      <c r="F1489" s="293">
        <f>$L$7-E1489</f>
        <v>464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4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898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897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1601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899">+SUM(I1487:I1489)</f>
        <v>0</v>
      </c>
      <c r="J1490" s="1297">
        <f t="shared" si="899"/>
        <v>0</v>
      </c>
      <c r="K1490" s="1297">
        <f t="shared" si="899"/>
        <v>0</v>
      </c>
      <c r="L1490" s="1297">
        <f t="shared" si="899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1600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897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91">
        <f>IF(L1495=0,"",MAX($A$16:A1490)+1)</f>
        <v>97</v>
      </c>
      <c r="B1491" s="2083" t="s">
        <v>1632</v>
      </c>
      <c r="C1491" s="574" t="s">
        <v>510</v>
      </c>
      <c r="D1491" s="881" t="s">
        <v>10</v>
      </c>
      <c r="E1491" s="882">
        <v>46218</v>
      </c>
      <c r="F1491" s="71">
        <f>$L$7-E1491</f>
        <v>58</v>
      </c>
      <c r="G1491" s="64">
        <v>10500</v>
      </c>
      <c r="H1491" s="64"/>
      <c r="I1491" s="64"/>
      <c r="J1491" s="1367"/>
      <c r="K1491" s="64">
        <f>IFERROR(SUMIF(INTAKE!$A:$A,$T1491,INTAKE!$P:$P),0)</f>
        <v>1250</v>
      </c>
      <c r="L1491" s="1670">
        <f>+G1491+H1491+I1491-J1491-K1491</f>
        <v>9250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00">G1491-W1491</f>
        <v>10500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hidden="1" customHeight="1" x14ac:dyDescent="0.25">
      <c r="A1492" s="2129"/>
      <c r="B1492" s="2090"/>
      <c r="C1492" s="574"/>
      <c r="D1492" s="881" t="s">
        <v>10</v>
      </c>
      <c r="E1492" s="882">
        <v>46218</v>
      </c>
      <c r="F1492" s="71">
        <f>$L$7-E1492</f>
        <v>58</v>
      </c>
      <c r="G1492" s="64">
        <v>0</v>
      </c>
      <c r="H1492" s="64"/>
      <c r="I1492" s="64"/>
      <c r="J1492" s="1367"/>
      <c r="K1492" s="64">
        <f>IFERROR(SUMIF(INTAKE!$A:$A,$T1492,INTAKE!$P:$P),0)</f>
        <v>0</v>
      </c>
      <c r="L1492" s="1670">
        <f>+G1492+H1492+I1492-J1492-K1492</f>
        <v>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01">$Q$1495&amp;C1492&amp;E1492</f>
        <v>Acid Buf 10 (Ireland)46218</v>
      </c>
      <c r="U1492" s="797"/>
      <c r="V1492" s="797"/>
      <c r="W1492" s="785">
        <f>IFERROR(VLOOKUP($Q1492,'391'!$S:$AG,15,0),0)</f>
        <v>0</v>
      </c>
      <c r="X1492" s="1090">
        <f t="shared" ref="X1492" si="902">G1492-W1492</f>
        <v>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92"/>
      <c r="B1493" s="2084"/>
      <c r="C1493" s="574"/>
      <c r="D1493" s="881" t="s">
        <v>10</v>
      </c>
      <c r="E1493" s="882">
        <v>46255</v>
      </c>
      <c r="F1493" s="71">
        <f>$L$7-E1493</f>
        <v>21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70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03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00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93"/>
      <c r="B1494" s="2076"/>
      <c r="C1494" s="138" t="s">
        <v>76</v>
      </c>
      <c r="D1494" s="884" t="s">
        <v>10</v>
      </c>
      <c r="E1494" s="885">
        <v>46202</v>
      </c>
      <c r="F1494" s="293">
        <f>$L$7-E1494</f>
        <v>74</v>
      </c>
      <c r="G1494" s="1214">
        <v>526.06999999999994</v>
      </c>
      <c r="H1494" s="37"/>
      <c r="I1494" s="37">
        <f>+K1493+K1491+K1492</f>
        <v>1250</v>
      </c>
      <c r="J1494" s="1385">
        <f>usage!I196</f>
        <v>316.56</v>
      </c>
      <c r="K1494" s="64">
        <f>IFERROR(SUMIF(INTAKE!$A:$A,$T1494,INTAKE!$P:$P),0)</f>
        <v>0</v>
      </c>
      <c r="L1494" s="1534">
        <f>+G1494+H1494+I1494-J1494-K1494</f>
        <v>1459.51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03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900"/>
        <v>526.06999999999994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1633</v>
      </c>
      <c r="C1495" s="575"/>
      <c r="D1495" s="900"/>
      <c r="E1495" s="901"/>
      <c r="F1495" s="902"/>
      <c r="G1495" s="1297">
        <v>11026.07</v>
      </c>
      <c r="H1495" s="1297">
        <f>+SUM(H1491:H1494)</f>
        <v>0</v>
      </c>
      <c r="I1495" s="1297">
        <f t="shared" ref="I1495:L1495" si="904">+SUM(I1491:I1494)</f>
        <v>1250</v>
      </c>
      <c r="J1495" s="1297">
        <f t="shared" si="904"/>
        <v>316.56</v>
      </c>
      <c r="K1495" s="1297">
        <f t="shared" si="904"/>
        <v>1250</v>
      </c>
      <c r="L1495" s="1297">
        <f t="shared" si="904"/>
        <v>10709.51</v>
      </c>
      <c r="M1495" s="92">
        <f>IFERROR(R1495/$S$2,"")</f>
        <v>346.22888888888889</v>
      </c>
      <c r="N1495" s="99">
        <f>IFERROR(L1495/M1495,0)</f>
        <v>30.931878718638281</v>
      </c>
      <c r="O1495" s="92">
        <f>IFERROR(SUMIF(ETM!$A:$A,$Q1495,ETM!$E:$E),"")</f>
        <v>289.66666666666669</v>
      </c>
      <c r="P1495" s="741">
        <f>IFERROR(L1495/O1495,0)</f>
        <v>36.971841196777902</v>
      </c>
      <c r="Q1495" s="809" t="s">
        <v>1632</v>
      </c>
      <c r="R1495" s="785">
        <f>IFERROR(VLOOKUP($Q1495,'391'!$S:$Z,8,0),"")</f>
        <v>1558.03</v>
      </c>
      <c r="S1495" s="796"/>
      <c r="T1495" s="797"/>
      <c r="U1495" s="797"/>
      <c r="V1495" s="797"/>
      <c r="W1495" s="785">
        <f>IFERROR(VLOOKUP($Q1495,'391'!$S:$AG,15,0),0)</f>
        <v>12280.24</v>
      </c>
      <c r="X1495" s="1090">
        <f t="shared" si="900"/>
        <v>-1254.17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91">
        <f>IF(L1500=0,"",MAX($A$16:A1495)+1)</f>
        <v>98</v>
      </c>
      <c r="B1496" s="2083" t="s">
        <v>1634</v>
      </c>
      <c r="C1496" s="1979" t="s">
        <v>250</v>
      </c>
      <c r="D1496" s="881" t="s">
        <v>10</v>
      </c>
      <c r="E1496" s="882">
        <v>46218</v>
      </c>
      <c r="F1496" s="71">
        <f>$L$7-E1496</f>
        <v>58</v>
      </c>
      <c r="G1496" s="64">
        <v>1100</v>
      </c>
      <c r="H1496" s="64"/>
      <c r="I1496" s="64"/>
      <c r="J1496" s="1367"/>
      <c r="K1496" s="64">
        <f>IFERROR(SUMIF(INTAKE!$A:$A,$T1496,INTAKE!$P:$P),0)</f>
        <v>25</v>
      </c>
      <c r="L1496" s="1670">
        <f>+G1496+H1496+I1496-J1496-K1496</f>
        <v>1075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05">G1496-W1496</f>
        <v>1100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92"/>
      <c r="B1497" s="2084"/>
      <c r="C1497" s="1953" t="s">
        <v>248</v>
      </c>
      <c r="D1497" s="881" t="s">
        <v>10</v>
      </c>
      <c r="E1497" s="882">
        <v>46245</v>
      </c>
      <c r="F1497" s="71">
        <f>$L$7-E1497</f>
        <v>31</v>
      </c>
      <c r="G1497" s="64">
        <v>2500</v>
      </c>
      <c r="H1497" s="1381"/>
      <c r="I1497" s="1381"/>
      <c r="J1497" s="1900"/>
      <c r="K1497" s="1897"/>
      <c r="L1497" s="1670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05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hidden="1" customHeight="1" x14ac:dyDescent="0.25">
      <c r="A1498" s="2129"/>
      <c r="B1498" s="2090"/>
      <c r="C1498" s="1979"/>
      <c r="D1498" s="881" t="s">
        <v>10</v>
      </c>
      <c r="E1498" s="882">
        <v>46245</v>
      </c>
      <c r="F1498" s="71">
        <f>$L$7-E1498</f>
        <v>31</v>
      </c>
      <c r="G1498" s="64">
        <v>0</v>
      </c>
      <c r="H1498" s="1381"/>
      <c r="I1498" s="1381"/>
      <c r="J1498" s="1900"/>
      <c r="K1498" s="1897"/>
      <c r="L1498" s="1670">
        <f>+G1498+H1498+I1498-J1498-K1498</f>
        <v>0</v>
      </c>
      <c r="M1498" s="1980"/>
      <c r="N1498" s="1981"/>
      <c r="O1498" s="1980"/>
      <c r="P1498" s="1982"/>
      <c r="Q1498" s="1983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93"/>
      <c r="B1499" s="2076"/>
      <c r="C1499" s="138" t="s">
        <v>76</v>
      </c>
      <c r="D1499" s="884" t="s">
        <v>10</v>
      </c>
      <c r="E1499" s="885">
        <v>46218</v>
      </c>
      <c r="F1499" s="293">
        <f>$L$7-E1499</f>
        <v>58</v>
      </c>
      <c r="G1499" s="1214">
        <v>170.27999999999986</v>
      </c>
      <c r="H1499" s="37"/>
      <c r="I1499" s="37">
        <f>+K1497+K1496</f>
        <v>25</v>
      </c>
      <c r="J1499" s="1385">
        <f>usage!I197</f>
        <v>77.8</v>
      </c>
      <c r="K1499" s="64">
        <f>IFERROR(SUMIF(INTAKE!$A:$A,$T1499,INTAKE!$P:$P),0)</f>
        <v>0</v>
      </c>
      <c r="L1499" s="1534">
        <f>+G1499+H1499+I1499-J1499-K1499</f>
        <v>117.47999999999986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05"/>
        <v>170.27999999999986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1635</v>
      </c>
      <c r="C1500" s="575"/>
      <c r="D1500" s="900"/>
      <c r="E1500" s="901"/>
      <c r="F1500" s="902"/>
      <c r="G1500" s="1297">
        <v>3770.2799999999997</v>
      </c>
      <c r="H1500" s="1297">
        <f>+SUM(H1496:H1499)</f>
        <v>0</v>
      </c>
      <c r="I1500" s="1297">
        <f t="shared" ref="I1500:L1500" si="906">+SUM(I1496:I1499)</f>
        <v>25</v>
      </c>
      <c r="J1500" s="1297">
        <f t="shared" si="906"/>
        <v>77.8</v>
      </c>
      <c r="K1500" s="1297">
        <f t="shared" si="906"/>
        <v>25</v>
      </c>
      <c r="L1500" s="1297">
        <f t="shared" si="906"/>
        <v>3692.48</v>
      </c>
      <c r="M1500" s="92">
        <f>IFERROR(R1500/$S$2,"")</f>
        <v>86.155555555555551</v>
      </c>
      <c r="N1500" s="99">
        <f>IFERROR(L1500/M1500,0)</f>
        <v>42.858292494196547</v>
      </c>
      <c r="O1500" s="92">
        <f>IFERROR(SUMIF(ETM!$A:$A,$Q1500,ETM!$E:$E),"")</f>
        <v>74</v>
      </c>
      <c r="P1500" s="741">
        <f>IFERROR(L1500/O1500,0)</f>
        <v>49.898378378378382</v>
      </c>
      <c r="Q1500" s="809" t="s">
        <v>1636</v>
      </c>
      <c r="R1500" s="785">
        <f>IFERROR(VLOOKUP($Q1500,'391'!$S:$Z,8,0),"")</f>
        <v>387.7</v>
      </c>
      <c r="S1500" s="796"/>
      <c r="T1500" s="797"/>
      <c r="U1500" s="797"/>
      <c r="V1500" s="797"/>
      <c r="W1500" s="785">
        <f>IFERROR(VLOOKUP($Q1500,'391'!$S:$AG,15,0),0)</f>
        <v>4070.9500000000003</v>
      </c>
      <c r="X1500" s="1090">
        <f t="shared" si="905"/>
        <v>-300.67000000000053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91">
        <f>IF(L1505=0,"",MAX($A$16:A1500)+1)</f>
        <v>99</v>
      </c>
      <c r="B1501" s="2083" t="s">
        <v>1637</v>
      </c>
      <c r="C1501" s="574" t="s">
        <v>283</v>
      </c>
      <c r="D1501" s="881" t="s">
        <v>10</v>
      </c>
      <c r="E1501" s="882">
        <v>46218</v>
      </c>
      <c r="F1501" s="71">
        <f>$L$7-E1501</f>
        <v>58</v>
      </c>
      <c r="G1501" s="64">
        <v>875</v>
      </c>
      <c r="H1501" s="64"/>
      <c r="I1501" s="64"/>
      <c r="J1501" s="1367"/>
      <c r="K1501" s="64">
        <f>IFERROR(SUMIF(INTAKE!$A:$A,$T1501,INTAKE!$P:$P),0)</f>
        <v>125</v>
      </c>
      <c r="L1501" s="1670">
        <f>+G1501+H1501+I1501-J1501-K1501</f>
        <v>750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07">G1501-W1501</f>
        <v>875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129"/>
      <c r="B1502" s="2090"/>
      <c r="C1502" s="574" t="s">
        <v>509</v>
      </c>
      <c r="D1502" s="881" t="s">
        <v>10</v>
      </c>
      <c r="E1502" s="882">
        <v>46245</v>
      </c>
      <c r="F1502" s="71">
        <f>$L$7-E1502</f>
        <v>31</v>
      </c>
      <c r="G1502" s="64">
        <v>5500</v>
      </c>
      <c r="H1502" s="64"/>
      <c r="I1502" s="64"/>
      <c r="J1502" s="1367"/>
      <c r="K1502" s="64">
        <f>IFERROR(SUMIF(INTAKE!$A:$A,$T1502,INTAKE!$P:$P),0)</f>
        <v>0</v>
      </c>
      <c r="L1502" s="1713">
        <f>+G1502+H1502+I1502-J1502-K1502</f>
        <v>5500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08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09">G1502-W1502</f>
        <v>5500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hidden="1" customHeight="1" x14ac:dyDescent="0.25">
      <c r="A1503" s="2092"/>
      <c r="B1503" s="2084"/>
      <c r="C1503" s="574"/>
      <c r="D1503" s="881" t="s">
        <v>10</v>
      </c>
      <c r="E1503" s="882">
        <v>46245</v>
      </c>
      <c r="F1503" s="71">
        <f>$L$7-E1503</f>
        <v>31</v>
      </c>
      <c r="G1503" s="64">
        <v>0</v>
      </c>
      <c r="H1503" s="64"/>
      <c r="I1503" s="64"/>
      <c r="J1503" s="1367"/>
      <c r="K1503" s="64">
        <f>IFERROR(SUMIF(INTAKE!$A:$A,$T1503,INTAKE!$P:$P),0)</f>
        <v>0</v>
      </c>
      <c r="L1503" s="1713">
        <f>+G1503+H1503+I1503-J1503-K1503</f>
        <v>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10">$Q$1505&amp;C1503&amp;E1503</f>
        <v>Kessent MF Dry (Singapore)46245</v>
      </c>
      <c r="U1503" s="797"/>
      <c r="V1503" s="797"/>
      <c r="W1503" s="785">
        <f>IFERROR(VLOOKUP($Q1503,'391'!$S:$AG,15,0),0)</f>
        <v>0</v>
      </c>
      <c r="X1503" s="1090">
        <f t="shared" si="907"/>
        <v>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93"/>
      <c r="B1504" s="2076"/>
      <c r="C1504" s="138" t="s">
        <v>76</v>
      </c>
      <c r="D1504" s="884" t="s">
        <v>10</v>
      </c>
      <c r="E1504" s="885">
        <v>46218</v>
      </c>
      <c r="F1504" s="293">
        <f>$L$7-E1504</f>
        <v>58</v>
      </c>
      <c r="G1504" s="1214">
        <v>404.56999999999994</v>
      </c>
      <c r="H1504" s="37"/>
      <c r="I1504" s="37">
        <f>+SUM(K1501:K1503)</f>
        <v>125</v>
      </c>
      <c r="J1504" s="1385">
        <f>usage!I198</f>
        <v>105.68</v>
      </c>
      <c r="K1504" s="64">
        <f>IFERROR(SUMIF(INTAKE!$A:$A,$T1504,INTAKE!$P:$P),0)</f>
        <v>0</v>
      </c>
      <c r="L1504" s="1534">
        <f>+G1504+H1504+I1504-J1504-K1504</f>
        <v>423.88999999999993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10"/>
        <v>Kessent MF Dry (Singapore)Feedmil46218</v>
      </c>
      <c r="U1504" s="797"/>
      <c r="V1504" s="797"/>
      <c r="W1504" s="785">
        <f>IFERROR(VLOOKUP($Q1504,'391'!$S:$AG,15,0),0)</f>
        <v>0</v>
      </c>
      <c r="X1504" s="1090">
        <f t="shared" si="907"/>
        <v>404.56999999999994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1638</v>
      </c>
      <c r="C1505" s="575"/>
      <c r="D1505" s="900"/>
      <c r="E1505" s="901"/>
      <c r="F1505" s="902"/>
      <c r="G1505" s="1297">
        <v>6779.57</v>
      </c>
      <c r="H1505" s="1297">
        <f>+SUM(H1501:H1504)</f>
        <v>0</v>
      </c>
      <c r="I1505" s="1297">
        <f t="shared" ref="I1505:L1505" si="911">+SUM(I1501:I1504)</f>
        <v>125</v>
      </c>
      <c r="J1505" s="1297">
        <f t="shared" si="911"/>
        <v>105.68</v>
      </c>
      <c r="K1505" s="1297">
        <f t="shared" si="911"/>
        <v>125</v>
      </c>
      <c r="L1505" s="1297">
        <f t="shared" si="911"/>
        <v>6673.89</v>
      </c>
      <c r="M1505" s="92">
        <f>IFERROR(R1505/$S$2,"")</f>
        <v>220.48444444444445</v>
      </c>
      <c r="N1505" s="99">
        <f>IFERROR(L1505/M1505,0)</f>
        <v>30.269210223951301</v>
      </c>
      <c r="O1505" s="92">
        <f>IFERROR(SUMIF(ETM!$A:$A,$Q1505,ETM!$E:$E),"")</f>
        <v>191.16666666666669</v>
      </c>
      <c r="P1505" s="741">
        <f>IFERROR(L1505/O1505,0)</f>
        <v>34.91136878814298</v>
      </c>
      <c r="Q1505" s="809" t="s">
        <v>1637</v>
      </c>
      <c r="R1505" s="785">
        <f>IFERROR(VLOOKUP($Q1505,'391'!$S:$Z,8,0),"")</f>
        <v>992.18000000000006</v>
      </c>
      <c r="S1505" s="796"/>
      <c r="T1505" s="797"/>
      <c r="U1505" s="797"/>
      <c r="V1505" s="797"/>
      <c r="W1505" s="785">
        <f>IFERROR(VLOOKUP($Q1505,'391'!$S:$AG,15,0),0)</f>
        <v>7674.32</v>
      </c>
      <c r="X1505" s="1090">
        <f t="shared" si="907"/>
        <v>-894.75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91">
        <f>IF(L1511=0,"",MAX($A$16:A1505)+1)</f>
        <v>100</v>
      </c>
      <c r="B1506" s="2083" t="s">
        <v>1733</v>
      </c>
      <c r="C1506" s="574" t="s">
        <v>1875</v>
      </c>
      <c r="D1506" s="881" t="s">
        <v>10</v>
      </c>
      <c r="E1506" s="882">
        <v>46225</v>
      </c>
      <c r="F1506" s="71">
        <f>$L$7-E1506</f>
        <v>51</v>
      </c>
      <c r="G1506" s="64">
        <v>25</v>
      </c>
      <c r="H1506" s="64"/>
      <c r="I1506" s="64"/>
      <c r="J1506" s="1367"/>
      <c r="K1506" s="64">
        <f>IFERROR(SUMIF(INTAKE!$A:$A,$T1506,INTAKE!$P:$P),0)</f>
        <v>0</v>
      </c>
      <c r="L1506" s="1670">
        <f>+G1506+H1506+I1506-J1506-K1506</f>
        <v>25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(China)D246225</v>
      </c>
      <c r="U1506" s="797"/>
      <c r="V1506" s="797"/>
      <c r="W1506" s="785">
        <f>IFERROR(VLOOKUP($Q1506,'391'!$S:$AG,15,0),0)</f>
        <v>0</v>
      </c>
      <c r="X1506" s="1090">
        <f t="shared" ref="X1506:X1510" si="912">G1506-W1506</f>
        <v>25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129"/>
      <c r="B1507" s="2090"/>
      <c r="C1507" s="574" t="s">
        <v>1875</v>
      </c>
      <c r="D1507" s="881" t="s">
        <v>10</v>
      </c>
      <c r="E1507" s="882">
        <v>46241</v>
      </c>
      <c r="F1507" s="71">
        <f>$L$7-E1507</f>
        <v>35</v>
      </c>
      <c r="G1507" s="64">
        <v>50</v>
      </c>
      <c r="H1507" s="64"/>
      <c r="I1507" s="64"/>
      <c r="J1507" s="1367"/>
      <c r="K1507" s="64">
        <f>IFERROR(SUMIF(INTAKE!$A:$A,$T1507,INTAKE!$P:$P),0)</f>
        <v>0</v>
      </c>
      <c r="L1507" s="1670">
        <f>+G1507+H1507+I1507-J1507-K1507</f>
        <v>50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(China)D246241</v>
      </c>
      <c r="U1507" s="797"/>
      <c r="V1507" s="797"/>
      <c r="W1507" s="785">
        <f>IFERROR(VLOOKUP($Q1507,'391'!$S:$AG,15,0),0)</f>
        <v>0</v>
      </c>
      <c r="X1507" s="1090">
        <f t="shared" ref="X1507:X1508" si="913">G1507-W1507</f>
        <v>50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129"/>
      <c r="B1508" s="2090"/>
      <c r="C1508" s="574" t="s">
        <v>1875</v>
      </c>
      <c r="D1508" s="881" t="s">
        <v>10</v>
      </c>
      <c r="E1508" s="882">
        <v>46275</v>
      </c>
      <c r="F1508" s="71">
        <f>$L$7-E1508</f>
        <v>1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70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(China)D246275</v>
      </c>
      <c r="U1508" s="797"/>
      <c r="V1508" s="797"/>
      <c r="W1508" s="785">
        <f>IFERROR(VLOOKUP($Q1508,'391'!$S:$AG,15,0),0)</f>
        <v>0</v>
      </c>
      <c r="X1508" s="1090">
        <f t="shared" si="913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92"/>
      <c r="B1509" s="2084"/>
      <c r="C1509" s="574"/>
      <c r="D1509" s="881" t="s">
        <v>10</v>
      </c>
      <c r="E1509" s="882">
        <v>46255</v>
      </c>
      <c r="F1509" s="71">
        <f>$L$7-E1509</f>
        <v>21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70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12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93"/>
      <c r="B1510" s="2076"/>
      <c r="C1510" s="138" t="s">
        <v>76</v>
      </c>
      <c r="D1510" s="884" t="s">
        <v>10</v>
      </c>
      <c r="E1510" s="885">
        <v>46225</v>
      </c>
      <c r="F1510" s="293">
        <f>$L$7-E1510</f>
        <v>51</v>
      </c>
      <c r="G1510" s="1214">
        <v>23.200000000000003</v>
      </c>
      <c r="H1510" s="37"/>
      <c r="I1510" s="37">
        <f>SUM(K1506:K1508)</f>
        <v>0</v>
      </c>
      <c r="J1510" s="1385">
        <f>usage!I213</f>
        <v>3.95</v>
      </c>
      <c r="K1510" s="64">
        <f>IFERROR(SUMIF(INTAKE!$A:$A,$T1510,INTAKE!$P:$P),0)</f>
        <v>0</v>
      </c>
      <c r="L1510" s="1534">
        <f>+G1510+H1510+I1510-J1510-K1510</f>
        <v>19.250000000000004</v>
      </c>
      <c r="M1510" s="98"/>
      <c r="N1510" s="1473"/>
      <c r="O1510" s="98"/>
      <c r="P1510" s="759"/>
      <c r="Q1510" s="666" t="s">
        <v>1824</v>
      </c>
      <c r="R1510" s="785">
        <f>IFERROR(VLOOKUP($Q1510,'391'!$S:$Z,8,0),"")</f>
        <v>30.62</v>
      </c>
      <c r="S1510" s="796"/>
      <c r="T1510" s="797" t="str">
        <f t="shared" ref="T1510" si="914">$Q$1511&amp;C1510&amp;E1510</f>
        <v>BIOTIN 2%Feedmil46225</v>
      </c>
      <c r="U1510" s="797"/>
      <c r="V1510" s="797"/>
      <c r="W1510" s="785">
        <f>IFERROR(VLOOKUP($Q1510,'391'!$S:$AG,15,0),0)</f>
        <v>127.64</v>
      </c>
      <c r="X1510" s="1090">
        <f t="shared" si="912"/>
        <v>-104.44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1734</v>
      </c>
      <c r="C1511" s="575"/>
      <c r="D1511" s="900"/>
      <c r="E1511" s="901"/>
      <c r="F1511" s="902"/>
      <c r="G1511" s="1297">
        <v>148.19999999999999</v>
      </c>
      <c r="H1511" s="1297">
        <f>+SUM(H1506:H1510)</f>
        <v>0</v>
      </c>
      <c r="I1511" s="1297">
        <f t="shared" ref="I1511:L1511" si="915">+SUM(I1506:I1510)</f>
        <v>0</v>
      </c>
      <c r="J1511" s="1297">
        <f t="shared" si="915"/>
        <v>3.95</v>
      </c>
      <c r="K1511" s="1297">
        <f t="shared" si="915"/>
        <v>0</v>
      </c>
      <c r="L1511" s="1297">
        <f t="shared" si="915"/>
        <v>144.25</v>
      </c>
      <c r="M1511" s="92">
        <f>IFERROR(S1511/$S$2,"")</f>
        <v>6.804444444444445</v>
      </c>
      <c r="N1511" s="99">
        <f>IFERROR(L1511/M1511,0)</f>
        <v>21.199379490529065</v>
      </c>
      <c r="O1511" s="92">
        <f>IFERROR(SUMIF(ETM!$A:$A,$Q1511,ETM!$E:$E),"")</f>
        <v>6.166666666666667</v>
      </c>
      <c r="P1511" s="741">
        <f>IFERROR(L1511/O1511,0)</f>
        <v>23.391891891891891</v>
      </c>
      <c r="Q1511" s="809" t="s">
        <v>1733</v>
      </c>
      <c r="R1511" s="785" t="str">
        <f>IFERROR(VLOOKUP($Q1511,'391'!$S:$Z,8,0),"0")</f>
        <v>0</v>
      </c>
      <c r="S1511" s="1495">
        <f>+R1511+R1510</f>
        <v>30.62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20.559999999999988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91">
        <f>IF(L1516=0,"",MAX($A$16:A1505)+1)</f>
        <v>100</v>
      </c>
      <c r="B1512" s="2083" t="s">
        <v>1639</v>
      </c>
      <c r="C1512" s="574" t="s">
        <v>245</v>
      </c>
      <c r="D1512" s="881" t="s">
        <v>10</v>
      </c>
      <c r="E1512" s="882">
        <v>46218</v>
      </c>
      <c r="F1512" s="71">
        <f>$L$7-E1512</f>
        <v>58</v>
      </c>
      <c r="G1512" s="64">
        <v>875</v>
      </c>
      <c r="H1512" s="64"/>
      <c r="I1512" s="64"/>
      <c r="J1512" s="1367"/>
      <c r="K1512" s="1348">
        <f>IFERROR(SUMIF(INTAKE!$A:$A,$T1512,INTAKE!$P:$P),0)</f>
        <v>0</v>
      </c>
      <c r="L1512" s="1670">
        <f>+G1512+H1512+I1512-J1512-K1512</f>
        <v>875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16">G1512-W1512</f>
        <v>875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129"/>
      <c r="B1513" s="2090"/>
      <c r="C1513" s="574" t="s">
        <v>245</v>
      </c>
      <c r="D1513" s="881" t="s">
        <v>10</v>
      </c>
      <c r="E1513" s="882">
        <v>46245</v>
      </c>
      <c r="F1513" s="71">
        <f>$L$7-E1513</f>
        <v>31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70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17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18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92"/>
      <c r="B1514" s="2084"/>
      <c r="C1514" s="574"/>
      <c r="D1514" s="881" t="s">
        <v>10</v>
      </c>
      <c r="E1514" s="882">
        <v>46245</v>
      </c>
      <c r="F1514" s="71">
        <f>$L$7-E1514</f>
        <v>31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70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19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16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93"/>
      <c r="B1515" s="2076"/>
      <c r="C1515" s="138" t="s">
        <v>76</v>
      </c>
      <c r="D1515" s="884" t="s">
        <v>10</v>
      </c>
      <c r="E1515" s="885">
        <v>46218</v>
      </c>
      <c r="F1515" s="293">
        <f>$L$7-E1515</f>
        <v>58</v>
      </c>
      <c r="G1515" s="1214">
        <v>92.95</v>
      </c>
      <c r="H1515" s="37"/>
      <c r="I1515" s="37">
        <f>+K1514+K1512+K1513</f>
        <v>0</v>
      </c>
      <c r="J1515" s="1385">
        <f>usage!I199</f>
        <v>0</v>
      </c>
      <c r="K1515" s="64">
        <f>IFERROR(SUMIF(INTAKE!$A:$A,$T1515,INTAKE!$P:$P),0)</f>
        <v>0</v>
      </c>
      <c r="L1515" s="1534">
        <f>+G1515+H1515+I1515-J1515-K1515</f>
        <v>92.95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19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16"/>
        <v>92.95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1640</v>
      </c>
      <c r="C1516" s="575"/>
      <c r="D1516" s="900"/>
      <c r="E1516" s="901"/>
      <c r="F1516" s="902"/>
      <c r="G1516" s="1297">
        <v>1967.95</v>
      </c>
      <c r="H1516" s="1297">
        <f>+SUM(H1512:H1515)</f>
        <v>0</v>
      </c>
      <c r="I1516" s="1297">
        <f t="shared" ref="I1516:L1516" si="920">+SUM(I1512:I1515)</f>
        <v>0</v>
      </c>
      <c r="J1516" s="1297">
        <f t="shared" si="920"/>
        <v>0</v>
      </c>
      <c r="K1516" s="1297">
        <f t="shared" si="920"/>
        <v>0</v>
      </c>
      <c r="L1516" s="1297">
        <f t="shared" si="920"/>
        <v>1967.95</v>
      </c>
      <c r="M1516" s="92">
        <f>IFERROR(R1516/$S$2,"")</f>
        <v>24.924444444444443</v>
      </c>
      <c r="N1516" s="99">
        <f>IFERROR(L1516/M1516,0)</f>
        <v>78.956624465049927</v>
      </c>
      <c r="O1516" s="92">
        <f>IFERROR(SUMIF(ETM!$A:$A,$Q1516,ETM!$E:$E),"")</f>
        <v>22.000000000000004</v>
      </c>
      <c r="P1516" s="741">
        <f>IFERROR(L1516/O1516,0)</f>
        <v>89.452272727272714</v>
      </c>
      <c r="Q1516" s="809" t="s">
        <v>1639</v>
      </c>
      <c r="R1516" s="785">
        <f>IFERROR(VLOOKUP($Q1516,'391'!$S:$Z,8,0),"")</f>
        <v>112.16</v>
      </c>
      <c r="S1516" s="796"/>
      <c r="T1516" s="797"/>
      <c r="U1516" s="797"/>
      <c r="V1516" s="797"/>
      <c r="W1516" s="785">
        <f>IFERROR(VLOOKUP($Q1516,'391'!$S:$AG,15,0),0)</f>
        <v>2062.7600000000002</v>
      </c>
      <c r="X1516" s="1090">
        <f t="shared" si="916"/>
        <v>-94.810000000000173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91">
        <f>IF(L1522=0,"",MAX($A$16:A1516)+1)</f>
        <v>101</v>
      </c>
      <c r="B1517" s="2083" t="s">
        <v>1641</v>
      </c>
      <c r="C1517" s="574" t="s">
        <v>983</v>
      </c>
      <c r="D1517" s="881" t="s">
        <v>10</v>
      </c>
      <c r="E1517" s="882">
        <v>46223</v>
      </c>
      <c r="F1517" s="71">
        <f>$L$7-E1517</f>
        <v>53</v>
      </c>
      <c r="G1517" s="64">
        <v>7500</v>
      </c>
      <c r="H1517" s="64"/>
      <c r="I1517" s="64"/>
      <c r="J1517" s="1367"/>
      <c r="K1517" s="64">
        <f>IFERROR(SUMIF(INTAKE!$A:$A,$T1517,INTAKE!$P:$P),0)</f>
        <v>0</v>
      </c>
      <c r="L1517" s="1670">
        <f>+G1517+H1517+I1517-J1517-K1517</f>
        <v>7500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21">G1517-W1517</f>
        <v>7500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129"/>
      <c r="B1518" s="2090"/>
      <c r="C1518" s="574" t="s">
        <v>983</v>
      </c>
      <c r="D1518" s="881" t="s">
        <v>10</v>
      </c>
      <c r="E1518" s="882">
        <v>46223</v>
      </c>
      <c r="F1518" s="71">
        <f>$L$7-E1518</f>
        <v>53</v>
      </c>
      <c r="G1518" s="64">
        <v>10000</v>
      </c>
      <c r="H1518" s="64"/>
      <c r="I1518" s="64"/>
      <c r="J1518" s="1367"/>
      <c r="K1518" s="64"/>
      <c r="L1518" s="1670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22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23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129"/>
      <c r="B1519" s="2090"/>
      <c r="C1519" s="574" t="s">
        <v>983</v>
      </c>
      <c r="D1519" s="881" t="s">
        <v>10</v>
      </c>
      <c r="E1519" s="882">
        <v>46254</v>
      </c>
      <c r="F1519" s="71">
        <f>$L$7-E1519</f>
        <v>22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70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22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23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92"/>
      <c r="B1520" s="2084"/>
      <c r="C1520" s="574"/>
      <c r="D1520" s="881" t="s">
        <v>10</v>
      </c>
      <c r="E1520" s="882">
        <v>46254</v>
      </c>
      <c r="F1520" s="71">
        <f>$L$7-E1520</f>
        <v>22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70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24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21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93"/>
      <c r="B1521" s="2076"/>
      <c r="C1521" s="138" t="s">
        <v>76</v>
      </c>
      <c r="D1521" s="884" t="s">
        <v>10</v>
      </c>
      <c r="E1521" s="885">
        <v>46204</v>
      </c>
      <c r="F1521" s="293">
        <f>$L$7-E1521</f>
        <v>72</v>
      </c>
      <c r="G1521" s="1214">
        <v>2317.81</v>
      </c>
      <c r="H1521" s="37"/>
      <c r="I1521" s="37">
        <f>+SUM(K1517:K1520)</f>
        <v>0</v>
      </c>
      <c r="J1521" s="1385">
        <f>usage!I200</f>
        <v>260.45</v>
      </c>
      <c r="K1521" s="64">
        <f>IFERROR(SUMIF(INTAKE!$A:$A,$T1521,INTAKE!$P:$P),0)</f>
        <v>0</v>
      </c>
      <c r="L1521" s="1534">
        <f>+G1521+H1521+I1521-J1521-K1521</f>
        <v>2057.36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24"/>
        <v>Rumifat R100 (Malaysia)Feedmil46204</v>
      </c>
      <c r="U1521" s="797"/>
      <c r="V1521" s="797"/>
      <c r="W1521" s="785">
        <f>IFERROR(VLOOKUP($Q1521,'391'!$S:$AG,15,0),0)</f>
        <v>0</v>
      </c>
      <c r="X1521" s="1090">
        <f t="shared" si="921"/>
        <v>2317.81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1642</v>
      </c>
      <c r="C1522" s="575"/>
      <c r="D1522" s="900"/>
      <c r="E1522" s="901"/>
      <c r="F1522" s="902"/>
      <c r="G1522" s="1297">
        <v>39817.81</v>
      </c>
      <c r="H1522" s="1297">
        <f>+SUM(H1517:H1521)</f>
        <v>0</v>
      </c>
      <c r="I1522" s="1297">
        <f t="shared" ref="I1522:L1522" si="925">+SUM(I1517:I1521)</f>
        <v>0</v>
      </c>
      <c r="J1522" s="1297">
        <f t="shared" si="925"/>
        <v>260.45</v>
      </c>
      <c r="K1522" s="1297">
        <f t="shared" si="925"/>
        <v>0</v>
      </c>
      <c r="L1522" s="1297">
        <f t="shared" si="925"/>
        <v>39557.360000000001</v>
      </c>
      <c r="M1522" s="92">
        <f>IFERROR(R1522/$S$2,"")</f>
        <v>452.17555555555555</v>
      </c>
      <c r="N1522" s="99">
        <f>IFERROR(L1522/M1522,0)</f>
        <v>87.482305299318355</v>
      </c>
      <c r="O1522" s="92">
        <f>IFERROR(SUMIF(ETM!$A:$A,$Q1522,ETM!$E:$E),"")</f>
        <v>432.16666666666663</v>
      </c>
      <c r="P1522" s="741">
        <f>IFERROR(L1522/O1522,0)</f>
        <v>91.532649440802174</v>
      </c>
      <c r="Q1522" s="809" t="s">
        <v>1641</v>
      </c>
      <c r="R1522" s="785">
        <f>IFERROR(VLOOKUP($Q1522,'391'!$S:$Z,8,0),"")</f>
        <v>2034.79</v>
      </c>
      <c r="S1522" s="796"/>
      <c r="T1522" s="797"/>
      <c r="U1522" s="797"/>
      <c r="V1522" s="797"/>
      <c r="W1522" s="785">
        <f>IFERROR(VLOOKUP($Q1522,'391'!$S:$AG,15,0),0)</f>
        <v>41787.49</v>
      </c>
      <c r="X1522" s="1090">
        <f>G1522-W1522</f>
        <v>-1969.6800000000003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91">
        <f>IF(L1528=0,"",MAX($A$16:A1522)+1)</f>
        <v>102</v>
      </c>
      <c r="B1523" s="2083" t="s">
        <v>1643</v>
      </c>
      <c r="C1523" s="574" t="s">
        <v>360</v>
      </c>
      <c r="D1523" s="881" t="s">
        <v>10</v>
      </c>
      <c r="E1523" s="882">
        <v>46276</v>
      </c>
      <c r="F1523" s="71">
        <f>$L$7-E1523</f>
        <v>0</v>
      </c>
      <c r="G1523" s="64">
        <v>0</v>
      </c>
      <c r="H1523" s="64">
        <v>10000</v>
      </c>
      <c r="I1523" s="64"/>
      <c r="J1523" s="1367"/>
      <c r="K1523" s="64">
        <f>IFERROR(SUMIF(INTAKE!$A:$A,$T1523,INTAKE!$P:$P),0)</f>
        <v>0</v>
      </c>
      <c r="L1523" s="1670">
        <f>+G1523+H1523+I1523-J1523-K1523</f>
        <v>10000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26">G1523-W1523</f>
        <v>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hidden="1" customHeight="1" x14ac:dyDescent="0.25">
      <c r="A1524" s="2129"/>
      <c r="B1524" s="2090"/>
      <c r="C1524" s="574"/>
      <c r="D1524" s="881" t="s">
        <v>10</v>
      </c>
      <c r="E1524" s="882">
        <v>46259</v>
      </c>
      <c r="F1524" s="71">
        <f>$L$7-E1524</f>
        <v>17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70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27">$Q$1528&amp;C1524&amp;E1524</f>
        <v>Rumifat Plus (Malaysia)46259</v>
      </c>
      <c r="U1524" s="797"/>
      <c r="V1524" s="797"/>
      <c r="W1524" s="785">
        <f>IFERROR(VLOOKUP($Q1524,'391'!$S:$AG,15,0),0)</f>
        <v>0</v>
      </c>
      <c r="X1524" s="1090">
        <f t="shared" ref="X1524:X1525" si="928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hidden="1" customHeight="1" x14ac:dyDescent="0.25">
      <c r="A1525" s="2129"/>
      <c r="B1525" s="2090"/>
      <c r="C1525" s="574"/>
      <c r="D1525" s="881" t="s">
        <v>10</v>
      </c>
      <c r="E1525" s="882">
        <v>46259</v>
      </c>
      <c r="F1525" s="71">
        <f>$L$7-E1525</f>
        <v>17</v>
      </c>
      <c r="G1525" s="64">
        <v>0</v>
      </c>
      <c r="H1525" s="64"/>
      <c r="I1525" s="64"/>
      <c r="J1525" s="1367"/>
      <c r="K1525" s="64">
        <f>IFERROR(SUMIF(INTAKE!$A:$A,$T1525,INTAKE!$P:$P),0)</f>
        <v>0</v>
      </c>
      <c r="L1525" s="1670">
        <f>+G1525+H1525+I1525-J1525-K1525</f>
        <v>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27"/>
        <v>Rumifat Plus (Malaysia)46259</v>
      </c>
      <c r="U1525" s="797"/>
      <c r="V1525" s="797"/>
      <c r="W1525" s="785">
        <f>IFERROR(VLOOKUP($Q1525,'391'!$S:$AG,15,0),0)</f>
        <v>0</v>
      </c>
      <c r="X1525" s="1090">
        <f t="shared" si="928"/>
        <v>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92"/>
      <c r="B1526" s="2084"/>
      <c r="C1526" s="574"/>
      <c r="D1526" s="881" t="s">
        <v>10</v>
      </c>
      <c r="E1526" s="882">
        <v>46234</v>
      </c>
      <c r="F1526" s="71">
        <f>$L$7-E1526</f>
        <v>42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70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29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26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93"/>
      <c r="B1527" s="2076"/>
      <c r="C1527" s="138" t="s">
        <v>76</v>
      </c>
      <c r="D1527" s="884" t="s">
        <v>10</v>
      </c>
      <c r="E1527" s="885">
        <v>46259</v>
      </c>
      <c r="F1527" s="293">
        <f>$L$7-E1527</f>
        <v>17</v>
      </c>
      <c r="G1527" s="1214">
        <v>23951</v>
      </c>
      <c r="H1527" s="37"/>
      <c r="I1527" s="37">
        <f>SUM(K1523:K1527)</f>
        <v>0</v>
      </c>
      <c r="J1527" s="1385">
        <f>usage!I201</f>
        <v>1661</v>
      </c>
      <c r="K1527" s="64">
        <f>IFERROR(SUMIF(INTAKE!$A:$A,$T1527,INTAKE!$P:$P),0)</f>
        <v>0</v>
      </c>
      <c r="L1527" s="1534">
        <f>+G1527+H1527+I1527-J1527-K1527</f>
        <v>22290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29"/>
        <v>Rumifat Plus (Malaysia)Feedmil46259</v>
      </c>
      <c r="U1527" s="797"/>
      <c r="V1527" s="797"/>
      <c r="W1527" s="785">
        <f>IFERROR(VLOOKUP($Q1527,'391'!$S:$AG,15,0),0)</f>
        <v>0</v>
      </c>
      <c r="X1527" s="1090">
        <f t="shared" si="926"/>
        <v>23951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1644</v>
      </c>
      <c r="C1528" s="575"/>
      <c r="D1528" s="900"/>
      <c r="E1528" s="901"/>
      <c r="F1528" s="902"/>
      <c r="G1528" s="1297">
        <v>23951</v>
      </c>
      <c r="H1528" s="1297">
        <f>+SUM(H1523:H1527)</f>
        <v>10000</v>
      </c>
      <c r="I1528" s="1297">
        <f t="shared" ref="I1528:L1528" si="930">+SUM(I1523:I1527)</f>
        <v>0</v>
      </c>
      <c r="J1528" s="1297">
        <f t="shared" si="930"/>
        <v>1661</v>
      </c>
      <c r="K1528" s="1297">
        <f t="shared" si="930"/>
        <v>0</v>
      </c>
      <c r="L1528" s="1297">
        <f t="shared" si="930"/>
        <v>32290</v>
      </c>
      <c r="M1528" s="92">
        <f>IFERROR(R1528/$S$2,"")</f>
        <v>3093.5555555555557</v>
      </c>
      <c r="N1528" s="99">
        <f>IFERROR(L1528/M1528,0)</f>
        <v>10.437827742259895</v>
      </c>
      <c r="O1528" s="92">
        <f>IFERROR(SUMIF(ETM!$A:$A,$Q1528,ETM!$E:$E),"")</f>
        <v>2869.666666666667</v>
      </c>
      <c r="P1528" s="741">
        <f>IFERROR(L1528/O1528,0)</f>
        <v>11.252177953304679</v>
      </c>
      <c r="Q1528" s="809" t="s">
        <v>1643</v>
      </c>
      <c r="R1528" s="785">
        <f>IFERROR(VLOOKUP($Q1528,'391'!$S:$Z,8,0),"")</f>
        <v>13921</v>
      </c>
      <c r="S1528" s="796"/>
      <c r="T1528" s="797"/>
      <c r="U1528" s="797"/>
      <c r="V1528" s="797"/>
      <c r="W1528" s="785">
        <f>IFERROR(VLOOKUP($Q1528,'391'!$S:$AG,15,0),0)</f>
        <v>45692</v>
      </c>
      <c r="X1528" s="1090">
        <f t="shared" si="926"/>
        <v>-21741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91">
        <f>IF(L1532=0,"",MAX($A$16:A1528)+1)</f>
        <v>103</v>
      </c>
      <c r="B1529" s="2083" t="s">
        <v>1729</v>
      </c>
      <c r="C1529" s="574" t="s">
        <v>1232</v>
      </c>
      <c r="D1529" s="881" t="s">
        <v>10</v>
      </c>
      <c r="E1529" s="882">
        <v>46038</v>
      </c>
      <c r="F1529" s="71">
        <f>$L$7-E1529</f>
        <v>238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70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31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92"/>
      <c r="B1530" s="2084"/>
      <c r="C1530" s="574" t="s">
        <v>1232</v>
      </c>
      <c r="D1530" s="881" t="s">
        <v>10</v>
      </c>
      <c r="E1530" s="882">
        <v>46052</v>
      </c>
      <c r="F1530" s="71">
        <f>$L$7-E1530</f>
        <v>224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70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32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31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93"/>
      <c r="B1531" s="2076"/>
      <c r="C1531" s="138" t="s">
        <v>76</v>
      </c>
      <c r="D1531" s="884" t="s">
        <v>10</v>
      </c>
      <c r="E1531" s="885">
        <v>46038</v>
      </c>
      <c r="F1531" s="293">
        <f>$L$7-E1531</f>
        <v>238</v>
      </c>
      <c r="G1531" s="1214">
        <v>22.72</v>
      </c>
      <c r="H1531" s="37"/>
      <c r="I1531" s="37">
        <f>+K1530+K1529</f>
        <v>0</v>
      </c>
      <c r="J1531" s="1385">
        <f>usage!I212</f>
        <v>7</v>
      </c>
      <c r="K1531" s="64">
        <f>IFERROR(SUMIF(INTAKE!$A:$A,$T1531,INTAKE!$P:$P),0)</f>
        <v>0</v>
      </c>
      <c r="L1531" s="1534">
        <f>+G1531+H1531+I1531-J1531-K1531</f>
        <v>15.719999999999999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32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31"/>
        <v>22.72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1730</v>
      </c>
      <c r="C1532" s="575"/>
      <c r="D1532" s="900"/>
      <c r="E1532" s="901"/>
      <c r="F1532" s="902"/>
      <c r="G1532" s="1297">
        <v>562.72</v>
      </c>
      <c r="H1532" s="1297">
        <f>+SUM(H1529:H1531)</f>
        <v>0</v>
      </c>
      <c r="I1532" s="1297">
        <f t="shared" ref="I1532:L1532" si="933">+SUM(I1529:I1531)</f>
        <v>0</v>
      </c>
      <c r="J1532" s="1297">
        <f t="shared" si="933"/>
        <v>7</v>
      </c>
      <c r="K1532" s="1297">
        <f t="shared" si="933"/>
        <v>0</v>
      </c>
      <c r="L1532" s="1297">
        <f t="shared" si="933"/>
        <v>555.72</v>
      </c>
      <c r="M1532" s="92">
        <f>IFERROR(R1532/$S$2,"")</f>
        <v>1.7777777777777777</v>
      </c>
      <c r="N1532" s="99">
        <f>IFERROR(L1532/M1532,0)</f>
        <v>312.59250000000003</v>
      </c>
      <c r="O1532" s="92">
        <f>IFERROR(SUMIF(ETM!$A:$A,$Q1532,ETM!$E:$E),"")</f>
        <v>0</v>
      </c>
      <c r="P1532" s="741">
        <f>IFERROR(L1532/O1532,0)</f>
        <v>0</v>
      </c>
      <c r="Q1532" s="666" t="s">
        <v>1729</v>
      </c>
      <c r="R1532" s="785">
        <f>IFERROR(VLOOKUP($Q1532,'391'!$S:$Z,8,0),"")</f>
        <v>8</v>
      </c>
      <c r="S1532" s="796"/>
      <c r="T1532" s="797"/>
      <c r="U1532" s="797"/>
      <c r="V1532" s="797"/>
      <c r="W1532" s="785">
        <f>IFERROR(VLOOKUP($Q1532,'391'!$S:$AG,15,0),0)</f>
        <v>565.72</v>
      </c>
      <c r="X1532" s="1090">
        <f t="shared" si="931"/>
        <v>-3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91">
        <f>IF(L1538=0,"",MAX($A$16:A1532)+1)</f>
        <v>104</v>
      </c>
      <c r="B1533" s="2083" t="s">
        <v>1731</v>
      </c>
      <c r="C1533" s="574" t="s">
        <v>1794</v>
      </c>
      <c r="D1533" s="881" t="s">
        <v>10</v>
      </c>
      <c r="E1533" s="882">
        <v>46202</v>
      </c>
      <c r="F1533" s="71">
        <f>$L$7-E1533</f>
        <v>74</v>
      </c>
      <c r="G1533" s="64">
        <v>25</v>
      </c>
      <c r="H1533" s="64"/>
      <c r="I1533" s="64"/>
      <c r="J1533" s="1367"/>
      <c r="K1533" s="64">
        <f>IFERROR(SUMIF(INTAKE!$A:$A,$T1533,INTAKE!$P:$P),0)</f>
        <v>0</v>
      </c>
      <c r="L1533" s="1670">
        <f>+G1533+H1533+I1533-J1533-K1533</f>
        <v>25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(Singapore)V5.246202</v>
      </c>
      <c r="U1533" s="797"/>
      <c r="V1533" s="797"/>
      <c r="W1533" s="785">
        <f>IFERROR(VLOOKUP($Q1533,'391'!$S:$AG,15,0),0)</f>
        <v>0</v>
      </c>
      <c r="X1533" s="1090">
        <f t="shared" ref="X1533:X1538" si="934">G1533-W1533</f>
        <v>25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129"/>
      <c r="B1534" s="2090"/>
      <c r="C1534" s="574" t="s">
        <v>1794</v>
      </c>
      <c r="D1534" s="881" t="s">
        <v>10</v>
      </c>
      <c r="E1534" s="882">
        <v>46218</v>
      </c>
      <c r="F1534" s="71">
        <f>$L$7-E1534</f>
        <v>58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70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35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36">G1534-W1534</f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129"/>
      <c r="B1535" s="2090"/>
      <c r="C1535" s="574" t="s">
        <v>1794</v>
      </c>
      <c r="D1535" s="881" t="s">
        <v>10</v>
      </c>
      <c r="E1535" s="882">
        <v>46245</v>
      </c>
      <c r="F1535" s="71">
        <f>$L$7-E1535</f>
        <v>31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70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35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36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92"/>
      <c r="B1536" s="2084"/>
      <c r="C1536" s="574"/>
      <c r="D1536" s="881" t="s">
        <v>10</v>
      </c>
      <c r="E1536" s="882">
        <v>46255</v>
      </c>
      <c r="F1536" s="71">
        <f>$L$7-E1536</f>
        <v>21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70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35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34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93"/>
      <c r="B1537" s="2076"/>
      <c r="C1537" s="138" t="s">
        <v>76</v>
      </c>
      <c r="D1537" s="884" t="s">
        <v>10</v>
      </c>
      <c r="E1537" s="885">
        <v>46202</v>
      </c>
      <c r="F1537" s="293">
        <f>$L$7-E1537</f>
        <v>74</v>
      </c>
      <c r="G1537" s="1214">
        <v>6.8400000000000007</v>
      </c>
      <c r="H1537" s="37"/>
      <c r="I1537" s="37">
        <f>+K1536+K1533</f>
        <v>0</v>
      </c>
      <c r="J1537" s="1385">
        <f>usage!I214</f>
        <v>2.44</v>
      </c>
      <c r="K1537" s="64">
        <f>IFERROR(SUMIF(INTAKE!$A:$A,$T1537,INTAKE!$P:$P),0)</f>
        <v>0</v>
      </c>
      <c r="L1537" s="1534">
        <f>+G1537+H1537+I1537-J1537-K1537</f>
        <v>4.4000000000000004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35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34"/>
        <v>6.8400000000000007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1732</v>
      </c>
      <c r="C1538" s="575"/>
      <c r="D1538" s="900"/>
      <c r="E1538" s="901"/>
      <c r="F1538" s="902"/>
      <c r="G1538" s="1297">
        <v>181.84</v>
      </c>
      <c r="H1538" s="1297">
        <f>+SUM(H1533:H1537)</f>
        <v>0</v>
      </c>
      <c r="I1538" s="1297">
        <f t="shared" ref="I1538:L1538" si="937">+SUM(I1533:I1537)</f>
        <v>0</v>
      </c>
      <c r="J1538" s="1297">
        <f t="shared" si="937"/>
        <v>2.44</v>
      </c>
      <c r="K1538" s="1297">
        <f t="shared" si="937"/>
        <v>0</v>
      </c>
      <c r="L1538" s="1297">
        <f t="shared" si="937"/>
        <v>179.4</v>
      </c>
      <c r="M1538" s="92">
        <f>IFERROR(R1538/$S$2,"")</f>
        <v>3.06</v>
      </c>
      <c r="N1538" s="99">
        <f>IFERROR(L1538/M1538,0)</f>
        <v>58.627450980392155</v>
      </c>
      <c r="O1538" s="92">
        <f>IFERROR(SUMIF(ETM!$A:$A,$Q1538,ETM!$E:$E),"")</f>
        <v>2</v>
      </c>
      <c r="P1538" s="741">
        <f>IFERROR(L1538/O1538,0)</f>
        <v>89.7</v>
      </c>
      <c r="Q1538" s="1163" t="s">
        <v>1731</v>
      </c>
      <c r="R1538" s="785">
        <f>IFERROR(VLOOKUP($Q1538,'391'!$S:$Z,8,0),"")</f>
        <v>13.77</v>
      </c>
      <c r="S1538" s="796"/>
      <c r="T1538" s="797"/>
      <c r="U1538" s="797"/>
      <c r="V1538" s="797"/>
      <c r="W1538" s="785">
        <f>IFERROR(VLOOKUP($Q1538,'391'!$S:$AG,15,0),0)</f>
        <v>189.16</v>
      </c>
      <c r="X1538" s="1090">
        <f t="shared" si="934"/>
        <v>-7.3199999999999932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91">
        <f>IF(L1542=0,"",MAX($A$16:A1538)+1)</f>
        <v>105</v>
      </c>
      <c r="B1539" s="2083" t="s">
        <v>1737</v>
      </c>
      <c r="C1539" s="574" t="s">
        <v>1687</v>
      </c>
      <c r="D1539" s="881" t="s">
        <v>10</v>
      </c>
      <c r="E1539" s="882">
        <v>46210</v>
      </c>
      <c r="F1539" s="71">
        <f>$L$7-E1539</f>
        <v>66</v>
      </c>
      <c r="G1539" s="64">
        <v>1975</v>
      </c>
      <c r="H1539" s="64"/>
      <c r="I1539" s="64"/>
      <c r="J1539" s="1367"/>
      <c r="K1539" s="64">
        <f>IFERROR(SUMIF(INTAKE!$A:$A,$T1539,INTAKE!$P:$P),0)</f>
        <v>0</v>
      </c>
      <c r="L1539" s="1670">
        <f>+G1539+H1539+I1539-J1539-K1539</f>
        <v>1975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38">G1539-W1539</f>
        <v>1975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92"/>
      <c r="B1540" s="2084"/>
      <c r="C1540" s="574"/>
      <c r="D1540" s="881" t="s">
        <v>10</v>
      </c>
      <c r="E1540" s="882">
        <v>46210</v>
      </c>
      <c r="F1540" s="71">
        <f>$L$7-E1540</f>
        <v>66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70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39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38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93"/>
      <c r="B1541" s="2076"/>
      <c r="C1541" s="138" t="s">
        <v>76</v>
      </c>
      <c r="D1541" s="884" t="s">
        <v>10</v>
      </c>
      <c r="E1541" s="885">
        <v>46210</v>
      </c>
      <c r="F1541" s="293">
        <f>$L$7-E1541</f>
        <v>66</v>
      </c>
      <c r="G1541" s="1214">
        <v>8.5499999999999972</v>
      </c>
      <c r="H1541" s="37"/>
      <c r="I1541" s="37">
        <f>+K1540+K1539</f>
        <v>0</v>
      </c>
      <c r="J1541" s="1385">
        <f>usage!I218</f>
        <v>0</v>
      </c>
      <c r="K1541" s="64">
        <f>IFERROR(SUMIF(INTAKE!$A:$A,$T1541,INTAKE!$P:$P),0)</f>
        <v>0</v>
      </c>
      <c r="L1541" s="1534">
        <f>+G1541+H1541+I1541-J1541-K1541</f>
        <v>8.5499999999999972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39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38"/>
        <v>8.5499999999999972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1738</v>
      </c>
      <c r="C1542" s="575"/>
      <c r="D1542" s="900"/>
      <c r="E1542" s="901"/>
      <c r="F1542" s="902"/>
      <c r="G1542" s="1297">
        <v>1983.55</v>
      </c>
      <c r="H1542" s="1297">
        <f>+SUM(H1539:H1541)</f>
        <v>0</v>
      </c>
      <c r="I1542" s="1297">
        <f t="shared" ref="I1542:L1542" si="940">+SUM(I1539:I1541)</f>
        <v>0</v>
      </c>
      <c r="J1542" s="1297">
        <f t="shared" si="940"/>
        <v>0</v>
      </c>
      <c r="K1542" s="1297">
        <f t="shared" si="940"/>
        <v>0</v>
      </c>
      <c r="L1542" s="1297">
        <f t="shared" si="940"/>
        <v>1983.55</v>
      </c>
      <c r="M1542" s="92">
        <f>IFERROR(R1542/$S$2,"")</f>
        <v>8.4844444444444438</v>
      </c>
      <c r="N1542" s="99">
        <f>IFERROR(L1542/M1542,0)</f>
        <v>233.78666841278158</v>
      </c>
      <c r="O1542" s="92">
        <f>IFERROR(SUMIF(ETM!$A:$A,$Q1542,ETM!$E:$E),"")</f>
        <v>10.5</v>
      </c>
      <c r="P1542" s="741">
        <f>IFERROR(L1542/O1542,0)</f>
        <v>188.90952380952382</v>
      </c>
      <c r="Q1542" s="666" t="s">
        <v>1737</v>
      </c>
      <c r="R1542" s="785">
        <f>IFERROR(VLOOKUP($Q1542,'391'!$S:$Z,8,0),"")</f>
        <v>38.18</v>
      </c>
      <c r="S1542" s="796"/>
      <c r="T1542" s="797"/>
      <c r="U1542" s="797"/>
      <c r="V1542" s="797"/>
      <c r="W1542" s="785">
        <f>IFERROR(VLOOKUP($Q1542,'391'!$S:$AG,15,0),0)</f>
        <v>2063.9700000000003</v>
      </c>
      <c r="X1542" s="1090">
        <f t="shared" si="938"/>
        <v>-80.4200000000003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91">
        <f>IF(L1547=0,"",MAX($A$16:A1542)+1)</f>
        <v>106</v>
      </c>
      <c r="B1543" s="2083" t="s">
        <v>1740</v>
      </c>
      <c r="C1543" s="574" t="s">
        <v>1657</v>
      </c>
      <c r="D1543" s="881" t="s">
        <v>10</v>
      </c>
      <c r="E1543" s="882">
        <v>46218</v>
      </c>
      <c r="F1543" s="71">
        <f>$L$7-E1543</f>
        <v>58</v>
      </c>
      <c r="G1543" s="64">
        <v>0</v>
      </c>
      <c r="H1543" s="64"/>
      <c r="I1543" s="64"/>
      <c r="J1543" s="1367"/>
      <c r="K1543" s="64">
        <f>IFERROR(SUMIF(INTAKE!$A:$A,$T1543,INTAKE!$P:$P),0)</f>
        <v>0</v>
      </c>
      <c r="L1543" s="1670">
        <f>+G1543+H1543+I1543-J1543-K1543</f>
        <v>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(Malaysia)B19.146218</v>
      </c>
      <c r="U1543" s="797"/>
      <c r="V1543" s="797"/>
      <c r="W1543" s="785">
        <f>IFERROR(VLOOKUP($Q1543,'391'!$S:$AG,15,0),0)</f>
        <v>0</v>
      </c>
      <c r="X1543" s="1090">
        <f t="shared" ref="X1543:X1547" si="941">G1543-W1543</f>
        <v>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129"/>
      <c r="B1544" s="2090"/>
      <c r="C1544" s="574" t="s">
        <v>284</v>
      </c>
      <c r="D1544" s="881" t="s">
        <v>10</v>
      </c>
      <c r="E1544" s="882">
        <v>46254</v>
      </c>
      <c r="F1544" s="71">
        <f>$L$7-E1544</f>
        <v>22</v>
      </c>
      <c r="G1544" s="64">
        <v>15000</v>
      </c>
      <c r="H1544" s="64"/>
      <c r="I1544" s="64"/>
      <c r="J1544" s="1367"/>
      <c r="K1544" s="64">
        <f>IFERROR(SUMIF(INTAKE!$A:$A,$T1544,INTAKE!$P:$P),0)</f>
        <v>0</v>
      </c>
      <c r="L1544" s="1670">
        <f>+G1544+H1544+I1544-J1544-K1544</f>
        <v>15000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42">$Q$1547&amp;C1544&amp;E1544</f>
        <v>Nutracor (Malaysia)A22.446254</v>
      </c>
      <c r="U1544" s="797"/>
      <c r="V1544" s="797"/>
      <c r="W1544" s="785">
        <f>IFERROR(VLOOKUP($Q1544,'391'!$S:$AG,15,0),0)</f>
        <v>0</v>
      </c>
      <c r="X1544" s="1090">
        <f t="shared" ref="X1544" si="943">G1544-W1544</f>
        <v>15000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hidden="1" customHeight="1" x14ac:dyDescent="0.25">
      <c r="A1545" s="2092"/>
      <c r="B1545" s="2084"/>
      <c r="C1545" s="574"/>
      <c r="D1545" s="881" t="s">
        <v>10</v>
      </c>
      <c r="E1545" s="882">
        <v>46255</v>
      </c>
      <c r="F1545" s="71">
        <f>$L$7-E1545</f>
        <v>21</v>
      </c>
      <c r="G1545" s="64">
        <v>0</v>
      </c>
      <c r="H1545" s="64"/>
      <c r="I1545" s="64"/>
      <c r="J1545" s="1367"/>
      <c r="K1545" s="64">
        <f>IFERROR(SUMIF(INTAKE!$A:$A,$T1545,INTAKE!$P:$P),0)</f>
        <v>0</v>
      </c>
      <c r="L1545" s="1670">
        <f>+G1545+H1545+I1545-J1545-K1545</f>
        <v>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44">$Q$1547&amp;C1545&amp;E1545</f>
        <v>Nutracor (Malaysia)46255</v>
      </c>
      <c r="U1545" s="797"/>
      <c r="V1545" s="797"/>
      <c r="W1545" s="785">
        <f>IFERROR(VLOOKUP($Q1545,'391'!$S:$AG,15,0),0)</f>
        <v>0</v>
      </c>
      <c r="X1545" s="1090">
        <f t="shared" si="941"/>
        <v>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93"/>
      <c r="B1546" s="2076"/>
      <c r="C1546" s="138" t="s">
        <v>76</v>
      </c>
      <c r="D1546" s="884" t="s">
        <v>10</v>
      </c>
      <c r="E1546" s="885">
        <v>46218</v>
      </c>
      <c r="F1546" s="293">
        <f>$L$7-E1546</f>
        <v>58</v>
      </c>
      <c r="G1546" s="1214">
        <v>2172.1000000000004</v>
      </c>
      <c r="H1546" s="37"/>
      <c r="I1546" s="37">
        <f>SUM(K1543:K1545)</f>
        <v>0</v>
      </c>
      <c r="J1546" s="1385">
        <f>usage!I215</f>
        <v>707.64</v>
      </c>
      <c r="K1546" s="64">
        <f>IFERROR(SUMIF(INTAKE!$A:$A,$T1546,INTAKE!$P:$P),0)</f>
        <v>0</v>
      </c>
      <c r="L1546" s="1534">
        <f>+G1546+H1546+I1546-J1546-K1546</f>
        <v>1464.4600000000005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44"/>
        <v>Nutracor (Malaysia)Feedmil46218</v>
      </c>
      <c r="U1546" s="797"/>
      <c r="V1546" s="797"/>
      <c r="W1546" s="785">
        <f>IFERROR(VLOOKUP($Q1546,'391'!$S:$AG,15,0),0)</f>
        <v>0</v>
      </c>
      <c r="X1546" s="1090">
        <f t="shared" si="941"/>
        <v>2172.1000000000004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1741</v>
      </c>
      <c r="C1547" s="575"/>
      <c r="D1547" s="900"/>
      <c r="E1547" s="901"/>
      <c r="F1547" s="902"/>
      <c r="G1547" s="1297">
        <v>17172.099999999999</v>
      </c>
      <c r="H1547" s="1297">
        <f>+SUM(H1543:H1546)</f>
        <v>0</v>
      </c>
      <c r="I1547" s="1297">
        <f t="shared" ref="I1547:L1547" si="945">+SUM(I1543:I1546)</f>
        <v>0</v>
      </c>
      <c r="J1547" s="1297">
        <f t="shared" si="945"/>
        <v>707.64</v>
      </c>
      <c r="K1547" s="1297">
        <f t="shared" si="945"/>
        <v>0</v>
      </c>
      <c r="L1547" s="1297">
        <f t="shared" si="945"/>
        <v>16464.46</v>
      </c>
      <c r="M1547" s="92">
        <f>IFERROR(R1547/$S$2,"")</f>
        <v>885.95777777777778</v>
      </c>
      <c r="N1547" s="99">
        <f>IFERROR(L1547/M1547,0)</f>
        <v>18.583797572495303</v>
      </c>
      <c r="O1547" s="92">
        <f>IFERROR(SUMIF(ETM!$A:$A,$Q1547,ETM!$E:$E),"")</f>
        <v>563.83333333333326</v>
      </c>
      <c r="P1547" s="741">
        <f>IFERROR(L1547/O1547,0)</f>
        <v>29.200934082175586</v>
      </c>
      <c r="Q1547" s="666" t="s">
        <v>1740</v>
      </c>
      <c r="R1547" s="785">
        <f>IFERROR(VLOOKUP($Q1547,'391'!$S:$Z,8,0),"")</f>
        <v>3986.81</v>
      </c>
      <c r="S1547" s="796"/>
      <c r="T1547" s="797"/>
      <c r="U1547" s="797"/>
      <c r="V1547" s="797"/>
      <c r="W1547" s="785">
        <f>IFERROR(VLOOKUP($Q1547,'391'!$S:$AG,15,0),0)</f>
        <v>19295.02</v>
      </c>
      <c r="X1547" s="1090">
        <f t="shared" si="941"/>
        <v>-2122.9200000000019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91">
        <f>IF(L1553=0,"",MAX($A$16:A1547)+1)</f>
        <v>107</v>
      </c>
      <c r="B1548" s="2083" t="s">
        <v>1792</v>
      </c>
      <c r="C1548" s="574" t="s">
        <v>1825</v>
      </c>
      <c r="D1548" s="881" t="s">
        <v>10</v>
      </c>
      <c r="E1548" s="882">
        <v>46245</v>
      </c>
      <c r="F1548" s="71">
        <f>$L$7-E1548</f>
        <v>31</v>
      </c>
      <c r="G1548" s="64">
        <v>0</v>
      </c>
      <c r="H1548" s="64"/>
      <c r="I1548" s="64"/>
      <c r="J1548" s="1367"/>
      <c r="K1548" s="64">
        <f>IFERROR(SUMIF(INTAKE!$A:$A,$T1548,INTAKE!$P:$P),0)</f>
        <v>0</v>
      </c>
      <c r="L1548" s="1670">
        <f>+G1548+H1548+I1548-J1548-K1548</f>
        <v>0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(USA)A746245</v>
      </c>
      <c r="U1548" s="797"/>
      <c r="V1548" s="797"/>
      <c r="W1548" s="785">
        <f>IFERROR(VLOOKUP($Q1548,'391'!$S:$AG,15,0),0)</f>
        <v>0</v>
      </c>
      <c r="X1548" s="1090">
        <f t="shared" ref="X1548:X1553" si="946">G1548-W1548</f>
        <v>0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2129"/>
      <c r="B1549" s="2090"/>
      <c r="C1549" s="574" t="s">
        <v>1942</v>
      </c>
      <c r="D1549" s="881" t="s">
        <v>10</v>
      </c>
      <c r="E1549" s="882">
        <v>46255</v>
      </c>
      <c r="F1549" s="71">
        <f>$L$7-E1549</f>
        <v>21</v>
      </c>
      <c r="G1549" s="64">
        <v>33441.15</v>
      </c>
      <c r="H1549" s="64"/>
      <c r="I1549" s="64"/>
      <c r="J1549" s="1367"/>
      <c r="K1549" s="64">
        <f>IFERROR(SUMIF(INTAKE!$A:$A,$T1549,INTAKE!$P:$P),0)</f>
        <v>0</v>
      </c>
      <c r="L1549" s="1670">
        <f>+G1549+H1549+I1549-J1549-K1549</f>
        <v>33441.15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47">$Q$1553&amp;C1549&amp;E1549</f>
        <v>AMINOPLUS# (USA)C046255</v>
      </c>
      <c r="U1549" s="797"/>
      <c r="V1549" s="797"/>
      <c r="W1549" s="785">
        <f>IFERROR(VLOOKUP($Q1549,'391'!$S:$AG,15,0),0)</f>
        <v>0</v>
      </c>
      <c r="X1549" s="1090">
        <f t="shared" ref="X1549:X1550" si="948">G1549-W1549</f>
        <v>33441.15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hidden="1" customHeight="1" x14ac:dyDescent="0.25">
      <c r="A1550" s="2129"/>
      <c r="B1550" s="2090"/>
      <c r="C1550" s="574"/>
      <c r="D1550" s="881" t="s">
        <v>10</v>
      </c>
      <c r="E1550" s="882">
        <v>46255</v>
      </c>
      <c r="F1550" s="71">
        <f>$L$7-E1550</f>
        <v>21</v>
      </c>
      <c r="G1550" s="64">
        <v>0</v>
      </c>
      <c r="H1550" s="64"/>
      <c r="I1550" s="64"/>
      <c r="J1550" s="1367"/>
      <c r="K1550" s="64">
        <f>IFERROR(SUMIF(INTAKE!$A:$A,$T1550,INTAKE!$P:$P),0)</f>
        <v>0</v>
      </c>
      <c r="L1550" s="1670">
        <f>+G1550+H1550+I1550-J1550-K1550</f>
        <v>0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47"/>
        <v>AMINOPLUS# (USA)46255</v>
      </c>
      <c r="U1550" s="797"/>
      <c r="V1550" s="797"/>
      <c r="W1550" s="785">
        <f>IFERROR(VLOOKUP($Q1550,'391'!$S:$AG,15,0),0)</f>
        <v>0</v>
      </c>
      <c r="X1550" s="1090">
        <f t="shared" si="948"/>
        <v>0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hidden="1" customHeight="1" x14ac:dyDescent="0.25">
      <c r="A1551" s="2092"/>
      <c r="B1551" s="2084"/>
      <c r="C1551" s="574"/>
      <c r="D1551" s="881" t="s">
        <v>10</v>
      </c>
      <c r="E1551" s="882">
        <v>46255</v>
      </c>
      <c r="F1551" s="71">
        <f>$L$7-E1551</f>
        <v>21</v>
      </c>
      <c r="G1551" s="64">
        <v>0</v>
      </c>
      <c r="H1551" s="64"/>
      <c r="I1551" s="64"/>
      <c r="J1551" s="1367"/>
      <c r="K1551" s="64">
        <f>IFERROR(SUMIF(INTAKE!$A:$A,$T1551,INTAKE!$P:$P),0)</f>
        <v>0</v>
      </c>
      <c r="L1551" s="1670">
        <f>+G1551+H1551+I1551-J1551-K1551</f>
        <v>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49">$Q$1553&amp;C1551&amp;E1551</f>
        <v>AMINOPLUS# (USA)46255</v>
      </c>
      <c r="U1551" s="797"/>
      <c r="V1551" s="797"/>
      <c r="W1551" s="785">
        <f>IFERROR(VLOOKUP($Q1551,'391'!$S:$AG,15,0),0)</f>
        <v>0</v>
      </c>
      <c r="X1551" s="1090">
        <f t="shared" si="946"/>
        <v>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93"/>
      <c r="B1552" s="2076"/>
      <c r="C1552" s="138" t="s">
        <v>1865</v>
      </c>
      <c r="D1552" s="884" t="s">
        <v>10</v>
      </c>
      <c r="E1552" s="885">
        <v>46255</v>
      </c>
      <c r="F1552" s="293">
        <f>$L$7-E1552</f>
        <v>21</v>
      </c>
      <c r="G1552" s="1214">
        <v>16902.880000000005</v>
      </c>
      <c r="H1552" s="37"/>
      <c r="I1552" s="37">
        <f>SUM(K1548:K1551)</f>
        <v>0</v>
      </c>
      <c r="J1552" s="1385">
        <f>usage!I216</f>
        <v>1837</v>
      </c>
      <c r="K1552" s="64">
        <f>IFERROR(SUMIF(INTAKE!$A:$A,$T1552,INTAKE!$P:$P),0)</f>
        <v>0</v>
      </c>
      <c r="L1552" s="1534">
        <f>+G1552+H1552+I1552-J1552-K1552</f>
        <v>15065.880000000005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49"/>
        <v>AMINOPLUS# (USA)Feedmil 7846255</v>
      </c>
      <c r="U1552" s="797"/>
      <c r="V1552" s="797"/>
      <c r="W1552" s="785">
        <f>IFERROR(VLOOKUP($Q1552,'391'!$S:$AG,15,0),0)</f>
        <v>0</v>
      </c>
      <c r="X1552" s="1090">
        <f t="shared" si="946"/>
        <v>16902.880000000005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1793</v>
      </c>
      <c r="C1553" s="575"/>
      <c r="D1553" s="900"/>
      <c r="E1553" s="901"/>
      <c r="F1553" s="902"/>
      <c r="G1553" s="1297">
        <v>50344.030000000006</v>
      </c>
      <c r="H1553" s="1297">
        <f>+SUM(H1548:H1552)</f>
        <v>0</v>
      </c>
      <c r="I1553" s="1297">
        <f t="shared" ref="I1553:L1553" si="950">+SUM(I1548:I1552)</f>
        <v>0</v>
      </c>
      <c r="J1553" s="1297">
        <f t="shared" si="950"/>
        <v>1837</v>
      </c>
      <c r="K1553" s="1297">
        <f t="shared" si="950"/>
        <v>0</v>
      </c>
      <c r="L1553" s="1297">
        <f t="shared" si="950"/>
        <v>48507.030000000006</v>
      </c>
      <c r="M1553" s="92">
        <f>IFERROR(R1553/$S$2,"")</f>
        <v>3277.4444444444443</v>
      </c>
      <c r="N1553" s="99">
        <f>IFERROR(L1553/M1553,0)</f>
        <v>14.80026002644337</v>
      </c>
      <c r="O1553" s="92">
        <f>IFERROR(SUMIF(ETM!$A:$A,$Q1553,ETM!$E:$E),"")</f>
        <v>2863.1666666666665</v>
      </c>
      <c r="P1553" s="741">
        <f>IFERROR(L1553/O1553,0)</f>
        <v>16.941741661330699</v>
      </c>
      <c r="Q1553" s="1163" t="s">
        <v>1792</v>
      </c>
      <c r="R1553" s="785">
        <f>IFERROR(VLOOKUP($Q1553,'391'!$S:$Z,8,0),"")</f>
        <v>14748.5</v>
      </c>
      <c r="S1553" s="796"/>
      <c r="T1553" s="797"/>
      <c r="U1553" s="797"/>
      <c r="V1553" s="797"/>
      <c r="W1553" s="785">
        <f>IFERROR(VLOOKUP($Q1553,'391'!$S:$AG,15,0),0)</f>
        <v>63695.03</v>
      </c>
      <c r="X1553" s="1090">
        <f t="shared" si="946"/>
        <v>-13350.999999999993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91">
        <f>IF(L1558=0,"",MAX($A$16:A1553)+1)</f>
        <v>108</v>
      </c>
      <c r="B1554" s="2083" t="s">
        <v>1844</v>
      </c>
      <c r="C1554" s="574" t="s">
        <v>227</v>
      </c>
      <c r="D1554" s="881" t="s">
        <v>10</v>
      </c>
      <c r="E1554" s="882">
        <v>46218</v>
      </c>
      <c r="F1554" s="71">
        <f>$L$7-E1554</f>
        <v>58</v>
      </c>
      <c r="G1554" s="64">
        <v>775</v>
      </c>
      <c r="H1554" s="64"/>
      <c r="I1554" s="64"/>
      <c r="J1554" s="1367"/>
      <c r="K1554" s="64">
        <f>IFERROR(SUMIF(INTAKE!$A:$A,$T1554,INTAKE!$P:$P),0)</f>
        <v>75</v>
      </c>
      <c r="L1554" s="1670">
        <f>+G1554+H1554+I1554-J1554-K1554</f>
        <v>700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51">G1554-W1554</f>
        <v>775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129"/>
      <c r="B1555" s="2090"/>
      <c r="C1555" s="574" t="s">
        <v>1933</v>
      </c>
      <c r="D1555" s="881" t="s">
        <v>10</v>
      </c>
      <c r="E1555" s="882">
        <v>46254</v>
      </c>
      <c r="F1555" s="71">
        <f>$L$7-E1555</f>
        <v>22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70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52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53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92"/>
      <c r="B1556" s="2084"/>
      <c r="C1556" s="574"/>
      <c r="D1556" s="881" t="s">
        <v>10</v>
      </c>
      <c r="E1556" s="882">
        <v>46255</v>
      </c>
      <c r="F1556" s="71">
        <f>$L$7-E1556</f>
        <v>21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70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54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51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93"/>
      <c r="B1557" s="2076"/>
      <c r="C1557" s="138" t="s">
        <v>76</v>
      </c>
      <c r="D1557" s="884" t="s">
        <v>10</v>
      </c>
      <c r="E1557" s="885">
        <v>46218</v>
      </c>
      <c r="F1557" s="293">
        <f>$L$7-E1557</f>
        <v>58</v>
      </c>
      <c r="G1557" s="1214">
        <v>141.78000000000003</v>
      </c>
      <c r="H1557" s="37"/>
      <c r="I1557" s="37">
        <f>+K1556+K1554</f>
        <v>75</v>
      </c>
      <c r="J1557" s="1385">
        <f>usage!I220</f>
        <v>67.63</v>
      </c>
      <c r="K1557" s="64">
        <f>IFERROR(SUMIF(INTAKE!$A:$A,$T1557,INTAKE!$P:$P),0)</f>
        <v>0</v>
      </c>
      <c r="L1557" s="1534">
        <f>+G1557+H1557+I1557-J1557-K1557</f>
        <v>149.15000000000003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54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51"/>
        <v>141.78000000000003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1845</v>
      </c>
      <c r="C1558" s="575"/>
      <c r="D1558" s="900"/>
      <c r="E1558" s="901"/>
      <c r="F1558" s="902"/>
      <c r="G1558" s="1297">
        <v>2916.78</v>
      </c>
      <c r="H1558" s="1297">
        <f>+SUM(H1554:H1557)</f>
        <v>0</v>
      </c>
      <c r="I1558" s="1297">
        <f t="shared" ref="I1558:L1558" si="955">+SUM(I1554:I1557)</f>
        <v>75</v>
      </c>
      <c r="J1558" s="1297">
        <f t="shared" si="955"/>
        <v>67.63</v>
      </c>
      <c r="K1558" s="1297">
        <f t="shared" si="955"/>
        <v>75</v>
      </c>
      <c r="L1558" s="1297">
        <f t="shared" si="955"/>
        <v>2849.15</v>
      </c>
      <c r="M1558" s="92">
        <f>IFERROR(R1558/$S$2,"")</f>
        <v>75.144444444444446</v>
      </c>
      <c r="N1558" s="99">
        <f>IFERROR(L1558/M1558,0)</f>
        <v>37.915643944994827</v>
      </c>
      <c r="O1558" s="92">
        <f>IFERROR(SUMIF(ETM!$A:$A,$Q1558,ETM!$E:$E),"")</f>
        <v>46.666666666666671</v>
      </c>
      <c r="P1558" s="741">
        <f>IFERROR(L1558/O1558,0)</f>
        <v>61.053214285714283</v>
      </c>
      <c r="Q1558" s="1163" t="s">
        <v>1844</v>
      </c>
      <c r="R1558" s="785">
        <f>IFERROR(VLOOKUP($Q1558,'391'!$S:$Z,8,0),"")</f>
        <v>338.15000000000003</v>
      </c>
      <c r="S1558" s="796"/>
      <c r="T1558" s="797"/>
      <c r="U1558" s="797"/>
      <c r="V1558" s="797"/>
      <c r="W1558" s="785">
        <f>IFERROR(VLOOKUP($Q1558,'391'!$S:$AG,15,0),0)</f>
        <v>3119.67</v>
      </c>
      <c r="X1558" s="1090">
        <f>G1558-W1558</f>
        <v>-202.88999999999987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91">
        <f>IF(L1563=0,"",MAX($A$16:A1558)+1)</f>
        <v>109</v>
      </c>
      <c r="B1559" s="2083" t="s">
        <v>1846</v>
      </c>
      <c r="C1559" s="574" t="s">
        <v>1837</v>
      </c>
      <c r="D1559" s="881" t="s">
        <v>10</v>
      </c>
      <c r="E1559" s="882">
        <v>46218</v>
      </c>
      <c r="F1559" s="71">
        <f>$L$7-E1559</f>
        <v>58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70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$Q$1563&amp;C1559&amp;E1559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3" si="956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129"/>
      <c r="B1560" s="2090"/>
      <c r="C1560" s="574" t="s">
        <v>1837</v>
      </c>
      <c r="D1560" s="881" t="s">
        <v>10</v>
      </c>
      <c r="E1560" s="882">
        <v>46245</v>
      </c>
      <c r="F1560" s="71">
        <f>$L$7-E1560</f>
        <v>31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70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" si="957">$Q$1563&amp;C1560&amp;E1560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" si="958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92"/>
      <c r="B1561" s="2084"/>
      <c r="C1561" s="574" t="s">
        <v>1837</v>
      </c>
      <c r="D1561" s="881" t="s">
        <v>10</v>
      </c>
      <c r="E1561" s="882">
        <v>46255</v>
      </c>
      <c r="F1561" s="71">
        <f>$L$7-E1561</f>
        <v>21</v>
      </c>
      <c r="G1561" s="64">
        <v>150</v>
      </c>
      <c r="H1561" s="64"/>
      <c r="I1561" s="64"/>
      <c r="J1561" s="1367"/>
      <c r="K1561" s="64">
        <f>IFERROR(SUMIF(INTAKE!$A:$A,$T1561,INTAKE!$P:$P),0)</f>
        <v>0</v>
      </c>
      <c r="L1561" s="1670">
        <f>+G1561+H1561+I1561-J1561-K1561</f>
        <v>150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ref="T1561:T1562" si="959">$Q$1563&amp;C1561&amp;E1561</f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56"/>
        <v>150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93"/>
      <c r="B1562" s="2076"/>
      <c r="C1562" s="138" t="s">
        <v>76</v>
      </c>
      <c r="D1562" s="884" t="s">
        <v>10</v>
      </c>
      <c r="E1562" s="885">
        <v>46255</v>
      </c>
      <c r="F1562" s="293">
        <f>$L$7-E1562</f>
        <v>21</v>
      </c>
      <c r="G1562" s="1214">
        <v>15.850000000000005</v>
      </c>
      <c r="H1562" s="37"/>
      <c r="I1562" s="37">
        <f>+K1561+K1559</f>
        <v>0</v>
      </c>
      <c r="J1562" s="1385">
        <f>usage!I219</f>
        <v>0</v>
      </c>
      <c r="K1562" s="64">
        <f>IFERROR(SUMIF(INTAKE!$A:$A,$T1562,INTAKE!$P:$P),0)</f>
        <v>0</v>
      </c>
      <c r="L1562" s="1534">
        <f>+G1562+H1562+I1562-J1562-K1562</f>
        <v>15.850000000000005</v>
      </c>
      <c r="M1562" s="98"/>
      <c r="N1562" s="1473"/>
      <c r="O1562" s="98"/>
      <c r="P1562" s="759"/>
      <c r="Q1562" s="795"/>
      <c r="R1562" s="785">
        <f>IFERROR(VLOOKUP($Q1562,'391'!$S:$Z,8,0),"")</f>
        <v>0</v>
      </c>
      <c r="S1562" s="796"/>
      <c r="T1562" s="797" t="str">
        <f t="shared" si="959"/>
        <v>Toxfin Dry (Singapore)Feedmil46255</v>
      </c>
      <c r="U1562" s="797"/>
      <c r="V1562" s="797"/>
      <c r="W1562" s="785">
        <f>IFERROR(VLOOKUP($Q1562,'391'!$S:$AG,15,0),0)</f>
        <v>0</v>
      </c>
      <c r="X1562" s="1090">
        <f t="shared" si="956"/>
        <v>15.850000000000005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184"/>
      <c r="B1563" s="184" t="s">
        <v>1847</v>
      </c>
      <c r="C1563" s="575"/>
      <c r="D1563" s="900"/>
      <c r="E1563" s="901"/>
      <c r="F1563" s="902"/>
      <c r="G1563" s="1297">
        <v>290.85000000000002</v>
      </c>
      <c r="H1563" s="1297">
        <f>+SUM(H1559:H1562)</f>
        <v>0</v>
      </c>
      <c r="I1563" s="1297">
        <f t="shared" ref="I1563:L1563" si="960">+SUM(I1559:I1562)</f>
        <v>0</v>
      </c>
      <c r="J1563" s="1297">
        <f t="shared" si="960"/>
        <v>0</v>
      </c>
      <c r="K1563" s="1297">
        <f t="shared" si="960"/>
        <v>0</v>
      </c>
      <c r="L1563" s="1297">
        <f t="shared" si="960"/>
        <v>290.85000000000002</v>
      </c>
      <c r="M1563" s="92">
        <f>IFERROR(R1563/$S$2,"")</f>
        <v>3.5022222222222221</v>
      </c>
      <c r="N1563" s="99">
        <f>IFERROR(L1563/M1563,0)</f>
        <v>83.047271573604064</v>
      </c>
      <c r="O1563" s="92">
        <f>IFERROR(SUMIF(ETM!$A:$A,$Q1563,ETM!$E:$E),"")</f>
        <v>1.3333333333333333</v>
      </c>
      <c r="P1563" s="741">
        <f>IFERROR(L1563/O1563,0)</f>
        <v>218.13750000000002</v>
      </c>
      <c r="Q1563" s="1163" t="s">
        <v>1846</v>
      </c>
      <c r="R1563" s="785">
        <f>IFERROR(VLOOKUP($Q1563,'391'!$S:$Z,8,0),"")</f>
        <v>15.76</v>
      </c>
      <c r="S1563" s="796"/>
      <c r="T1563" s="797"/>
      <c r="U1563" s="797"/>
      <c r="V1563" s="797"/>
      <c r="W1563" s="785">
        <f>IFERROR(VLOOKUP($Q1563,'391'!$S:$AG,15,0),0)</f>
        <v>308.12</v>
      </c>
      <c r="X1563" s="1090">
        <f t="shared" si="956"/>
        <v>-17.269999999999982</v>
      </c>
      <c r="Y1563" s="785"/>
      <c r="Z1563" s="785"/>
      <c r="AA1563" s="797"/>
      <c r="AB1563" s="797"/>
      <c r="AC1563" s="683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hidden="1" customHeight="1" x14ac:dyDescent="0.25">
      <c r="A1564" s="2091" t="str">
        <f>IF(L1567=0,"",MAX($A$16:A1553)+1)</f>
        <v/>
      </c>
      <c r="B1564" s="2083" t="s">
        <v>1659</v>
      </c>
      <c r="C1564" s="574" t="s">
        <v>1661</v>
      </c>
      <c r="D1564" s="881" t="s">
        <v>10</v>
      </c>
      <c r="E1564" s="882">
        <v>45898</v>
      </c>
      <c r="F1564" s="71">
        <f>$L$7-E1564</f>
        <v>378</v>
      </c>
      <c r="G1564" s="64">
        <v>0</v>
      </c>
      <c r="H1564" s="64"/>
      <c r="I1564" s="64"/>
      <c r="J1564" s="1367"/>
      <c r="K1564" s="64">
        <f>IFERROR(SUMIF(INTAKE!$A:$A,$T1564,INTAKE!$P:$P),0)</f>
        <v>0</v>
      </c>
      <c r="L1564" s="1670">
        <f>+G1564+H1564+I1564-J1564-K1564</f>
        <v>0</v>
      </c>
      <c r="M1564" s="102"/>
      <c r="N1564" s="103"/>
      <c r="O1564" s="102"/>
      <c r="P1564" s="739"/>
      <c r="Q1564" s="795"/>
      <c r="R1564" s="785">
        <f>IFERROR(VLOOKUP($Q1564,'391'!$S:$Z,8,0),"")</f>
        <v>0</v>
      </c>
      <c r="S1564" s="796"/>
      <c r="T1564" s="797" t="str">
        <f>$Q$1567&amp;C1564&amp;E1564</f>
        <v>Kulactic (USA)A22.545898</v>
      </c>
      <c r="U1564" s="797"/>
      <c r="V1564" s="797"/>
      <c r="W1564" s="785">
        <f>IFERROR(VLOOKUP($Q1564,'391'!$S:$AG,15,0),0)</f>
        <v>0</v>
      </c>
      <c r="X1564" s="1090">
        <f t="shared" ref="X1564:X1567" si="961">G1564-W1564</f>
        <v>0</v>
      </c>
      <c r="Y1564" s="785"/>
      <c r="Z1564" s="785"/>
      <c r="AA1564" s="797"/>
      <c r="AB1564" s="797"/>
      <c r="AC1564" s="551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92"/>
      <c r="B1565" s="2084"/>
      <c r="C1565" s="574"/>
      <c r="D1565" s="881" t="s">
        <v>10</v>
      </c>
      <c r="E1565" s="882">
        <v>44200</v>
      </c>
      <c r="F1565" s="71">
        <f>$L$7-E1565</f>
        <v>2076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531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 t="shared" ref="T1565:T1566" si="962">$Q$1528&amp;C1565&amp;E1565</f>
        <v>Rumifat Plus (Malaysia)44200</v>
      </c>
      <c r="U1565" s="797"/>
      <c r="V1565" s="797"/>
      <c r="W1565" s="785">
        <f>IFERROR(VLOOKUP($Q1565,'391'!$S:$AG,15,0),0)</f>
        <v>0</v>
      </c>
      <c r="X1565" s="1090">
        <f t="shared" si="961"/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93"/>
      <c r="B1566" s="2076"/>
      <c r="C1566" s="138" t="s">
        <v>76</v>
      </c>
      <c r="D1566" s="884" t="s">
        <v>10</v>
      </c>
      <c r="E1566" s="885">
        <v>45898</v>
      </c>
      <c r="F1566" s="293">
        <f>$L$7-E1566</f>
        <v>378</v>
      </c>
      <c r="G1566" s="1214">
        <v>0</v>
      </c>
      <c r="H1566" s="37"/>
      <c r="I1566" s="37">
        <f>+K1565+K1564</f>
        <v>0</v>
      </c>
      <c r="J1566" s="1385">
        <f>usage!I210</f>
        <v>0</v>
      </c>
      <c r="K1566" s="64">
        <f>IFERROR(SUMIF(INTAKE!$A:$A,$T1566,INTAKE!$P:$P),0)</f>
        <v>0</v>
      </c>
      <c r="L1566" s="1534">
        <f>+G1566+H1566+I1566-J1566-K1566</f>
        <v>0</v>
      </c>
      <c r="M1566" s="98"/>
      <c r="N1566" s="1473"/>
      <c r="O1566" s="98"/>
      <c r="P1566" s="759"/>
      <c r="Q1566" s="795"/>
      <c r="R1566" s="785">
        <f>IFERROR(VLOOKUP($Q1566,'391'!$S:$Z,8,0),"")</f>
        <v>0</v>
      </c>
      <c r="S1566" s="796"/>
      <c r="T1566" s="797" t="str">
        <f t="shared" si="962"/>
        <v>Rumifat Plus (Malaysia)Feedmil45898</v>
      </c>
      <c r="U1566" s="797"/>
      <c r="V1566" s="797"/>
      <c r="W1566" s="785">
        <f>IFERROR(VLOOKUP($Q1566,'391'!$S:$AG,15,0),0)</f>
        <v>0</v>
      </c>
      <c r="X1566" s="1090">
        <f t="shared" si="961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184"/>
      <c r="B1567" s="184" t="s">
        <v>1660</v>
      </c>
      <c r="C1567" s="575"/>
      <c r="D1567" s="900"/>
      <c r="E1567" s="901"/>
      <c r="F1567" s="902"/>
      <c r="G1567" s="1297">
        <v>0</v>
      </c>
      <c r="H1567" s="1297">
        <f>+SUM(H1564:H1566)</f>
        <v>0</v>
      </c>
      <c r="I1567" s="1297">
        <f t="shared" ref="I1567:L1567" si="963">+SUM(I1564:I1566)</f>
        <v>0</v>
      </c>
      <c r="J1567" s="1297">
        <f t="shared" si="963"/>
        <v>0</v>
      </c>
      <c r="K1567" s="1297">
        <f t="shared" si="963"/>
        <v>0</v>
      </c>
      <c r="L1567" s="1297">
        <f t="shared" si="963"/>
        <v>0</v>
      </c>
      <c r="M1567" s="92" t="str">
        <f>IFERROR(R1567/$S$2,"")</f>
        <v/>
      </c>
      <c r="N1567" s="99">
        <f>IFERROR(L1567/M1567,0)</f>
        <v>0</v>
      </c>
      <c r="O1567" s="92">
        <f>IFERROR(SUMIF(ETM!$A:$A,$Q1567,ETM!$E:$E),"")</f>
        <v>0</v>
      </c>
      <c r="P1567" s="741">
        <f>IFERROR(L1567/O1567,0)</f>
        <v>0</v>
      </c>
      <c r="Q1567" s="809" t="s">
        <v>1659</v>
      </c>
      <c r="R1567" s="785" t="str">
        <f>IFERROR(VLOOKUP($Q1567,'391'!$S:$Z,8,0),"")</f>
        <v/>
      </c>
      <c r="S1567" s="796"/>
      <c r="T1567" s="797"/>
      <c r="U1567" s="797"/>
      <c r="V1567" s="797"/>
      <c r="W1567" s="785">
        <f>IFERROR(VLOOKUP($Q1567,'391'!$S:$AG,15,0),0)</f>
        <v>0</v>
      </c>
      <c r="X1567" s="1090">
        <f t="shared" si="961"/>
        <v>0</v>
      </c>
      <c r="Y1567" s="785"/>
      <c r="Z1567" s="785"/>
      <c r="AA1567" s="797"/>
      <c r="AB1567" s="797"/>
      <c r="AC1567" s="683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customHeight="1" x14ac:dyDescent="0.25">
      <c r="A1568" s="2091">
        <f>IF(L1571=0,"",MAX($A$16:A1567)+1)</f>
        <v>110</v>
      </c>
      <c r="B1568" s="2083" t="s">
        <v>1683</v>
      </c>
      <c r="C1568" s="574" t="s">
        <v>273</v>
      </c>
      <c r="D1568" s="881" t="s">
        <v>10</v>
      </c>
      <c r="E1568" s="882">
        <v>46086</v>
      </c>
      <c r="F1568" s="71">
        <f>$L$7-E1568</f>
        <v>190</v>
      </c>
      <c r="G1568" s="64">
        <v>3875</v>
      </c>
      <c r="H1568" s="64"/>
      <c r="I1568" s="64"/>
      <c r="J1568" s="1367"/>
      <c r="K1568" s="64">
        <f>IFERROR(SUMIF(INTAKE!$A:$A,$T1568,INTAKE!$P:$P),0)</f>
        <v>0</v>
      </c>
      <c r="L1568" s="1670">
        <f>+G1568+H1568+I1568-J1568-K1568</f>
        <v>3875</v>
      </c>
      <c r="M1568" s="102"/>
      <c r="N1568" s="103"/>
      <c r="O1568" s="102"/>
      <c r="P1568" s="739"/>
      <c r="Q1568" s="795"/>
      <c r="R1568" s="785">
        <f>IFERROR(VLOOKUP($Q1568,'391'!$S:$Z,8,0),"")</f>
        <v>0</v>
      </c>
      <c r="S1568" s="796"/>
      <c r="T1568" s="797" t="str">
        <f>$Q$1571&amp;C1568&amp;E1568</f>
        <v>Globatan (France)A19.546086</v>
      </c>
      <c r="U1568" s="797"/>
      <c r="V1568" s="797"/>
      <c r="W1568" s="785">
        <f>IFERROR(VLOOKUP($Q1568,'391'!$S:$AG,15,0),0)</f>
        <v>0</v>
      </c>
      <c r="X1568" s="1090">
        <f t="shared" ref="X1568:X1571" si="964">G1568-W1568</f>
        <v>3875</v>
      </c>
      <c r="Y1568" s="785"/>
      <c r="Z1568" s="785"/>
      <c r="AA1568" s="797"/>
      <c r="AB1568" s="797"/>
      <c r="AC1568" s="551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hidden="1" customHeight="1" x14ac:dyDescent="0.25">
      <c r="A1569" s="2092"/>
      <c r="B1569" s="2084"/>
      <c r="C1569" s="574"/>
      <c r="D1569" s="881" t="s">
        <v>10</v>
      </c>
      <c r="E1569" s="882">
        <v>44200</v>
      </c>
      <c r="F1569" s="71">
        <f>$L$7-E1569</f>
        <v>2076</v>
      </c>
      <c r="G1569" s="64">
        <v>0</v>
      </c>
      <c r="H1569" s="64"/>
      <c r="I1569" s="64"/>
      <c r="J1569" s="1367"/>
      <c r="K1569" s="64">
        <f>IFERROR(SUMIF(INTAKE!$A:$A,$T1569,INTAKE!$P:$P),0)</f>
        <v>0</v>
      </c>
      <c r="L1569" s="531">
        <f>+G1569+H1569+I1569-J1569-K1569</f>
        <v>0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 t="shared" ref="T1569:T1570" si="965">$Q$1571&amp;C1569&amp;E1569</f>
        <v>Globatan (France)44200</v>
      </c>
      <c r="U1569" s="797"/>
      <c r="V1569" s="797"/>
      <c r="W1569" s="785">
        <f>IFERROR(VLOOKUP($Q1569,'391'!$S:$AG,15,0),0)</f>
        <v>0</v>
      </c>
      <c r="X1569" s="1090">
        <f t="shared" si="964"/>
        <v>0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customHeight="1" x14ac:dyDescent="0.25">
      <c r="A1570" s="2093"/>
      <c r="B1570" s="2076"/>
      <c r="C1570" s="138" t="s">
        <v>76</v>
      </c>
      <c r="D1570" s="884" t="s">
        <v>10</v>
      </c>
      <c r="E1570" s="885">
        <v>46086</v>
      </c>
      <c r="F1570" s="293">
        <f>$L$7-E1570</f>
        <v>190</v>
      </c>
      <c r="G1570" s="1214">
        <v>0</v>
      </c>
      <c r="H1570" s="37"/>
      <c r="I1570" s="37">
        <f>+K1569+K1568</f>
        <v>0</v>
      </c>
      <c r="J1570" s="1385">
        <f>usage!I205</f>
        <v>0</v>
      </c>
      <c r="K1570" s="64">
        <f>IFERROR(SUMIF(INTAKE!$A:$A,$T1570,INTAKE!$P:$P),0)</f>
        <v>0</v>
      </c>
      <c r="L1570" s="1534">
        <f>+G1570+H1570+I1570-J1570-K1570</f>
        <v>0</v>
      </c>
      <c r="M1570" s="98"/>
      <c r="N1570" s="1473"/>
      <c r="O1570" s="98"/>
      <c r="P1570" s="759"/>
      <c r="Q1570" s="795"/>
      <c r="R1570" s="785">
        <f>IFERROR(VLOOKUP($Q1570,'391'!$S:$Z,8,0),"")</f>
        <v>0</v>
      </c>
      <c r="S1570" s="796"/>
      <c r="T1570" s="797" t="str">
        <f t="shared" si="965"/>
        <v>Globatan (France)Feedmil46086</v>
      </c>
      <c r="U1570" s="797"/>
      <c r="V1570" s="797"/>
      <c r="W1570" s="785">
        <f>IFERROR(VLOOKUP($Q1570,'391'!$S:$AG,15,0),0)</f>
        <v>0</v>
      </c>
      <c r="X1570" s="1090">
        <f t="shared" si="964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184"/>
      <c r="B1571" s="184" t="s">
        <v>1684</v>
      </c>
      <c r="C1571" s="575"/>
      <c r="D1571" s="900"/>
      <c r="E1571" s="901"/>
      <c r="F1571" s="902"/>
      <c r="G1571" s="1297">
        <v>3875</v>
      </c>
      <c r="H1571" s="1297">
        <f>+SUM(H1568:H1570)</f>
        <v>0</v>
      </c>
      <c r="I1571" s="1297">
        <f t="shared" ref="I1571:L1571" si="966">+SUM(I1568:I1570)</f>
        <v>0</v>
      </c>
      <c r="J1571" s="1297">
        <f t="shared" si="966"/>
        <v>0</v>
      </c>
      <c r="K1571" s="1297">
        <f t="shared" si="966"/>
        <v>0</v>
      </c>
      <c r="L1571" s="1297">
        <f t="shared" si="966"/>
        <v>3875</v>
      </c>
      <c r="M1571" s="92">
        <f>IFERROR(R1571/$S$2,"")</f>
        <v>0</v>
      </c>
      <c r="N1571" s="99">
        <f>IFERROR(L1571/M1571,0)</f>
        <v>0</v>
      </c>
      <c r="O1571" s="92">
        <f>IFERROR(SUMIF(ETM!$A:$A,$Q1571,ETM!$E:$E),"")</f>
        <v>0</v>
      </c>
      <c r="P1571" s="741">
        <f>IFERROR(L1571/O1571,0)</f>
        <v>0</v>
      </c>
      <c r="Q1571" s="809" t="s">
        <v>1683</v>
      </c>
      <c r="R1571" s="785">
        <f>IFERROR(VLOOKUP($Q1571,'391'!$S:$Z,8,0),"")</f>
        <v>0</v>
      </c>
      <c r="S1571" s="796"/>
      <c r="T1571" s="797"/>
      <c r="U1571" s="797"/>
      <c r="V1571" s="797"/>
      <c r="W1571" s="785">
        <f>IFERROR(VLOOKUP($Q1571,'391'!$S:$AG,15,0),0)</f>
        <v>3875</v>
      </c>
      <c r="X1571" s="1090">
        <f t="shared" si="964"/>
        <v>0</v>
      </c>
      <c r="Y1571" s="785"/>
      <c r="Z1571" s="785"/>
      <c r="AA1571" s="797"/>
      <c r="AB1571" s="797"/>
      <c r="AC1571" s="683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hidden="1" customHeight="1" x14ac:dyDescent="0.25">
      <c r="A1572" s="2091" t="str">
        <f>IF(L1576=0,"",MAX($A$16:A1571)+1)</f>
        <v/>
      </c>
      <c r="B1572" s="2083" t="s">
        <v>1685</v>
      </c>
      <c r="C1572" s="574" t="s">
        <v>141</v>
      </c>
      <c r="D1572" s="881" t="s">
        <v>10</v>
      </c>
      <c r="E1572" s="882">
        <v>46009</v>
      </c>
      <c r="F1572" s="71">
        <f>$L$7-E1572</f>
        <v>267</v>
      </c>
      <c r="G1572" s="64">
        <v>0</v>
      </c>
      <c r="H1572" s="64"/>
      <c r="I1572" s="64"/>
      <c r="J1572" s="1367"/>
      <c r="K1572" s="64">
        <f>IFERROR(SUMIF(INTAKE!$A:$A,$T1572,INTAKE!$P:$P),0)</f>
        <v>0</v>
      </c>
      <c r="L1572" s="1670">
        <f>+G1572+H1572+I1572-J1572-K1572</f>
        <v>0</v>
      </c>
      <c r="M1572" s="102"/>
      <c r="N1572" s="103"/>
      <c r="O1572" s="102"/>
      <c r="P1572" s="739"/>
      <c r="Q1572" s="795"/>
      <c r="R1572" s="785">
        <f>IFERROR(VLOOKUP($Q1572,'391'!$S:$Z,8,0),"")</f>
        <v>0</v>
      </c>
      <c r="S1572" s="796"/>
      <c r="T1572" s="797" t="str">
        <f>$Q$1576&amp;C1572&amp;E1572</f>
        <v>KingBrown (polyphenols)(France)Y6.246009</v>
      </c>
      <c r="U1572" s="797"/>
      <c r="V1572" s="797"/>
      <c r="W1572" s="785">
        <f>IFERROR(VLOOKUP($Q1572,'391'!$S:$AG,15,0),0)</f>
        <v>0</v>
      </c>
      <c r="X1572" s="1090">
        <f t="shared" ref="X1572:X1576" si="967">G1572-W1572</f>
        <v>0</v>
      </c>
      <c r="Y1572" s="785"/>
      <c r="Z1572" s="785"/>
      <c r="AA1572" s="797"/>
      <c r="AB1572" s="797"/>
      <c r="AC1572" s="551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129"/>
      <c r="B1573" s="2090"/>
      <c r="C1573" s="574"/>
      <c r="D1573" s="881" t="s">
        <v>10</v>
      </c>
      <c r="E1573" s="882">
        <v>46009</v>
      </c>
      <c r="F1573" s="71">
        <f>$L$7-E1573</f>
        <v>267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70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 t="shared" ref="T1573" si="968">$Q$1576&amp;C1573&amp;E1573</f>
        <v>KingBrown (polyphenols)(France)46009</v>
      </c>
      <c r="U1573" s="797"/>
      <c r="V1573" s="797"/>
      <c r="W1573" s="785">
        <f>IFERROR(VLOOKUP($Q1573,'391'!$S:$AG,15,0),0)</f>
        <v>0</v>
      </c>
      <c r="X1573" s="1090">
        <f t="shared" ref="X1573" si="969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92"/>
      <c r="B1574" s="2084"/>
      <c r="C1574" s="574"/>
      <c r="D1574" s="881" t="s">
        <v>10</v>
      </c>
      <c r="E1574" s="882">
        <v>46009</v>
      </c>
      <c r="F1574" s="71">
        <f>$L$7-E1574</f>
        <v>267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531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:T1575" si="970">$Q$1576&amp;C1574&amp;E1574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si="967"/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93"/>
      <c r="B1575" s="2076"/>
      <c r="C1575" s="138" t="s">
        <v>76</v>
      </c>
      <c r="D1575" s="884" t="s">
        <v>10</v>
      </c>
      <c r="E1575" s="885">
        <v>46009</v>
      </c>
      <c r="F1575" s="293">
        <f>$L$7-E1575</f>
        <v>267</v>
      </c>
      <c r="G1575" s="1214">
        <v>0</v>
      </c>
      <c r="H1575" s="37"/>
      <c r="I1575" s="37">
        <f>+K1574+K1572+K1573</f>
        <v>0</v>
      </c>
      <c r="J1575" s="1385">
        <f>usage!I204</f>
        <v>0</v>
      </c>
      <c r="K1575" s="64">
        <f>IFERROR(SUMIF(INTAKE!$A:$A,$T1575,INTAKE!$P:$P),0)</f>
        <v>0</v>
      </c>
      <c r="L1575" s="1534">
        <f>+G1575+H1575+I1575-J1575-K1575</f>
        <v>0</v>
      </c>
      <c r="M1575" s="98"/>
      <c r="N1575" s="1473"/>
      <c r="O1575" s="98"/>
      <c r="P1575" s="759"/>
      <c r="Q1575" s="795"/>
      <c r="R1575" s="785">
        <f>IFERROR(VLOOKUP($Q1575,'391'!$S:$Z,8,0),"")</f>
        <v>0</v>
      </c>
      <c r="S1575" s="796"/>
      <c r="T1575" s="797" t="str">
        <f t="shared" si="970"/>
        <v>KingBrown (polyphenols)(France)Feedmil46009</v>
      </c>
      <c r="U1575" s="797"/>
      <c r="V1575" s="797"/>
      <c r="W1575" s="785">
        <f>IFERROR(VLOOKUP($Q1575,'391'!$S:$AG,15,0),0)</f>
        <v>0</v>
      </c>
      <c r="X1575" s="1090">
        <f t="shared" si="967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184"/>
      <c r="B1576" s="184" t="s">
        <v>1686</v>
      </c>
      <c r="C1576" s="575"/>
      <c r="D1576" s="900"/>
      <c r="E1576" s="901"/>
      <c r="F1576" s="902"/>
      <c r="G1576" s="1297">
        <v>0</v>
      </c>
      <c r="H1576" s="1297">
        <f>+SUM(H1572:H1575)</f>
        <v>0</v>
      </c>
      <c r="I1576" s="1297">
        <f t="shared" ref="I1576:L1576" si="971">+SUM(I1572:I1575)</f>
        <v>0</v>
      </c>
      <c r="J1576" s="1297">
        <f t="shared" si="971"/>
        <v>0</v>
      </c>
      <c r="K1576" s="1297">
        <f t="shared" si="971"/>
        <v>0</v>
      </c>
      <c r="L1576" s="1297">
        <f t="shared" si="971"/>
        <v>0</v>
      </c>
      <c r="M1576" s="92" t="str">
        <f>IFERROR(R1576/$S$2,"")</f>
        <v/>
      </c>
      <c r="N1576" s="99">
        <f>IFERROR(L1576/M1576,0)</f>
        <v>0</v>
      </c>
      <c r="O1576" s="92">
        <f>IFERROR(SUMIF(ETM!$A:$A,$Q1576,ETM!$E:$E),"")</f>
        <v>0</v>
      </c>
      <c r="P1576" s="741">
        <f>IFERROR(L1576/O1576,0)</f>
        <v>0</v>
      </c>
      <c r="Q1576" s="809" t="s">
        <v>1685</v>
      </c>
      <c r="R1576" s="785" t="str">
        <f>IFERROR(VLOOKUP($Q1576,'391'!$S:$Z,8,0),"")</f>
        <v/>
      </c>
      <c r="S1576" s="796"/>
      <c r="T1576" s="797"/>
      <c r="U1576" s="797"/>
      <c r="V1576" s="797"/>
      <c r="W1576" s="785">
        <f>IFERROR(VLOOKUP($Q1576,'391'!$S:$AG,15,0),0)</f>
        <v>0</v>
      </c>
      <c r="X1576" s="1090">
        <f t="shared" si="967"/>
        <v>0</v>
      </c>
      <c r="Y1576" s="785"/>
      <c r="Z1576" s="785"/>
      <c r="AA1576" s="797"/>
      <c r="AB1576" s="797"/>
      <c r="AC1576" s="683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customHeight="1" x14ac:dyDescent="0.25">
      <c r="A1577" s="2091">
        <f>IF(L1581=0,"",MAX($A$16:A1576)+1)</f>
        <v>111</v>
      </c>
      <c r="B1577" s="2083" t="s">
        <v>1705</v>
      </c>
      <c r="C1577" s="574" t="s">
        <v>264</v>
      </c>
      <c r="D1577" s="881" t="s">
        <v>10</v>
      </c>
      <c r="E1577" s="882">
        <v>46255</v>
      </c>
      <c r="F1577" s="71">
        <f>$L$7-E1577</f>
        <v>21</v>
      </c>
      <c r="G1577" s="64">
        <v>1500</v>
      </c>
      <c r="H1577" s="64"/>
      <c r="I1577" s="64"/>
      <c r="J1577" s="1367"/>
      <c r="K1577" s="64">
        <f>IFERROR(SUMIF(INTAKE!$A:$A,$T1577,INTAKE!$P:$P),0)</f>
        <v>0</v>
      </c>
      <c r="L1577" s="1670">
        <f>+G1577+H1577+I1577-J1577-K1577</f>
        <v>1500</v>
      </c>
      <c r="M1577" s="102"/>
      <c r="N1577" s="103"/>
      <c r="O1577" s="102"/>
      <c r="P1577" s="739"/>
      <c r="Q1577" s="795"/>
      <c r="R1577" s="785">
        <f>IFERROR(VLOOKUP($Q1577,'391'!$S:$Z,8,0),"")</f>
        <v>0</v>
      </c>
      <c r="S1577" s="796"/>
      <c r="T1577" s="797" t="str">
        <f>$Q$1581&amp;C1577&amp;E1577</f>
        <v>FEED GRADE MONTMORILLONITE (CN)Z5.246255</v>
      </c>
      <c r="U1577" s="797"/>
      <c r="V1577" s="797"/>
      <c r="W1577" s="785">
        <f>IFERROR(VLOOKUP($Q1577,'391'!$S:$AG,15,0),0)</f>
        <v>0</v>
      </c>
      <c r="X1577" s="1090">
        <f t="shared" ref="X1577:X1585" si="972">G1577-W1577</f>
        <v>1500</v>
      </c>
      <c r="Y1577" s="785"/>
      <c r="Z1577" s="785"/>
      <c r="AA1577" s="797"/>
      <c r="AB1577" s="797"/>
      <c r="AC1577" s="551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129"/>
      <c r="B1578" s="2090"/>
      <c r="C1578" s="574" t="s">
        <v>2226</v>
      </c>
      <c r="D1578" s="881" t="s">
        <v>10</v>
      </c>
      <c r="E1578" s="882">
        <v>46275</v>
      </c>
      <c r="F1578" s="71">
        <f>$L$7-E1578</f>
        <v>1</v>
      </c>
      <c r="G1578" s="64">
        <v>2000</v>
      </c>
      <c r="H1578" s="64"/>
      <c r="I1578" s="64"/>
      <c r="J1578" s="1367"/>
      <c r="K1578" s="64">
        <f>IFERROR(SUMIF(INTAKE!$A:$A,$T1578,INTAKE!$P:$P),0)</f>
        <v>0</v>
      </c>
      <c r="L1578" s="1670">
        <f>+G1578+H1578+I1578-J1578-K1578</f>
        <v>2000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 t="shared" ref="T1578" si="973">$Q$1581&amp;C1578&amp;E1578</f>
        <v>FEED GRADE MONTMORILLONITE (CN)V6.346275</v>
      </c>
      <c r="U1578" s="797"/>
      <c r="V1578" s="797"/>
      <c r="W1578" s="785">
        <f>IFERROR(VLOOKUP($Q1578,'391'!$S:$AG,15,0),0)</f>
        <v>0</v>
      </c>
      <c r="X1578" s="1090">
        <f t="shared" ref="X1578" si="974">G1578-W1578</f>
        <v>2000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92"/>
      <c r="B1579" s="2084"/>
      <c r="C1579" s="574" t="s">
        <v>235</v>
      </c>
      <c r="D1579" s="881" t="s">
        <v>10</v>
      </c>
      <c r="E1579" s="882">
        <v>46275</v>
      </c>
      <c r="F1579" s="71">
        <f>$L$7-E1579</f>
        <v>1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70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75">$Q$1581&amp;C1579&amp;E1579</f>
        <v>FEED GRADE MONTMORILLONITE (CN)V7.346275</v>
      </c>
      <c r="U1579" s="797"/>
      <c r="V1579" s="797"/>
      <c r="W1579" s="785">
        <f>IFERROR(VLOOKUP($Q1579,'391'!$S:$AG,15,0),0)</f>
        <v>0</v>
      </c>
      <c r="X1579" s="1090">
        <f t="shared" si="972"/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93"/>
      <c r="B1580" s="2076"/>
      <c r="C1580" s="138" t="s">
        <v>76</v>
      </c>
      <c r="D1580" s="884" t="s">
        <v>10</v>
      </c>
      <c r="E1580" s="885">
        <v>46255</v>
      </c>
      <c r="F1580" s="293">
        <f>$L$7-E1580</f>
        <v>21</v>
      </c>
      <c r="G1580" s="1214">
        <v>1338.7200000000003</v>
      </c>
      <c r="H1580" s="37"/>
      <c r="I1580" s="37">
        <f>+K1579+K1577+K1578</f>
        <v>0</v>
      </c>
      <c r="J1580" s="1385">
        <f>usage!I206</f>
        <v>565.6</v>
      </c>
      <c r="K1580" s="64">
        <f>IFERROR(SUMIF(INTAKE!$A:$A,$T1580,INTAKE!$P:$P),0)</f>
        <v>0</v>
      </c>
      <c r="L1580" s="1534">
        <f>+G1580+H1580+I1580-J1580-K1580</f>
        <v>773.12000000000023</v>
      </c>
      <c r="M1580" s="98"/>
      <c r="N1580" s="1473"/>
      <c r="O1580" s="98"/>
      <c r="P1580" s="759"/>
      <c r="Q1580" s="795"/>
      <c r="R1580" s="785">
        <f>IFERROR(VLOOKUP($Q1580,'391'!$S:$Z,8,0),"")</f>
        <v>0</v>
      </c>
      <c r="S1580" s="796"/>
      <c r="T1580" s="797" t="str">
        <f t="shared" si="975"/>
        <v>FEED GRADE MONTMORILLONITE (CN)Feedmil46255</v>
      </c>
      <c r="U1580" s="797"/>
      <c r="V1580" s="797"/>
      <c r="W1580" s="785">
        <f>IFERROR(VLOOKUP($Q1580,'391'!$S:$AG,15,0),0)</f>
        <v>0</v>
      </c>
      <c r="X1580" s="1090">
        <f t="shared" si="972"/>
        <v>1338.7200000000003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184"/>
      <c r="B1581" s="184" t="s">
        <v>1708</v>
      </c>
      <c r="C1581" s="575"/>
      <c r="D1581" s="900"/>
      <c r="E1581" s="901"/>
      <c r="F1581" s="902"/>
      <c r="G1581" s="1297">
        <v>6838.72</v>
      </c>
      <c r="H1581" s="1297">
        <f>+SUM(H1577:H1580)</f>
        <v>0</v>
      </c>
      <c r="I1581" s="1297">
        <f t="shared" ref="I1581:L1581" si="976">+SUM(I1577:I1580)</f>
        <v>0</v>
      </c>
      <c r="J1581" s="1297">
        <f t="shared" si="976"/>
        <v>565.6</v>
      </c>
      <c r="K1581" s="1297">
        <f t="shared" si="976"/>
        <v>0</v>
      </c>
      <c r="L1581" s="1297">
        <f t="shared" si="976"/>
        <v>6273.12</v>
      </c>
      <c r="M1581" s="92">
        <f>IFERROR(R1581/$S$2,"")</f>
        <v>306.15111111111111</v>
      </c>
      <c r="N1581" s="99">
        <f>IFERROR(L1581/M1581,0)</f>
        <v>20.490273503280878</v>
      </c>
      <c r="O1581" s="92">
        <f>IFERROR(SUMIF(ETM!$A:$A,$Q1581,ETM!$E:$E),"")</f>
        <v>188.99999999999997</v>
      </c>
      <c r="P1581" s="741">
        <f>IFERROR(L1581/O1581,0)</f>
        <v>33.191111111111113</v>
      </c>
      <c r="Q1581" s="809" t="s">
        <v>1705</v>
      </c>
      <c r="R1581" s="785">
        <f>IFERROR(VLOOKUP($Q1581,'391'!$S:$Z,8,0),"")</f>
        <v>1377.68</v>
      </c>
      <c r="S1581" s="796"/>
      <c r="T1581" s="797"/>
      <c r="U1581" s="797"/>
      <c r="V1581" s="797"/>
      <c r="W1581" s="785">
        <f>IFERROR(VLOOKUP($Q1581,'391'!$S:$AG,15,0),0)</f>
        <v>3494.2200000000003</v>
      </c>
      <c r="X1581" s="1090">
        <f t="shared" si="972"/>
        <v>3344.5</v>
      </c>
      <c r="Y1581" s="785"/>
      <c r="Z1581" s="785"/>
      <c r="AA1581" s="797"/>
      <c r="AB1581" s="797"/>
      <c r="AC1581" s="683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91">
        <f>IF(L1585=0,"",MAX($A$16:A1581)+1)</f>
        <v>112</v>
      </c>
      <c r="B1582" s="2083" t="s">
        <v>1757</v>
      </c>
      <c r="C1582" s="574" t="s">
        <v>1875</v>
      </c>
      <c r="D1582" s="881" t="s">
        <v>10</v>
      </c>
      <c r="E1582" s="882">
        <v>46270</v>
      </c>
      <c r="F1582" s="71">
        <f>$L$7-E1582</f>
        <v>6</v>
      </c>
      <c r="G1582" s="64">
        <v>20</v>
      </c>
      <c r="H1582" s="64"/>
      <c r="I1582" s="64"/>
      <c r="J1582" s="1367"/>
      <c r="K1582" s="64">
        <f>IFERROR(SUMIF(INTAKE!$A:$A,$T1582,INTAKE!$P:$P),0)</f>
        <v>0</v>
      </c>
      <c r="L1582" s="1670">
        <f>+G1582+H1582+I1582-J1582-K1582</f>
        <v>20</v>
      </c>
      <c r="M1582" s="102"/>
      <c r="N1582" s="103"/>
      <c r="O1582" s="102"/>
      <c r="P1582" s="739"/>
      <c r="Q1582" s="795"/>
      <c r="R1582" s="785">
        <f>IFERROR(VLOOKUP($Q1582,'391'!$S:$Z,8,0),"")</f>
        <v>0</v>
      </c>
      <c r="S1582" s="796"/>
      <c r="T1582" s="797" t="str">
        <f>$Q$1585&amp;C1582&amp;E1582</f>
        <v>Doxan 50 (Viet Nam)D246270</v>
      </c>
      <c r="U1582" s="797"/>
      <c r="V1582" s="797"/>
      <c r="W1582" s="785">
        <f>IFERROR(VLOOKUP($Q1582,'391'!$S:$AG,15,0),0)</f>
        <v>0</v>
      </c>
      <c r="X1582" s="1090">
        <f t="shared" si="972"/>
        <v>20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hidden="1" customHeight="1" x14ac:dyDescent="0.25">
      <c r="A1583" s="2092"/>
      <c r="B1583" s="2084"/>
      <c r="C1583" s="574"/>
      <c r="D1583" s="881" t="s">
        <v>10</v>
      </c>
      <c r="E1583" s="882">
        <v>46017</v>
      </c>
      <c r="F1583" s="71">
        <f>$L$7-E1583</f>
        <v>259</v>
      </c>
      <c r="G1583" s="64">
        <v>0</v>
      </c>
      <c r="H1583" s="64"/>
      <c r="I1583" s="64"/>
      <c r="J1583" s="1367"/>
      <c r="K1583" s="64">
        <f>IFERROR(SUMIF(INTAKE!$A:$A,$T1583,INTAKE!$P:$P),0)</f>
        <v>0</v>
      </c>
      <c r="L1583" s="1670">
        <f>+G1583+H1583+I1583-J1583-K1583</f>
        <v>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 t="shared" ref="T1583:T1584" si="977">$Q$1585&amp;C1583&amp;E1583</f>
        <v>Doxan 50 (Viet Nam)46017</v>
      </c>
      <c r="U1583" s="797"/>
      <c r="V1583" s="797"/>
      <c r="W1583" s="785">
        <f>IFERROR(VLOOKUP($Q1583,'391'!$S:$AG,15,0),0)</f>
        <v>0</v>
      </c>
      <c r="X1583" s="1090">
        <f t="shared" si="972"/>
        <v>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93"/>
      <c r="B1584" s="2076"/>
      <c r="C1584" s="138" t="s">
        <v>76</v>
      </c>
      <c r="D1584" s="884" t="s">
        <v>10</v>
      </c>
      <c r="E1584" s="885">
        <v>46254</v>
      </c>
      <c r="F1584" s="293">
        <f>$L$7-E1584</f>
        <v>22</v>
      </c>
      <c r="G1584" s="1214">
        <v>7.3999999999999995</v>
      </c>
      <c r="H1584" s="37"/>
      <c r="I1584" s="37">
        <f>+K1583+K1582</f>
        <v>0</v>
      </c>
      <c r="J1584" s="1385">
        <f>usage!I211</f>
        <v>0</v>
      </c>
      <c r="K1584" s="64">
        <f>IFERROR(SUMIF(INTAKE!$A:$A,$T1584,INTAKE!$P:$P),0)</f>
        <v>0</v>
      </c>
      <c r="L1584" s="1534">
        <f>+G1584+H1584+I1584-J1584-K1584</f>
        <v>7.3999999999999995</v>
      </c>
      <c r="M1584" s="98"/>
      <c r="N1584" s="1473"/>
      <c r="O1584" s="98"/>
      <c r="P1584" s="759"/>
      <c r="Q1584" s="795"/>
      <c r="R1584" s="785">
        <f>IFERROR(VLOOKUP($Q1584,'391'!$S:$Z,8,0),"")</f>
        <v>0</v>
      </c>
      <c r="S1584" s="796"/>
      <c r="T1584" s="797" t="str">
        <f t="shared" si="977"/>
        <v>Doxan 50 (Viet Nam)Feedmil46254</v>
      </c>
      <c r="U1584" s="797"/>
      <c r="V1584" s="797"/>
      <c r="W1584" s="785">
        <f>IFERROR(VLOOKUP($Q1584,'391'!$S:$AG,15,0),0)</f>
        <v>0</v>
      </c>
      <c r="X1584" s="1090">
        <f t="shared" si="972"/>
        <v>7.3999999999999995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customHeight="1" x14ac:dyDescent="0.25">
      <c r="A1585" s="184"/>
      <c r="B1585" s="184" t="s">
        <v>1758</v>
      </c>
      <c r="C1585" s="575"/>
      <c r="D1585" s="900"/>
      <c r="E1585" s="901"/>
      <c r="F1585" s="902"/>
      <c r="G1585" s="1297">
        <v>27.4</v>
      </c>
      <c r="H1585" s="1297">
        <f>+SUM(H1582:H1584)</f>
        <v>0</v>
      </c>
      <c r="I1585" s="1297">
        <f t="shared" ref="I1585:L1585" si="978">+SUM(I1582:I1584)</f>
        <v>0</v>
      </c>
      <c r="J1585" s="1297">
        <f t="shared" si="978"/>
        <v>0</v>
      </c>
      <c r="K1585" s="1297">
        <f t="shared" si="978"/>
        <v>0</v>
      </c>
      <c r="L1585" s="1297">
        <f t="shared" si="978"/>
        <v>27.4</v>
      </c>
      <c r="M1585" s="92">
        <f>IFERROR(R1585/$S$2,"")</f>
        <v>0.71111111111111114</v>
      </c>
      <c r="N1585" s="99">
        <f>IFERROR(L1585/M1585,0)</f>
        <v>38.53125</v>
      </c>
      <c r="O1585" s="92">
        <f>IFERROR(SUMIF(ETM!$A:$A,$Q1585,ETM!$E:$E),"")</f>
        <v>0</v>
      </c>
      <c r="P1585" s="741">
        <f>IFERROR(L1585/O1585,0)</f>
        <v>0</v>
      </c>
      <c r="Q1585" s="809" t="s">
        <v>1757</v>
      </c>
      <c r="R1585" s="785">
        <f>IFERROR(VLOOKUP($Q1585,'391'!$S:$Z,8,0),"")</f>
        <v>3.2</v>
      </c>
      <c r="S1585" s="796"/>
      <c r="T1585" s="797"/>
      <c r="U1585" s="797"/>
      <c r="V1585" s="797"/>
      <c r="W1585" s="821">
        <f>IFERROR(VLOOKUP($Q1585,'391'!$S:$AG,15,0),0)</f>
        <v>27.400000000000002</v>
      </c>
      <c r="X1585" s="1090">
        <f t="shared" si="972"/>
        <v>0</v>
      </c>
      <c r="Y1585" s="785"/>
      <c r="Z1585" s="785"/>
      <c r="AA1585" s="797"/>
      <c r="AB1585" s="797"/>
      <c r="AC1585" s="683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hidden="1" customHeight="1" x14ac:dyDescent="0.25">
      <c r="A1586" s="2091" t="str">
        <f>IF(L1589=0,"",MAX($A$16:A1584)+1)</f>
        <v/>
      </c>
      <c r="B1586" s="2083" t="s">
        <v>1710</v>
      </c>
      <c r="C1586" s="574" t="s">
        <v>1308</v>
      </c>
      <c r="D1586" s="881" t="s">
        <v>10</v>
      </c>
      <c r="E1586" s="882">
        <v>46017</v>
      </c>
      <c r="F1586" s="71">
        <f>$L$7-E1586</f>
        <v>259</v>
      </c>
      <c r="G1586" s="64">
        <v>0</v>
      </c>
      <c r="H1586" s="64"/>
      <c r="I1586" s="64"/>
      <c r="J1586" s="1367"/>
      <c r="K1586" s="64">
        <f>IFERROR(SUMIF(INTAKE!$A:$A,$T1586,INTAKE!$P:$P),0)</f>
        <v>0</v>
      </c>
      <c r="L1586" s="1670">
        <f>+G1586+H1586+I1586-J1586-K1586</f>
        <v>0</v>
      </c>
      <c r="M1586" s="102"/>
      <c r="N1586" s="103"/>
      <c r="O1586" s="102"/>
      <c r="P1586" s="739"/>
      <c r="Q1586" s="795"/>
      <c r="R1586" s="785">
        <f>IFERROR(VLOOKUP($Q1586,'391'!$S:$Z,8,0),"")</f>
        <v>0</v>
      </c>
      <c r="S1586" s="796"/>
      <c r="T1586" s="797" t="str">
        <f>$Q$1589&amp;C1586&amp;E1586</f>
        <v>Caliton (China)Z2.146017</v>
      </c>
      <c r="U1586" s="797"/>
      <c r="V1586" s="797"/>
      <c r="W1586" s="785">
        <f>IFERROR(VLOOKUP($Q1586,'391'!$S:$AG,15,0),0)</f>
        <v>0</v>
      </c>
      <c r="X1586" s="1090">
        <f t="shared" ref="X1586:X1589" si="979">G1586-W1586</f>
        <v>0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92"/>
      <c r="B1587" s="2084"/>
      <c r="C1587" s="574"/>
      <c r="D1587" s="881" t="s">
        <v>10</v>
      </c>
      <c r="E1587" s="882">
        <v>46017</v>
      </c>
      <c r="F1587" s="71">
        <f>$L$7-E1587</f>
        <v>259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70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 t="shared" ref="T1587:T1588" si="980">$Q$1589&amp;C1587&amp;E1587</f>
        <v>Caliton (China)46017</v>
      </c>
      <c r="U1587" s="797"/>
      <c r="V1587" s="797"/>
      <c r="W1587" s="785">
        <f>IFERROR(VLOOKUP($Q1587,'391'!$S:$AG,15,0),0)</f>
        <v>0</v>
      </c>
      <c r="X1587" s="1090">
        <f t="shared" si="979"/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93"/>
      <c r="B1588" s="2076"/>
      <c r="C1588" s="138" t="s">
        <v>76</v>
      </c>
      <c r="D1588" s="884" t="s">
        <v>10</v>
      </c>
      <c r="E1588" s="885">
        <v>46017</v>
      </c>
      <c r="F1588" s="293">
        <f>$L$7-E1588</f>
        <v>259</v>
      </c>
      <c r="G1588" s="1214">
        <v>0</v>
      </c>
      <c r="H1588" s="37"/>
      <c r="I1588" s="37">
        <f>+K1587+K1586</f>
        <v>0</v>
      </c>
      <c r="J1588" s="1385"/>
      <c r="K1588" s="64">
        <f>IFERROR(SUMIF(INTAKE!$A:$A,$T1588,INTAKE!$P:$P),0)</f>
        <v>0</v>
      </c>
      <c r="L1588" s="1534">
        <f>+G1588+H1588+I1588-J1588-K1588</f>
        <v>0</v>
      </c>
      <c r="M1588" s="98"/>
      <c r="N1588" s="1473"/>
      <c r="O1588" s="98"/>
      <c r="P1588" s="759"/>
      <c r="Q1588" s="795"/>
      <c r="R1588" s="785">
        <f>IFERROR(VLOOKUP($Q1588,'391'!$S:$Z,8,0),"")</f>
        <v>0</v>
      </c>
      <c r="S1588" s="796"/>
      <c r="T1588" s="797" t="str">
        <f t="shared" si="980"/>
        <v>Caliton (China)Feedmil46017</v>
      </c>
      <c r="U1588" s="797"/>
      <c r="V1588" s="797"/>
      <c r="W1588" s="785">
        <f>IFERROR(VLOOKUP($Q1588,'391'!$S:$AG,15,0),0)</f>
        <v>0</v>
      </c>
      <c r="X1588" s="1090">
        <f t="shared" si="979"/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184"/>
      <c r="B1589" s="184" t="s">
        <v>1711</v>
      </c>
      <c r="C1589" s="575"/>
      <c r="D1589" s="900"/>
      <c r="E1589" s="901"/>
      <c r="F1589" s="902"/>
      <c r="G1589" s="1297">
        <v>0</v>
      </c>
      <c r="H1589" s="1297">
        <f>+SUM(H1586:H1588)</f>
        <v>0</v>
      </c>
      <c r="I1589" s="1297">
        <f t="shared" ref="I1589:L1589" si="981">+SUM(I1586:I1588)</f>
        <v>0</v>
      </c>
      <c r="J1589" s="1297">
        <f t="shared" si="981"/>
        <v>0</v>
      </c>
      <c r="K1589" s="1297">
        <f t="shared" si="981"/>
        <v>0</v>
      </c>
      <c r="L1589" s="1297">
        <f t="shared" si="981"/>
        <v>0</v>
      </c>
      <c r="M1589" s="92" t="str">
        <f>IFERROR(R1589/$S$2,"")</f>
        <v/>
      </c>
      <c r="N1589" s="99">
        <f>IFERROR(L1589/M1589,0)</f>
        <v>0</v>
      </c>
      <c r="O1589" s="92">
        <f>IFERROR(SUMIF(ETM!$A:$A,$Q1589,ETM!$E:$E),"")</f>
        <v>0</v>
      </c>
      <c r="P1589" s="741">
        <f>IFERROR(L1589/O1589,0)</f>
        <v>0</v>
      </c>
      <c r="Q1589" s="809" t="s">
        <v>1710</v>
      </c>
      <c r="R1589" s="785" t="str">
        <f>IFERROR(VLOOKUP($Q1589,'391'!$S:$Z,8,0),"")</f>
        <v/>
      </c>
      <c r="S1589" s="796"/>
      <c r="T1589" s="797"/>
      <c r="U1589" s="797"/>
      <c r="V1589" s="797"/>
      <c r="W1589" s="821">
        <f>IFERROR(VLOOKUP($Q1589,'391'!$S:$AG,15,0),0)</f>
        <v>0</v>
      </c>
      <c r="X1589" s="1090">
        <f t="shared" si="979"/>
        <v>0</v>
      </c>
      <c r="Y1589" s="785"/>
      <c r="Z1589" s="785"/>
      <c r="AA1589" s="797"/>
      <c r="AB1589" s="797"/>
      <c r="AC1589" s="683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customHeight="1" x14ac:dyDescent="0.25">
      <c r="A1590" s="2091">
        <f>IF(L1593=0,"",MAX($A$16:A1588)+1)</f>
        <v>113</v>
      </c>
      <c r="B1590" s="2083" t="s">
        <v>1829</v>
      </c>
      <c r="C1590" s="574" t="s">
        <v>1213</v>
      </c>
      <c r="D1590" s="881" t="s">
        <v>10</v>
      </c>
      <c r="E1590" s="882">
        <v>46275</v>
      </c>
      <c r="F1590" s="71">
        <f>$L$7-E1590</f>
        <v>1</v>
      </c>
      <c r="G1590" s="64">
        <v>20</v>
      </c>
      <c r="H1590" s="64"/>
      <c r="I1590" s="64"/>
      <c r="J1590" s="1367"/>
      <c r="K1590" s="1348">
        <f>IFERROR(SUMIF(INTAKE!$A:$A,$T1590,INTAKE!$P:$P),0)</f>
        <v>20</v>
      </c>
      <c r="L1590" s="1670">
        <f>+G1590+H1590+I1590-J1590-K1590</f>
        <v>0</v>
      </c>
      <c r="M1590" s="102"/>
      <c r="N1590" s="103"/>
      <c r="O1590" s="102"/>
      <c r="P1590" s="739"/>
      <c r="Q1590" s="795"/>
      <c r="R1590" s="785">
        <f>IFERROR(VLOOKUP($Q1590,'391'!$S:$Z,8,0),"")</f>
        <v>0</v>
      </c>
      <c r="S1590" s="796"/>
      <c r="T1590" s="797" t="str">
        <f>$Q$1593&amp;C1590&amp;E1590</f>
        <v>Anti-Fly (Viet Nam)E346275</v>
      </c>
      <c r="U1590" s="797"/>
      <c r="V1590" s="797"/>
      <c r="W1590" s="785">
        <f>IFERROR(VLOOKUP($Q1590,'391'!$S:$AG,15,0),0)</f>
        <v>0</v>
      </c>
      <c r="X1590" s="1090">
        <f t="shared" ref="X1590:X1593" si="982">G1590-W1590</f>
        <v>20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customHeight="1" x14ac:dyDescent="0.25">
      <c r="A1591" s="2092"/>
      <c r="B1591" s="2084"/>
      <c r="C1591" s="574" t="s">
        <v>1213</v>
      </c>
      <c r="D1591" s="881" t="s">
        <v>10</v>
      </c>
      <c r="E1591" s="882">
        <v>46276</v>
      </c>
      <c r="F1591" s="71">
        <f>$L$7-E1591</f>
        <v>0</v>
      </c>
      <c r="G1591" s="64">
        <v>0</v>
      </c>
      <c r="H1591" s="64">
        <v>50</v>
      </c>
      <c r="I1591" s="64"/>
      <c r="J1591" s="1367"/>
      <c r="K1591" s="64">
        <f>IFERROR(SUMIF(INTAKE!$A:$A,$T1591,INTAKE!$P:$P),0)</f>
        <v>0</v>
      </c>
      <c r="L1591" s="1670">
        <f>+G1591+H1591+I1591-J1591-K1591</f>
        <v>50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 t="shared" ref="T1591:T1592" si="983">$Q$1593&amp;C1591&amp;E1591</f>
        <v>Anti-Fly (Viet Nam)E346276</v>
      </c>
      <c r="U1591" s="797"/>
      <c r="V1591" s="797"/>
      <c r="W1591" s="785">
        <f>IFERROR(VLOOKUP($Q1591,'391'!$S:$AG,15,0),0)</f>
        <v>0</v>
      </c>
      <c r="X1591" s="1090">
        <f t="shared" si="982"/>
        <v>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customHeight="1" x14ac:dyDescent="0.25">
      <c r="A1592" s="2093"/>
      <c r="B1592" s="2076"/>
      <c r="C1592" s="138" t="s">
        <v>76</v>
      </c>
      <c r="D1592" s="884" t="s">
        <v>10</v>
      </c>
      <c r="E1592" s="885">
        <v>46275</v>
      </c>
      <c r="F1592" s="293">
        <f>$L$7-E1592</f>
        <v>1</v>
      </c>
      <c r="G1592" s="1214">
        <v>0</v>
      </c>
      <c r="H1592" s="37"/>
      <c r="I1592" s="37">
        <f>+K1591+K1590</f>
        <v>20</v>
      </c>
      <c r="J1592" s="1385">
        <f>usage!I144</f>
        <v>20</v>
      </c>
      <c r="K1592" s="64">
        <f>IFERROR(SUMIF(INTAKE!$A:$A,$T1592,INTAKE!$P:$P),0)</f>
        <v>0</v>
      </c>
      <c r="L1592" s="1534">
        <f>+G1592+H1592+I1592-J1592-K1592</f>
        <v>0</v>
      </c>
      <c r="M1592" s="98"/>
      <c r="N1592" s="1473"/>
      <c r="O1592" s="98"/>
      <c r="P1592" s="759"/>
      <c r="Q1592" s="795"/>
      <c r="R1592" s="785">
        <f>IFERROR(VLOOKUP($Q1592,'391'!$S:$Z,8,0),"")</f>
        <v>0</v>
      </c>
      <c r="S1592" s="796"/>
      <c r="T1592" s="797" t="str">
        <f t="shared" si="983"/>
        <v>Anti-Fly (Viet Nam)Feedmil46275</v>
      </c>
      <c r="U1592" s="797"/>
      <c r="V1592" s="797"/>
      <c r="W1592" s="785">
        <f>IFERROR(VLOOKUP($Q1592,'391'!$S:$AG,15,0),0)</f>
        <v>0</v>
      </c>
      <c r="X1592" s="1090">
        <f t="shared" si="982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customHeight="1" x14ac:dyDescent="0.25">
      <c r="A1593" s="184"/>
      <c r="B1593" s="184" t="s">
        <v>1830</v>
      </c>
      <c r="C1593" s="575"/>
      <c r="D1593" s="900"/>
      <c r="E1593" s="901"/>
      <c r="F1593" s="902"/>
      <c r="G1593" s="1297">
        <v>20</v>
      </c>
      <c r="H1593" s="1297">
        <f>+SUM(H1590:H1592)</f>
        <v>50</v>
      </c>
      <c r="I1593" s="1297">
        <f t="shared" ref="I1593:L1593" si="984">+SUM(I1590:I1592)</f>
        <v>20</v>
      </c>
      <c r="J1593" s="1297">
        <f t="shared" si="984"/>
        <v>20</v>
      </c>
      <c r="K1593" s="1297">
        <f t="shared" si="984"/>
        <v>20</v>
      </c>
      <c r="L1593" s="1297">
        <f t="shared" si="984"/>
        <v>50</v>
      </c>
      <c r="M1593" s="92" t="str">
        <f>IFERROR(R1593/$S$2,"")</f>
        <v/>
      </c>
      <c r="N1593" s="99">
        <f>IFERROR(L1593/M1593,0)</f>
        <v>0</v>
      </c>
      <c r="O1593" s="92">
        <f>IFERROR(SUMIF(ETM!$A:$A,$Q1593,ETM!$E:$E),"")</f>
        <v>0</v>
      </c>
      <c r="P1593" s="741">
        <f>IFERROR(L1593/O1593,0)</f>
        <v>0</v>
      </c>
      <c r="Q1593" s="809" t="s">
        <v>1829</v>
      </c>
      <c r="R1593" s="785" t="str">
        <f>IFERROR(VLOOKUP($Q1593,'391'!$S:$Z,8,0),"")</f>
        <v/>
      </c>
      <c r="S1593" s="796"/>
      <c r="T1593" s="797"/>
      <c r="U1593" s="797"/>
      <c r="V1593" s="797"/>
      <c r="W1593" s="821">
        <f>IFERROR(VLOOKUP($Q1593,'391'!$S:$AG,15,0),0)</f>
        <v>0</v>
      </c>
      <c r="X1593" s="1090">
        <f t="shared" si="982"/>
        <v>20</v>
      </c>
      <c r="Y1593" s="785"/>
      <c r="Z1593" s="785"/>
      <c r="AA1593" s="797"/>
      <c r="AB1593" s="797"/>
      <c r="AC1593" s="683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hidden="1" customHeight="1" x14ac:dyDescent="0.25">
      <c r="A1594" s="2091" t="str">
        <f>IF(L1597=0,"",MAX($A$16:A1589)+1)</f>
        <v/>
      </c>
      <c r="B1594" s="2083" t="s">
        <v>520</v>
      </c>
      <c r="C1594" s="574" t="s">
        <v>287</v>
      </c>
      <c r="D1594" s="881" t="s">
        <v>10</v>
      </c>
      <c r="E1594" s="882">
        <v>44369</v>
      </c>
      <c r="F1594" s="71">
        <f>$L$7-E1594</f>
        <v>1907</v>
      </c>
      <c r="G1594" s="64">
        <v>0</v>
      </c>
      <c r="H1594" s="64"/>
      <c r="I1594" s="64"/>
      <c r="J1594" s="1367"/>
      <c r="K1594" s="64">
        <f>IFERROR(SUMIF(INTAKE!$A:$A,$T1594,INTAKE!$P:$P),0)</f>
        <v>0</v>
      </c>
      <c r="L1594" s="531">
        <f>+G1594+H1594+I1594-J1594-K1594</f>
        <v>0</v>
      </c>
      <c r="M1594" s="102"/>
      <c r="N1594" s="103"/>
      <c r="O1594" s="102"/>
      <c r="P1594" s="739"/>
      <c r="Q1594" s="795"/>
      <c r="R1594" s="785">
        <f>IFERROR(VLOOKUP($Q1594,'391'!$S:$Z,8,0),"")</f>
        <v>0</v>
      </c>
      <c r="S1594" s="796"/>
      <c r="T1594" s="797" t="str">
        <f>$Q$1597&amp;C1594&amp;E1594</f>
        <v>Syngen X (USA)A19.644369</v>
      </c>
      <c r="U1594" s="797"/>
      <c r="V1594" s="797"/>
      <c r="W1594" s="785">
        <f>IFERROR(VLOOKUP($Q1594,'391'!$S:$AG,15,0),0)</f>
        <v>0</v>
      </c>
      <c r="X1594" s="1090">
        <f t="shared" si="858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2092"/>
      <c r="B1595" s="2084"/>
      <c r="C1595" s="574" t="s">
        <v>287</v>
      </c>
      <c r="D1595" s="881" t="s">
        <v>10</v>
      </c>
      <c r="E1595" s="882">
        <v>44200</v>
      </c>
      <c r="F1595" s="71">
        <f>$L$7-E1595</f>
        <v>2076</v>
      </c>
      <c r="G1595" s="64">
        <v>0</v>
      </c>
      <c r="H1595" s="64"/>
      <c r="I1595" s="64"/>
      <c r="J1595" s="1367"/>
      <c r="K1595" s="64">
        <f>IFERROR(SUMIF(INTAKE!$A:$A,$T1595,INTAKE!$P:$P),0)</f>
        <v>0</v>
      </c>
      <c r="L1595" s="531">
        <f>+G1595+H1595+I1595-J1595-K1595</f>
        <v>0</v>
      </c>
      <c r="M1595" s="102"/>
      <c r="N1595" s="103"/>
      <c r="O1595" s="102"/>
      <c r="P1595" s="739"/>
      <c r="Q1595" s="795"/>
      <c r="R1595" s="785">
        <f>IFERROR(VLOOKUP($Q1595,'391'!$S:$Z,8,0),"")</f>
        <v>0</v>
      </c>
      <c r="S1595" s="796"/>
      <c r="T1595" s="797" t="str">
        <f>$Q$1597&amp;C1595&amp;E1595</f>
        <v>Syngen X (USA)A19.644200</v>
      </c>
      <c r="U1595" s="797"/>
      <c r="V1595" s="797"/>
      <c r="W1595" s="785">
        <f>IFERROR(VLOOKUP($Q1595,'391'!$S:$AG,15,0),0)</f>
        <v>0</v>
      </c>
      <c r="X1595" s="1090">
        <f t="shared" si="858"/>
        <v>0</v>
      </c>
      <c r="Y1595" s="785"/>
      <c r="Z1595" s="785"/>
      <c r="AA1595" s="797"/>
      <c r="AB1595" s="797"/>
      <c r="AC1595" s="551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93"/>
      <c r="B1596" s="2076"/>
      <c r="C1596" s="138" t="s">
        <v>76</v>
      </c>
      <c r="D1596" s="884" t="s">
        <v>10</v>
      </c>
      <c r="E1596" s="885">
        <v>44369</v>
      </c>
      <c r="F1596" s="293">
        <f>$L$7-E1596</f>
        <v>1907</v>
      </c>
      <c r="G1596" s="1214">
        <v>0</v>
      </c>
      <c r="H1596" s="37"/>
      <c r="I1596" s="37">
        <f>+K1595+K1594</f>
        <v>0</v>
      </c>
      <c r="J1596" s="1385">
        <f>+usage!I111</f>
        <v>0</v>
      </c>
      <c r="K1596" s="64">
        <f>IFERROR(SUMIF(INTAKE!$A:$A,$T1596,INTAKE!$P:$P),0)</f>
        <v>0</v>
      </c>
      <c r="L1596" s="531">
        <f>+G1596+H1596+I1596-J1596-K1596</f>
        <v>0</v>
      </c>
      <c r="M1596" s="98"/>
      <c r="N1596" s="1473"/>
      <c r="O1596" s="98"/>
      <c r="P1596" s="759"/>
      <c r="Q1596" s="795"/>
      <c r="R1596" s="785">
        <f>IFERROR(VLOOKUP($Q1596,'391'!$S:$Z,8,0),"")</f>
        <v>0</v>
      </c>
      <c r="S1596" s="796"/>
      <c r="T1596" s="797" t="str">
        <f>$Q$1597&amp;C1596&amp;E1596</f>
        <v>Syngen X (USA)Feedmil44369</v>
      </c>
      <c r="U1596" s="797"/>
      <c r="V1596" s="797"/>
      <c r="W1596" s="785">
        <f>IFERROR(VLOOKUP($Q1596,'391'!$S:$AG,15,0),0)</f>
        <v>0</v>
      </c>
      <c r="X1596" s="1090">
        <f t="shared" si="858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184"/>
      <c r="B1597" s="184" t="s">
        <v>565</v>
      </c>
      <c r="C1597" s="575"/>
      <c r="D1597" s="900"/>
      <c r="E1597" s="901"/>
      <c r="F1597" s="902"/>
      <c r="G1597" s="1297">
        <v>0</v>
      </c>
      <c r="H1597" s="1297">
        <f>+SUM(H1594:H1596)</f>
        <v>0</v>
      </c>
      <c r="I1597" s="1297">
        <f t="shared" ref="I1597:L1597" si="985">+SUM(I1594:I1596)</f>
        <v>0</v>
      </c>
      <c r="J1597" s="1297">
        <f t="shared" si="985"/>
        <v>0</v>
      </c>
      <c r="K1597" s="1297">
        <f t="shared" si="985"/>
        <v>0</v>
      </c>
      <c r="L1597" s="1297">
        <f t="shared" si="985"/>
        <v>0</v>
      </c>
      <c r="M1597" s="92" t="str">
        <f>IFERROR(R1597/$S$2,"")</f>
        <v/>
      </c>
      <c r="N1597" s="99">
        <f>IFERROR(L1597/M1597,0)</f>
        <v>0</v>
      </c>
      <c r="O1597" s="92">
        <f>IFERROR(SUMIF(ETM!$A:$A,$Q1597,ETM!$E:$E),"")</f>
        <v>0</v>
      </c>
      <c r="P1597" s="741">
        <f>IFERROR(L1597/O1597,0)</f>
        <v>0</v>
      </c>
      <c r="Q1597" s="809" t="s">
        <v>520</v>
      </c>
      <c r="R1597" s="785" t="str">
        <f>IFERROR(VLOOKUP($Q1597,'391'!$S:$Z,8,0),"")</f>
        <v/>
      </c>
      <c r="S1597" s="796"/>
      <c r="T1597" s="797"/>
      <c r="U1597" s="797"/>
      <c r="V1597" s="797"/>
      <c r="W1597" s="785">
        <f>IFERROR(VLOOKUP($Q1597,'391'!$S:$AG,15,0),0)</f>
        <v>0</v>
      </c>
      <c r="X1597" s="1090">
        <f t="shared" si="858"/>
        <v>0</v>
      </c>
      <c r="Y1597" s="785"/>
      <c r="Z1597" s="785"/>
      <c r="AA1597" s="797"/>
      <c r="AB1597" s="797"/>
      <c r="AC1597" s="683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14" customFormat="1" ht="39.950000000000003" customHeight="1" x14ac:dyDescent="0.25">
      <c r="A1598" s="2213" t="s">
        <v>1476</v>
      </c>
      <c r="B1598" s="2214"/>
      <c r="C1598" s="2214"/>
      <c r="D1598" s="2214"/>
      <c r="E1598" s="183"/>
      <c r="F1598" s="1421"/>
      <c r="G1598" s="1421">
        <f t="shared" ref="G1598:L1598" si="986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1597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1567+G981+G1571+G1576+G1581+G1589+G1007+G1538+G1532+G1511+G1542+G1547+G1585+G830+G1553+G1145+G626+G1593+G1563+G1558</f>
        <v>1212534.5099999998</v>
      </c>
      <c r="H1598" s="1421">
        <f t="shared" si="986"/>
        <v>68080</v>
      </c>
      <c r="I1598" s="1421">
        <f t="shared" si="986"/>
        <v>36302</v>
      </c>
      <c r="J1598" s="1421">
        <f t="shared" si="986"/>
        <v>34960.810000000005</v>
      </c>
      <c r="K1598" s="1421">
        <f t="shared" si="986"/>
        <v>36302</v>
      </c>
      <c r="L1598" s="1421">
        <f t="shared" si="986"/>
        <v>1245653.6999999997</v>
      </c>
      <c r="M1598" s="1039"/>
      <c r="N1598" s="1039"/>
      <c r="O1598" s="1039"/>
      <c r="P1598" s="1040"/>
      <c r="Q1598" s="795"/>
      <c r="R1598" s="812">
        <f>+SUM(R613:R1597)</f>
        <v>189558.06999999995</v>
      </c>
      <c r="S1598" s="828"/>
      <c r="T1598" s="827">
        <f>+R1598-S1598</f>
        <v>189558.06999999995</v>
      </c>
      <c r="U1598" s="797"/>
      <c r="V1598" s="797"/>
      <c r="W1598" s="785">
        <f>IFERROR(VLOOKUP($Q1598,'391'!$S:$AG,15,0),0)</f>
        <v>0</v>
      </c>
      <c r="X1598" s="799">
        <f t="shared" si="858"/>
        <v>1212534.5099999998</v>
      </c>
      <c r="Y1598" s="797"/>
      <c r="Z1598" s="785"/>
      <c r="AA1598" s="797"/>
      <c r="AB1598" s="797"/>
      <c r="AC1598" s="679"/>
      <c r="AD1598" s="683"/>
      <c r="AE1598" s="683"/>
      <c r="AF1598" s="683"/>
      <c r="AG1598" s="683"/>
      <c r="AH1598" s="683"/>
      <c r="AI1598" s="705"/>
      <c r="AJ1598" s="705"/>
      <c r="AK1598" s="705"/>
      <c r="AL1598" s="705"/>
      <c r="AM1598" s="705"/>
      <c r="AN1598" s="705"/>
      <c r="AO1598" s="705"/>
      <c r="AP1598" s="705"/>
      <c r="AQ1598" s="705"/>
      <c r="AR1598" s="705"/>
      <c r="AS1598" s="705"/>
    </row>
    <row r="1599" spans="1:45" s="6" customFormat="1" ht="30" customHeight="1" x14ac:dyDescent="0.25">
      <c r="A1599" s="2018">
        <f>IF(L1606=0,"",MAX($A$16:A1598)+1)</f>
        <v>114</v>
      </c>
      <c r="B1599" s="390" t="s">
        <v>1985</v>
      </c>
      <c r="C1599" s="557" t="s">
        <v>1878</v>
      </c>
      <c r="D1599" s="866" t="s">
        <v>10</v>
      </c>
      <c r="E1599" s="1122">
        <v>46270</v>
      </c>
      <c r="F1599" s="71">
        <f t="shared" ref="F1599" si="987">$L$7-E1599</f>
        <v>6</v>
      </c>
      <c r="G1599" s="12">
        <v>1200</v>
      </c>
      <c r="H1599" s="11"/>
      <c r="I1599" s="11"/>
      <c r="J1599" s="1388"/>
      <c r="K1599" s="64">
        <f>IFERROR(SUMIF(INTAKE!$A:$A,$T1599,INTAKE!$P:$P),0)</f>
        <v>0</v>
      </c>
      <c r="L1599" s="1703">
        <f t="shared" ref="L1599:L1605" si="988">+G1599+H1599+I1599-J1599-K1599</f>
        <v>1200</v>
      </c>
      <c r="M1599" s="22"/>
      <c r="N1599" s="22"/>
      <c r="O1599" s="22"/>
      <c r="P1599" s="735"/>
      <c r="Q1599" s="795"/>
      <c r="R1599" s="785">
        <f>IFERROR(VLOOKUP($Q1599,'391'!$S:$Z,8,0),"")</f>
        <v>0</v>
      </c>
      <c r="S1599" s="786"/>
      <c r="T1599" s="787" t="str">
        <f t="shared" ref="T1599:T1605" si="989">$Q$1606&amp;C1599&amp;E1599</f>
        <v>Premix 10MX3.246270</v>
      </c>
      <c r="U1599" s="787"/>
      <c r="V1599" s="787"/>
      <c r="W1599" s="785">
        <f>IFERROR(VLOOKUP($Q1599,'391'!$S:$AG,15,0),0)</f>
        <v>0</v>
      </c>
      <c r="X1599" s="1090">
        <f t="shared" si="858"/>
        <v>1200</v>
      </c>
      <c r="Y1599" s="787"/>
      <c r="Z1599" s="791"/>
      <c r="AA1599" s="787"/>
      <c r="AB1599" s="787"/>
      <c r="AC1599" s="679"/>
      <c r="AD1599" s="679"/>
      <c r="AE1599" s="679"/>
      <c r="AF1599" s="679"/>
      <c r="AG1599" s="679"/>
      <c r="AH1599" s="679"/>
      <c r="AI1599" s="682"/>
      <c r="AJ1599" s="682"/>
      <c r="AK1599" s="682"/>
      <c r="AL1599" s="682"/>
      <c r="AM1599" s="682"/>
      <c r="AN1599" s="682"/>
      <c r="AO1599" s="682"/>
      <c r="AP1599" s="682"/>
      <c r="AQ1599" s="682"/>
      <c r="AR1599" s="682"/>
      <c r="AS1599" s="682"/>
    </row>
    <row r="1600" spans="1:45" s="6" customFormat="1" ht="30" customHeight="1" x14ac:dyDescent="0.25">
      <c r="A1600" s="2010"/>
      <c r="B1600" s="390" t="s">
        <v>2236</v>
      </c>
      <c r="C1600" s="557" t="s">
        <v>1878</v>
      </c>
      <c r="D1600" s="866" t="s">
        <v>10</v>
      </c>
      <c r="E1600" s="1122">
        <v>46275</v>
      </c>
      <c r="F1600" s="71">
        <f t="shared" ref="F1600" si="990">$L$7-E1600</f>
        <v>1</v>
      </c>
      <c r="G1600" s="12">
        <v>600</v>
      </c>
      <c r="H1600" s="11"/>
      <c r="I1600" s="11"/>
      <c r="J1600" s="1388"/>
      <c r="K1600" s="64">
        <f>IFERROR(SUMIF(INTAKE!$A:$A,$T1600,INTAKE!$P:$P),0)</f>
        <v>0</v>
      </c>
      <c r="L1600" s="1703">
        <f t="shared" si="988"/>
        <v>600</v>
      </c>
      <c r="M1600" s="101"/>
      <c r="N1600" s="101"/>
      <c r="O1600" s="101"/>
      <c r="P1600" s="738"/>
      <c r="Q1600" s="795"/>
      <c r="R1600" s="785">
        <f>IFERROR(VLOOKUP($Q1600,'391'!$S:$Z,8,0),"")</f>
        <v>0</v>
      </c>
      <c r="S1600" s="786"/>
      <c r="T1600" s="787" t="str">
        <f t="shared" si="989"/>
        <v>Premix 10MX3.246275</v>
      </c>
      <c r="U1600" s="787"/>
      <c r="V1600" s="787"/>
      <c r="W1600" s="785">
        <f>IFERROR(VLOOKUP($Q1600,'391'!$S:$AG,15,0),0)</f>
        <v>0</v>
      </c>
      <c r="X1600" s="1090">
        <f t="shared" si="858"/>
        <v>600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6" customFormat="1" ht="30" hidden="1" customHeight="1" x14ac:dyDescent="0.25">
      <c r="A1601" s="2010"/>
      <c r="B1601" s="390" t="s">
        <v>1879</v>
      </c>
      <c r="C1601" s="557"/>
      <c r="D1601" s="866" t="s">
        <v>10</v>
      </c>
      <c r="E1601" s="1122">
        <v>46227</v>
      </c>
      <c r="F1601" s="71">
        <f t="shared" ref="F1601:F1604" si="991">$L$7-E1601</f>
        <v>49</v>
      </c>
      <c r="G1601" s="12">
        <v>0</v>
      </c>
      <c r="H1601" s="11"/>
      <c r="I1601" s="11"/>
      <c r="J1601" s="1388"/>
      <c r="K1601" s="64">
        <f>IFERROR(SUMIF(INTAKE!$A:$A,$T1601,INTAKE!$P:$P),0)</f>
        <v>0</v>
      </c>
      <c r="L1601" s="1703">
        <f t="shared" si="988"/>
        <v>0</v>
      </c>
      <c r="M1601" s="101"/>
      <c r="N1601" s="101"/>
      <c r="O1601" s="101"/>
      <c r="P1601" s="738"/>
      <c r="Q1601" s="795"/>
      <c r="R1601" s="785">
        <f>IFERROR(VLOOKUP($Q1601,'391'!$S:$Z,8,0),"")</f>
        <v>0</v>
      </c>
      <c r="S1601" s="786"/>
      <c r="T1601" s="787" t="str">
        <f t="shared" si="989"/>
        <v>Premix 10M46227</v>
      </c>
      <c r="U1601" s="787"/>
      <c r="V1601" s="787"/>
      <c r="W1601" s="785">
        <f>IFERROR(VLOOKUP($Q1601,'391'!$S:$AG,15,0),0)</f>
        <v>0</v>
      </c>
      <c r="X1601" s="1090">
        <f t="shared" si="858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hidden="1" customHeight="1" x14ac:dyDescent="0.25">
      <c r="A1602" s="2010"/>
      <c r="B1602" s="390" t="s">
        <v>1550</v>
      </c>
      <c r="C1602" s="557"/>
      <c r="D1602" s="866" t="s">
        <v>10</v>
      </c>
      <c r="E1602" s="1122">
        <v>45702</v>
      </c>
      <c r="F1602" s="71">
        <f t="shared" si="991"/>
        <v>574</v>
      </c>
      <c r="G1602" s="12">
        <v>0</v>
      </c>
      <c r="H1602" s="12"/>
      <c r="I1602" s="11"/>
      <c r="J1602" s="1368"/>
      <c r="K1602" s="64">
        <f>IFERROR(SUMIF(INTAKE!$A:$A,$T1602,INTAKE!$P:$P),0)</f>
        <v>0</v>
      </c>
      <c r="L1602" s="1703">
        <f t="shared" si="988"/>
        <v>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89"/>
        <v>Premix 10M45702</v>
      </c>
      <c r="U1602" s="787"/>
      <c r="V1602" s="787"/>
      <c r="W1602" s="785">
        <f>IFERROR(VLOOKUP($Q1602,'391'!$S:$AG,15,0),0)</f>
        <v>0</v>
      </c>
      <c r="X1602" s="1090">
        <f t="shared" si="858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10"/>
      <c r="B1603" s="390" t="s">
        <v>1251</v>
      </c>
      <c r="C1603" s="557"/>
      <c r="D1603" s="866" t="s">
        <v>10</v>
      </c>
      <c r="E1603" s="1122">
        <v>44956</v>
      </c>
      <c r="F1603" s="71">
        <f t="shared" si="991"/>
        <v>1320</v>
      </c>
      <c r="G1603" s="12">
        <v>0</v>
      </c>
      <c r="H1603" s="12"/>
      <c r="I1603" s="11"/>
      <c r="J1603" s="1368"/>
      <c r="K1603" s="64">
        <f>IFERROR(SUMIF(INTAKE!$A:$A,$T1603,INTAKE!$P:$P),0)</f>
        <v>0</v>
      </c>
      <c r="L1603" s="1534">
        <f t="shared" si="988"/>
        <v>0</v>
      </c>
      <c r="M1603" s="23"/>
      <c r="N1603" s="23"/>
      <c r="O1603" s="23"/>
      <c r="P1603" s="736"/>
      <c r="Q1603" s="795"/>
      <c r="R1603" s="785">
        <f>IFERROR(VLOOKUP($Q1603,'391'!$S:$Z,8,0),"")</f>
        <v>0</v>
      </c>
      <c r="S1603" s="786"/>
      <c r="T1603" s="787" t="str">
        <f t="shared" si="989"/>
        <v>Premix 10M44956</v>
      </c>
      <c r="U1603" s="787"/>
      <c r="V1603" s="787"/>
      <c r="W1603" s="785">
        <f>IFERROR(VLOOKUP($Q1603,'391'!$S:$AG,15,0),0)</f>
        <v>0</v>
      </c>
      <c r="X1603" s="1090">
        <f t="shared" si="858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10"/>
      <c r="B1604" s="390" t="s">
        <v>339</v>
      </c>
      <c r="C1604" s="151"/>
      <c r="D1604" s="866" t="s">
        <v>10</v>
      </c>
      <c r="E1604" s="1122">
        <v>44903</v>
      </c>
      <c r="F1604" s="71">
        <f t="shared" si="991"/>
        <v>1373</v>
      </c>
      <c r="G1604" s="56">
        <v>0</v>
      </c>
      <c r="H1604" s="56"/>
      <c r="I1604" s="58"/>
      <c r="J1604" s="1369"/>
      <c r="K1604" s="64">
        <f>IFERROR(SUMIF(INTAKE!$A:$A,$T1604,INTAKE!$P:$P),0)</f>
        <v>0</v>
      </c>
      <c r="L1604" s="1534">
        <f t="shared" si="988"/>
        <v>0</v>
      </c>
      <c r="M1604" s="23"/>
      <c r="N1604" s="23"/>
      <c r="O1604" s="23"/>
      <c r="P1604" s="736"/>
      <c r="Q1604" s="795"/>
      <c r="R1604" s="785">
        <f>IFERROR(VLOOKUP($Q1604,'391'!$S:$Z,8,0),"")</f>
        <v>0</v>
      </c>
      <c r="S1604" s="786"/>
      <c r="T1604" s="787" t="str">
        <f t="shared" si="989"/>
        <v>Premix 10M44903</v>
      </c>
      <c r="U1604" s="787"/>
      <c r="V1604" s="787"/>
      <c r="W1604" s="785">
        <f>IFERROR(VLOOKUP($Q1604,'391'!$S:$AG,15,0),0)</f>
        <v>0</v>
      </c>
      <c r="X1604" s="1090">
        <f t="shared" si="858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406" customFormat="1" ht="30" customHeight="1" x14ac:dyDescent="0.25">
      <c r="A1605" s="2019"/>
      <c r="B1605" s="1014" t="s">
        <v>1955</v>
      </c>
      <c r="C1605" s="151" t="s">
        <v>46</v>
      </c>
      <c r="D1605" s="884" t="s">
        <v>10</v>
      </c>
      <c r="E1605" s="1123">
        <v>46262</v>
      </c>
      <c r="F1605" s="71">
        <f t="shared" ref="F1605" si="992">$L$7-E1605</f>
        <v>14</v>
      </c>
      <c r="G1605" s="56">
        <v>807.68000000000029</v>
      </c>
      <c r="H1605" s="56"/>
      <c r="I1605" s="58">
        <f>+SUM(K1599:K1604)</f>
        <v>0</v>
      </c>
      <c r="J1605" s="1369">
        <f>+usage!I232</f>
        <v>366.82</v>
      </c>
      <c r="K1605" s="64">
        <f>IFERROR(SUMIF(INTAKE!$A:$A,$T1605,INTAKE!$P:$P),0)</f>
        <v>0</v>
      </c>
      <c r="L1605" s="1534">
        <f t="shared" si="988"/>
        <v>440.8600000000003</v>
      </c>
      <c r="M1605" s="35"/>
      <c r="N1605" s="35"/>
      <c r="O1605" s="35"/>
      <c r="P1605" s="740"/>
      <c r="Q1605" s="795"/>
      <c r="R1605" s="785">
        <f>IFERROR(VLOOKUP($Q1605,'391'!$S:$Z,8,0),"")</f>
        <v>0</v>
      </c>
      <c r="S1605" s="786"/>
      <c r="T1605" s="787" t="str">
        <f t="shared" si="989"/>
        <v>Premix 10MFeedmill46262</v>
      </c>
      <c r="U1605" s="787"/>
      <c r="V1605" s="787"/>
      <c r="W1605" s="785">
        <f>IFERROR(VLOOKUP($Q1605,'391'!$S:$AG,15,0),0)</f>
        <v>0</v>
      </c>
      <c r="X1605" s="1090">
        <f t="shared" si="858"/>
        <v>807.68000000000029</v>
      </c>
      <c r="Y1605" s="787"/>
      <c r="Z1605" s="791"/>
      <c r="AA1605" s="787"/>
      <c r="AB1605" s="787"/>
      <c r="AC1605" s="550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420" customFormat="1" ht="30" customHeight="1" x14ac:dyDescent="0.25">
      <c r="A1606" s="2011" t="s">
        <v>20</v>
      </c>
      <c r="B1606" s="2012"/>
      <c r="C1606" s="125"/>
      <c r="D1606" s="1027"/>
      <c r="E1606" s="1027"/>
      <c r="F1606" s="896"/>
      <c r="G1606" s="1422">
        <v>2607.6800000000003</v>
      </c>
      <c r="H1606" s="1422">
        <f t="shared" ref="H1606:L1606" si="993">SUM(H1599:H1605)</f>
        <v>0</v>
      </c>
      <c r="I1606" s="1422">
        <f t="shared" si="993"/>
        <v>0</v>
      </c>
      <c r="J1606" s="1422">
        <f t="shared" si="993"/>
        <v>366.82</v>
      </c>
      <c r="K1606" s="1422">
        <f t="shared" si="993"/>
        <v>0</v>
      </c>
      <c r="L1606" s="1422">
        <f t="shared" si="993"/>
        <v>2240.86</v>
      </c>
      <c r="M1606" s="889">
        <f>IFERROR(R1606/$S$2,"")</f>
        <v>195.32444444444445</v>
      </c>
      <c r="N1606" s="854">
        <f>(L1606/M1606)</f>
        <v>11.472501592791481</v>
      </c>
      <c r="O1606" s="889">
        <f>IFERROR(SUMIF(ETM!$A:$A,$Q1606,ETM!$E:$E),"")</f>
        <v>138.99999999999997</v>
      </c>
      <c r="P1606" s="880">
        <f>IFERROR(L1606/O1606,0)</f>
        <v>16.121294964028781</v>
      </c>
      <c r="Q1606" s="814" t="s">
        <v>626</v>
      </c>
      <c r="R1606" s="785">
        <f>IFERROR(VLOOKUP($Q1606,'391'!$S:$Z,8,0),"")</f>
        <v>878.96</v>
      </c>
      <c r="S1606" s="786"/>
      <c r="T1606" s="787"/>
      <c r="U1606" s="787"/>
      <c r="V1606" s="787"/>
      <c r="W1606" s="785">
        <f>IFERROR(VLOOKUP($Q1606,'391'!$S:$AG,15,0),0)</f>
        <v>2802.36</v>
      </c>
      <c r="X1606" s="1090">
        <f t="shared" si="858"/>
        <v>-194.67999999999984</v>
      </c>
      <c r="Y1606" s="787"/>
      <c r="Z1606" s="791"/>
      <c r="AA1606" s="787"/>
      <c r="AB1606" s="787"/>
      <c r="AC1606" s="679"/>
      <c r="AD1606" s="550"/>
      <c r="AE1606" s="550"/>
      <c r="AF1606" s="550"/>
      <c r="AG1606" s="550"/>
      <c r="AH1606" s="550"/>
      <c r="AI1606" s="559"/>
      <c r="AJ1606" s="559"/>
      <c r="AK1606" s="559"/>
      <c r="AL1606" s="559"/>
      <c r="AM1606" s="559"/>
      <c r="AN1606" s="559"/>
      <c r="AO1606" s="559"/>
      <c r="AP1606" s="559"/>
      <c r="AQ1606" s="559"/>
      <c r="AR1606" s="559"/>
      <c r="AS1606" s="559"/>
    </row>
    <row r="1607" spans="1:45" s="6" customFormat="1" ht="30" hidden="1" customHeight="1" x14ac:dyDescent="0.25">
      <c r="A1607" s="2018" t="str">
        <f>IF(L1609=0,"",MAX($A$16:A1606)+1)</f>
        <v/>
      </c>
      <c r="B1607" s="2016" t="s">
        <v>98</v>
      </c>
      <c r="C1607" s="236" t="s">
        <v>191</v>
      </c>
      <c r="D1607" s="866" t="s">
        <v>10</v>
      </c>
      <c r="E1607" s="1113">
        <v>41757</v>
      </c>
      <c r="F1607" s="71">
        <f>$L$7-E1607</f>
        <v>4519</v>
      </c>
      <c r="G1607" s="64">
        <v>0</v>
      </c>
      <c r="H1607" s="64"/>
      <c r="I1607" s="64"/>
      <c r="J1607" s="1367"/>
      <c r="K1607" s="64"/>
      <c r="L1607" s="1534">
        <f t="shared" ref="L1607:L1623" si="994">+G1607+H1607+I1607-J1607-K1607</f>
        <v>0</v>
      </c>
      <c r="M1607" s="66"/>
      <c r="N1607" s="920"/>
      <c r="O1607" s="66"/>
      <c r="P1607" s="857"/>
      <c r="Q1607" s="795"/>
      <c r="R1607" s="785">
        <f>IFERROR(VLOOKUP($Q1607,'391'!$S:$Z,8,0),"")</f>
        <v>0</v>
      </c>
      <c r="S1607" s="786"/>
      <c r="T1607" s="787"/>
      <c r="U1607" s="787"/>
      <c r="V1607" s="787"/>
      <c r="W1607" s="785">
        <f>IFERROR(VLOOKUP($Q1607,'391'!$S:$AG,15,0),0)</f>
        <v>0</v>
      </c>
      <c r="X1607" s="1090">
        <f t="shared" si="858"/>
        <v>0</v>
      </c>
      <c r="Y1607" s="787"/>
      <c r="Z1607" s="791"/>
      <c r="AA1607" s="787"/>
      <c r="AB1607" s="787"/>
      <c r="AC1607" s="679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06" customFormat="1" ht="30" hidden="1" customHeight="1" x14ac:dyDescent="0.25">
      <c r="A1608" s="2010"/>
      <c r="B1608" s="2017"/>
      <c r="C1608" s="119" t="s">
        <v>46</v>
      </c>
      <c r="D1608" s="884" t="s">
        <v>10</v>
      </c>
      <c r="E1608" s="1113">
        <v>41751</v>
      </c>
      <c r="F1608" s="71">
        <f>$L$7-E1608</f>
        <v>4525</v>
      </c>
      <c r="G1608" s="37">
        <v>0</v>
      </c>
      <c r="H1608" s="37"/>
      <c r="I1608" s="37"/>
      <c r="J1608" s="1385"/>
      <c r="K1608" s="37"/>
      <c r="L1608" s="1534">
        <f t="shared" si="994"/>
        <v>0</v>
      </c>
      <c r="M1608" s="40"/>
      <c r="N1608" s="84"/>
      <c r="O1608" s="40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si="858"/>
        <v>0</v>
      </c>
      <c r="Y1608" s="787"/>
      <c r="Z1608" s="791"/>
      <c r="AA1608" s="787"/>
      <c r="AB1608" s="787"/>
      <c r="AC1608" s="550"/>
      <c r="AD1608" s="679"/>
      <c r="AE1608" s="679"/>
      <c r="AF1608" s="679"/>
      <c r="AG1608" s="679"/>
      <c r="AH1608" s="679"/>
      <c r="AI1608" s="682"/>
      <c r="AJ1608" s="682"/>
      <c r="AK1608" s="682"/>
      <c r="AL1608" s="682"/>
      <c r="AM1608" s="682"/>
      <c r="AN1608" s="682"/>
      <c r="AO1608" s="682"/>
      <c r="AP1608" s="682"/>
      <c r="AQ1608" s="682"/>
      <c r="AR1608" s="682"/>
      <c r="AS1608" s="682"/>
    </row>
    <row r="1609" spans="1:45" s="420" customFormat="1" ht="30" hidden="1" customHeight="1" x14ac:dyDescent="0.25">
      <c r="A1609" s="2011" t="s">
        <v>21</v>
      </c>
      <c r="B1609" s="2012"/>
      <c r="C1609" s="125"/>
      <c r="D1609" s="1027"/>
      <c r="E1609" s="1027"/>
      <c r="F1609" s="896"/>
      <c r="G1609" s="1422">
        <v>0</v>
      </c>
      <c r="H1609" s="1422">
        <f>SUM(H1607:H1608)</f>
        <v>0</v>
      </c>
      <c r="I1609" s="1422">
        <f>SUM(I1607:I1608)</f>
        <v>0</v>
      </c>
      <c r="J1609" s="1422">
        <f>SUM(J1607:J1608)</f>
        <v>0</v>
      </c>
      <c r="K1609" s="1422"/>
      <c r="L1609" s="1534">
        <f t="shared" si="994"/>
        <v>0</v>
      </c>
      <c r="M1609" s="889"/>
      <c r="N1609" s="854" t="e">
        <f>(L1609/M1609)/1000</f>
        <v>#DIV/0!</v>
      </c>
      <c r="O1609" s="889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58"/>
        <v>0</v>
      </c>
      <c r="Y1609" s="787"/>
      <c r="Z1609" s="791"/>
      <c r="AA1609" s="787"/>
      <c r="AB1609" s="787"/>
      <c r="AC1609" s="679"/>
      <c r="AD1609" s="550"/>
      <c r="AE1609" s="550"/>
      <c r="AF1609" s="550"/>
      <c r="AG1609" s="550"/>
      <c r="AH1609" s="550"/>
      <c r="AI1609" s="559"/>
      <c r="AJ1609" s="559"/>
      <c r="AK1609" s="559"/>
      <c r="AL1609" s="559"/>
      <c r="AM1609" s="559"/>
      <c r="AN1609" s="559"/>
      <c r="AO1609" s="559"/>
      <c r="AP1609" s="559"/>
      <c r="AQ1609" s="559"/>
      <c r="AR1609" s="559"/>
      <c r="AS1609" s="559"/>
    </row>
    <row r="1610" spans="1:45" s="6" customFormat="1" ht="30" hidden="1" customHeight="1" x14ac:dyDescent="0.25">
      <c r="A1610" s="2018" t="str">
        <f>IF(L1612=0,"",MAX($A$16:A1609)+1)</f>
        <v/>
      </c>
      <c r="B1610" s="2016" t="s">
        <v>99</v>
      </c>
      <c r="C1610" s="165" t="s">
        <v>188</v>
      </c>
      <c r="D1610" s="866" t="s">
        <v>10</v>
      </c>
      <c r="E1610" s="1113">
        <v>41751</v>
      </c>
      <c r="F1610" s="71">
        <f>$L$7-E1610</f>
        <v>4525</v>
      </c>
      <c r="G1610" s="64">
        <v>0</v>
      </c>
      <c r="H1610" s="64"/>
      <c r="I1610" s="64"/>
      <c r="J1610" s="1378"/>
      <c r="K1610" s="63"/>
      <c r="L1610" s="1534">
        <f t="shared" si="994"/>
        <v>0</v>
      </c>
      <c r="M1610" s="20"/>
      <c r="N1610" s="196"/>
      <c r="O1610" s="2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58"/>
        <v>0</v>
      </c>
      <c r="Y1610" s="787"/>
      <c r="Z1610" s="791"/>
      <c r="AA1610" s="787"/>
      <c r="AB1610" s="787"/>
      <c r="AC1610" s="679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ht="30" hidden="1" customHeight="1" x14ac:dyDescent="0.25">
      <c r="A1611" s="2010"/>
      <c r="B1611" s="2017"/>
      <c r="C1611" s="151" t="s">
        <v>46</v>
      </c>
      <c r="D1611" s="884" t="s">
        <v>10</v>
      </c>
      <c r="E1611" s="1113">
        <v>41751</v>
      </c>
      <c r="F1611" s="71">
        <f>$L$7-E1611</f>
        <v>4525</v>
      </c>
      <c r="G1611" s="58">
        <v>0</v>
      </c>
      <c r="H1611" s="58"/>
      <c r="I1611" s="58"/>
      <c r="J1611" s="1369"/>
      <c r="K1611" s="37"/>
      <c r="L1611" s="1534">
        <f t="shared" si="994"/>
        <v>0</v>
      </c>
      <c r="M1611" s="45"/>
      <c r="N1611" s="162"/>
      <c r="O1611" s="45"/>
      <c r="P1611" s="857"/>
      <c r="Q1611" s="795"/>
      <c r="R1611" s="785">
        <f>IFERROR(VLOOKUP($Q1611,'391'!$S:$Z,8,0),"")</f>
        <v>0</v>
      </c>
      <c r="U1611" s="787"/>
      <c r="V1611" s="787"/>
      <c r="W1611" s="785">
        <f>IFERROR(VLOOKUP($Q1611,'391'!$S:$AG,15,0),0)</f>
        <v>0</v>
      </c>
      <c r="X1611" s="1090">
        <f t="shared" si="858"/>
        <v>0</v>
      </c>
      <c r="Y1611" s="787"/>
      <c r="Z1611" s="791"/>
      <c r="AA1611" s="787"/>
      <c r="AB1611" s="787"/>
      <c r="AC1611" s="550"/>
    </row>
    <row r="1612" spans="1:45" s="420" customFormat="1" ht="30" hidden="1" customHeight="1" x14ac:dyDescent="0.25">
      <c r="A1612" s="2011" t="s">
        <v>22</v>
      </c>
      <c r="B1612" s="2012"/>
      <c r="C1612" s="125"/>
      <c r="D1612" s="1027"/>
      <c r="E1612" s="1027"/>
      <c r="F1612" s="896"/>
      <c r="G1612" s="1422">
        <v>0</v>
      </c>
      <c r="H1612" s="1422">
        <f>SUM(H1610:H1611)</f>
        <v>0</v>
      </c>
      <c r="I1612" s="1422">
        <f>SUM(I1610:I1611)</f>
        <v>0</v>
      </c>
      <c r="J1612" s="1422">
        <f>SUM(J1610:J1611)</f>
        <v>0</v>
      </c>
      <c r="K1612" s="1422"/>
      <c r="L1612" s="1534">
        <f t="shared" si="994"/>
        <v>0</v>
      </c>
      <c r="M1612" s="889"/>
      <c r="N1612" s="366" t="e">
        <f>(L1612/M1612)/1000</f>
        <v>#DIV/0!</v>
      </c>
      <c r="O1612" s="889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ref="X1612:X1672" si="995">G1612-W1612</f>
        <v>0</v>
      </c>
      <c r="Y1612" s="787"/>
      <c r="Z1612" s="791"/>
      <c r="AA1612" s="787"/>
      <c r="AB1612" s="787"/>
      <c r="AC1612" s="679"/>
      <c r="AD1612" s="550"/>
      <c r="AE1612" s="550"/>
      <c r="AF1612" s="550"/>
      <c r="AG1612" s="550"/>
      <c r="AH1612" s="550"/>
      <c r="AI1612" s="559"/>
      <c r="AJ1612" s="559"/>
      <c r="AK1612" s="559"/>
      <c r="AL1612" s="559"/>
      <c r="AM1612" s="559"/>
      <c r="AN1612" s="559"/>
      <c r="AO1612" s="559"/>
      <c r="AP1612" s="559"/>
      <c r="AQ1612" s="559"/>
      <c r="AR1612" s="559"/>
      <c r="AS1612" s="559"/>
    </row>
    <row r="1613" spans="1:45" s="6" customFormat="1" ht="30" customHeight="1" x14ac:dyDescent="0.25">
      <c r="A1613" s="2018">
        <f>IF(L1624=0,"",MAX($A$16:A1612)+1)</f>
        <v>115</v>
      </c>
      <c r="B1613" s="770" t="s">
        <v>1958</v>
      </c>
      <c r="C1613" s="769" t="s">
        <v>1855</v>
      </c>
      <c r="D1613" s="866" t="s">
        <v>10</v>
      </c>
      <c r="E1613" s="1122">
        <v>46262</v>
      </c>
      <c r="F1613" s="71">
        <f t="shared" ref="F1613:F1615" si="996">$L$7-E1613</f>
        <v>14</v>
      </c>
      <c r="G1613" s="63">
        <v>1800</v>
      </c>
      <c r="H1613" s="63"/>
      <c r="I1613" s="63"/>
      <c r="J1613" s="1378"/>
      <c r="K1613" s="64">
        <f>IFERROR(SUMIF(INTAKE!$A:$A,$T1613,INTAKE!$P:$P),0)</f>
        <v>0</v>
      </c>
      <c r="L1613" s="1703">
        <f t="shared" si="994"/>
        <v>1800</v>
      </c>
      <c r="M1613" s="20"/>
      <c r="N1613" s="920"/>
      <c r="O1613" s="20"/>
      <c r="P1613" s="954"/>
      <c r="Q1613" s="795"/>
      <c r="R1613" s="785">
        <f>IFERROR(VLOOKUP($Q1613,'391'!$S:$Z,8,0),"")</f>
        <v>0</v>
      </c>
      <c r="S1613" s="786"/>
      <c r="T1613" s="787" t="str">
        <f t="shared" ref="T1613:T1623" si="997">$Q$1624&amp;C1613&amp;E1613</f>
        <v>Premix 52MX2.246262</v>
      </c>
      <c r="U1613" s="787"/>
      <c r="V1613" s="787"/>
      <c r="W1613" s="785">
        <f>IFERROR(VLOOKUP($Q1613,'391'!$S:$AG,15,0),0)</f>
        <v>0</v>
      </c>
      <c r="X1613" s="1090">
        <f t="shared" si="995"/>
        <v>1800</v>
      </c>
      <c r="Y1613" s="787"/>
      <c r="Z1613" s="791"/>
      <c r="AA1613" s="787"/>
      <c r="AB1613" s="787"/>
      <c r="AC1613" s="679"/>
      <c r="AD1613" s="679"/>
      <c r="AE1613" s="679"/>
      <c r="AF1613" s="679"/>
      <c r="AG1613" s="679"/>
      <c r="AH1613" s="679"/>
      <c r="AI1613" s="682"/>
      <c r="AJ1613" s="682"/>
      <c r="AK1613" s="682"/>
      <c r="AL1613" s="682"/>
      <c r="AM1613" s="682"/>
      <c r="AN1613" s="682"/>
      <c r="AO1613" s="682"/>
      <c r="AP1613" s="682"/>
      <c r="AQ1613" s="682"/>
      <c r="AR1613" s="682"/>
      <c r="AS1613" s="682"/>
    </row>
    <row r="1614" spans="1:45" s="6" customFormat="1" ht="30" customHeight="1" x14ac:dyDescent="0.25">
      <c r="A1614" s="2010"/>
      <c r="B1614" s="770" t="s">
        <v>1991</v>
      </c>
      <c r="C1614" s="769" t="s">
        <v>1907</v>
      </c>
      <c r="D1614" s="866" t="s">
        <v>10</v>
      </c>
      <c r="E1614" s="1122">
        <v>46270</v>
      </c>
      <c r="F1614" s="71">
        <f t="shared" si="996"/>
        <v>6</v>
      </c>
      <c r="G1614" s="63">
        <v>1200</v>
      </c>
      <c r="H1614" s="63"/>
      <c r="I1614" s="63"/>
      <c r="J1614" s="1378"/>
      <c r="K1614" s="64">
        <f>IFERROR(SUMIF(INTAKE!$A:$A,$T1614,INTAKE!$P:$P),0)</f>
        <v>0</v>
      </c>
      <c r="L1614" s="1703">
        <f t="shared" si="994"/>
        <v>1200</v>
      </c>
      <c r="M1614" s="767"/>
      <c r="N1614" s="1469"/>
      <c r="O1614" s="768"/>
      <c r="P1614" s="1028"/>
      <c r="Q1614" s="795"/>
      <c r="R1614" s="785">
        <f>IFERROR(VLOOKUP($Q1614,'391'!$S:$Z,8,0),"")</f>
        <v>0</v>
      </c>
      <c r="S1614" s="786"/>
      <c r="T1614" s="787" t="str">
        <f t="shared" si="997"/>
        <v>Premix 52MX7.246270</v>
      </c>
      <c r="U1614" s="787"/>
      <c r="V1614" s="787"/>
      <c r="W1614" s="785">
        <f>IFERROR(VLOOKUP($Q1614,'391'!$S:$AG,15,0),0)</f>
        <v>0</v>
      </c>
      <c r="X1614" s="1090">
        <f t="shared" si="995"/>
        <v>1200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customHeight="1" x14ac:dyDescent="0.25">
      <c r="A1615" s="2010"/>
      <c r="B1615" s="770" t="s">
        <v>1991</v>
      </c>
      <c r="C1615" s="769" t="s">
        <v>1597</v>
      </c>
      <c r="D1615" s="866" t="s">
        <v>10</v>
      </c>
      <c r="E1615" s="1122">
        <v>46270</v>
      </c>
      <c r="F1615" s="71">
        <f t="shared" si="996"/>
        <v>6</v>
      </c>
      <c r="G1615" s="63">
        <v>2400</v>
      </c>
      <c r="H1615" s="63"/>
      <c r="I1615" s="63"/>
      <c r="J1615" s="1378"/>
      <c r="K1615" s="64">
        <f>IFERROR(SUMIF(INTAKE!$A:$A,$T1615,INTAKE!$P:$P),0)</f>
        <v>0</v>
      </c>
      <c r="L1615" s="1703">
        <f t="shared" si="994"/>
        <v>2400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997"/>
        <v>Premix 52MX6.246270</v>
      </c>
      <c r="U1615" s="787"/>
      <c r="V1615" s="787"/>
      <c r="W1615" s="785">
        <f>IFERROR(VLOOKUP($Q1615,'391'!$S:$AG,15,0),0)</f>
        <v>0</v>
      </c>
      <c r="X1615" s="1090">
        <f t="shared" si="995"/>
        <v>2400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10"/>
      <c r="B1616" s="770" t="s">
        <v>2241</v>
      </c>
      <c r="C1616" s="769" t="s">
        <v>1906</v>
      </c>
      <c r="D1616" s="866" t="s">
        <v>10</v>
      </c>
      <c r="E1616" s="1122">
        <v>46275</v>
      </c>
      <c r="F1616" s="71">
        <f t="shared" ref="F1616" si="998">$L$7-E1616</f>
        <v>1</v>
      </c>
      <c r="G1616" s="63">
        <v>2400</v>
      </c>
      <c r="H1616" s="63"/>
      <c r="I1616" s="63"/>
      <c r="J1616" s="1378"/>
      <c r="K1616" s="64">
        <f>IFERROR(SUMIF(INTAKE!$A:$A,$T1616,INTAKE!$P:$P),0)</f>
        <v>0</v>
      </c>
      <c r="L1616" s="1703">
        <f t="shared" si="994"/>
        <v>2400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97"/>
        <v>Premix 52MX4.246275</v>
      </c>
      <c r="U1616" s="787"/>
      <c r="V1616" s="787"/>
      <c r="W1616" s="785">
        <f>IFERROR(VLOOKUP($Q1616,'391'!$S:$AG,15,0),0)</f>
        <v>0</v>
      </c>
      <c r="X1616" s="1090">
        <f t="shared" si="995"/>
        <v>2400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hidden="1" customHeight="1" x14ac:dyDescent="0.25">
      <c r="A1617" s="2010"/>
      <c r="B1617" s="770" t="s">
        <v>1958</v>
      </c>
      <c r="C1617" s="769"/>
      <c r="D1617" s="866" t="s">
        <v>10</v>
      </c>
      <c r="E1617" s="1122">
        <v>46262</v>
      </c>
      <c r="F1617" s="71">
        <f t="shared" ref="F1617" si="999">$L$7-E1617</f>
        <v>14</v>
      </c>
      <c r="G1617" s="63">
        <v>0</v>
      </c>
      <c r="H1617" s="63"/>
      <c r="I1617" s="63"/>
      <c r="J1617" s="1378"/>
      <c r="K1617" s="64">
        <f>IFERROR(SUMIF(INTAKE!$A:$A,$T1617,INTAKE!$P:$P),0)</f>
        <v>0</v>
      </c>
      <c r="L1617" s="1703">
        <f t="shared" si="994"/>
        <v>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997"/>
        <v>Premix 52M46262</v>
      </c>
      <c r="U1617" s="787"/>
      <c r="V1617" s="787"/>
      <c r="W1617" s="785">
        <f>IFERROR(VLOOKUP($Q1617,'391'!$S:$AG,15,0),0)</f>
        <v>0</v>
      </c>
      <c r="X1617" s="1090">
        <f t="shared" si="995"/>
        <v>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10"/>
      <c r="B1618" s="770" t="s">
        <v>1806</v>
      </c>
      <c r="C1618" s="769"/>
      <c r="D1618" s="866" t="s">
        <v>10</v>
      </c>
      <c r="E1618" s="1122">
        <v>46129</v>
      </c>
      <c r="F1618" s="71">
        <f t="shared" ref="F1618" si="1000">$L$7-E1618</f>
        <v>147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3">
        <f t="shared" si="994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997"/>
        <v>Premix 52M46129</v>
      </c>
      <c r="U1618" s="787"/>
      <c r="V1618" s="787"/>
      <c r="W1618" s="785">
        <f>IFERROR(VLOOKUP($Q1618,'391'!$S:$AG,15,0),0)</f>
        <v>0</v>
      </c>
      <c r="X1618" s="1090">
        <f t="shared" si="995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10"/>
      <c r="B1619" s="770" t="s">
        <v>1722</v>
      </c>
      <c r="C1619" s="769"/>
      <c r="D1619" s="866" t="s">
        <v>10</v>
      </c>
      <c r="E1619" s="1122">
        <v>46022</v>
      </c>
      <c r="F1619" s="71">
        <f t="shared" ref="F1619" si="1001">$L$7-E1619</f>
        <v>254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3">
        <f t="shared" si="994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997"/>
        <v>Premix 52M46022</v>
      </c>
      <c r="U1619" s="787"/>
      <c r="V1619" s="787"/>
      <c r="W1619" s="785">
        <f>IFERROR(VLOOKUP($Q1619,'391'!$S:$AG,15,0),0)</f>
        <v>0</v>
      </c>
      <c r="X1619" s="1090">
        <f t="shared" si="995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10"/>
      <c r="B1620" s="770" t="s">
        <v>1538</v>
      </c>
      <c r="C1620" s="769"/>
      <c r="D1620" s="866" t="s">
        <v>10</v>
      </c>
      <c r="E1620" s="1122">
        <v>45674</v>
      </c>
      <c r="F1620" s="71">
        <f t="shared" ref="F1620" si="1002">$L$7-E1620</f>
        <v>602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3">
        <f t="shared" si="994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997"/>
        <v>Premix 52M45674</v>
      </c>
      <c r="U1620" s="787"/>
      <c r="V1620" s="787"/>
      <c r="W1620" s="785">
        <f>IFERROR(VLOOKUP($Q1620,'391'!$S:$AG,15,0),0)</f>
        <v>0</v>
      </c>
      <c r="X1620" s="1090">
        <f t="shared" si="995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10"/>
      <c r="B1621" s="770" t="s">
        <v>1540</v>
      </c>
      <c r="C1621" s="769"/>
      <c r="D1621" s="866" t="s">
        <v>10</v>
      </c>
      <c r="E1621" s="1122">
        <v>45680</v>
      </c>
      <c r="F1621" s="71">
        <f t="shared" ref="F1621" si="1003">$L$7-E1621</f>
        <v>596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3">
        <f t="shared" si="994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997"/>
        <v>Premix 52M45680</v>
      </c>
      <c r="U1621" s="787"/>
      <c r="V1621" s="787"/>
      <c r="W1621" s="785">
        <f>IFERROR(VLOOKUP($Q1621,'391'!$S:$AG,15,0),0)</f>
        <v>0</v>
      </c>
      <c r="X1621" s="1090">
        <f t="shared" si="995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10"/>
      <c r="B1622" s="770" t="s">
        <v>1393</v>
      </c>
      <c r="C1622" s="769"/>
      <c r="D1622" s="866" t="s">
        <v>10</v>
      </c>
      <c r="E1622" s="1122">
        <v>45317</v>
      </c>
      <c r="F1622" s="71">
        <f t="shared" ref="F1622:F1623" si="1004">$L$7-E1622</f>
        <v>959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534">
        <f t="shared" si="994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997"/>
        <v>Premix 52M45317</v>
      </c>
      <c r="U1622" s="787"/>
      <c r="V1622" s="787"/>
      <c r="W1622" s="785">
        <f>IFERROR(VLOOKUP($Q1622,'391'!$S:$AG,15,0),0)</f>
        <v>0</v>
      </c>
      <c r="X1622" s="1090">
        <f t="shared" si="995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ht="30" customHeight="1" x14ac:dyDescent="0.25">
      <c r="A1623" s="2010"/>
      <c r="B1623" s="1014" t="s">
        <v>1941</v>
      </c>
      <c r="C1623" s="149" t="s">
        <v>46</v>
      </c>
      <c r="D1623" s="884" t="s">
        <v>10</v>
      </c>
      <c r="E1623" s="1123">
        <v>46254</v>
      </c>
      <c r="F1623" s="71">
        <f t="shared" si="1004"/>
        <v>22</v>
      </c>
      <c r="G1623" s="56">
        <v>664.55999999999972</v>
      </c>
      <c r="H1623" s="56"/>
      <c r="I1623" s="56">
        <f>+SUM(K1613:K1618)</f>
        <v>0</v>
      </c>
      <c r="J1623" s="1369">
        <f>usage!I233</f>
        <v>374.12</v>
      </c>
      <c r="K1623" s="64">
        <f>IFERROR(SUMIF(INTAKE!$A:$A,$T1623,INTAKE!$P:$P),0)</f>
        <v>0</v>
      </c>
      <c r="L1623" s="1534">
        <f t="shared" si="994"/>
        <v>290.43999999999971</v>
      </c>
      <c r="M1623" s="45"/>
      <c r="N1623" s="162"/>
      <c r="O1623" s="45"/>
      <c r="P1623" s="857"/>
      <c r="Q1623" s="795"/>
      <c r="R1623" s="785">
        <f>IFERROR(VLOOKUP($Q1623,'391'!$S:$Z,8,0),"")</f>
        <v>0</v>
      </c>
      <c r="T1623" s="787" t="str">
        <f t="shared" si="997"/>
        <v>Premix 52MFeedmill46254</v>
      </c>
      <c r="U1623" s="787"/>
      <c r="V1623" s="787"/>
      <c r="W1623" s="785">
        <f>IFERROR(VLOOKUP($Q1623,'391'!$S:$AG,15,0),0)</f>
        <v>0</v>
      </c>
      <c r="X1623" s="1090">
        <f t="shared" si="995"/>
        <v>664.55999999999972</v>
      </c>
      <c r="Y1623" s="787"/>
      <c r="Z1623" s="791"/>
      <c r="AA1623" s="787"/>
      <c r="AB1623" s="787"/>
      <c r="AC1623" s="550"/>
    </row>
    <row r="1624" spans="1:45" s="420" customFormat="1" ht="30" customHeight="1" x14ac:dyDescent="0.25">
      <c r="A1624" s="2011" t="s">
        <v>23</v>
      </c>
      <c r="B1624" s="2012"/>
      <c r="C1624" s="854"/>
      <c r="D1624" s="1027"/>
      <c r="E1624" s="1027"/>
      <c r="F1624" s="896"/>
      <c r="G1624" s="1422">
        <v>8464.56</v>
      </c>
      <c r="H1624" s="1422">
        <f t="shared" ref="H1624:L1624" si="1005">SUM(H1613:H1623)</f>
        <v>0</v>
      </c>
      <c r="I1624" s="1422">
        <f t="shared" si="1005"/>
        <v>0</v>
      </c>
      <c r="J1624" s="1422">
        <f t="shared" si="1005"/>
        <v>374.12</v>
      </c>
      <c r="K1624" s="1422">
        <f t="shared" si="1005"/>
        <v>0</v>
      </c>
      <c r="L1624" s="1422">
        <f t="shared" si="1005"/>
        <v>8090.44</v>
      </c>
      <c r="M1624" s="889">
        <f>IFERROR(R1624/$S$2,"")</f>
        <v>417.85777777777781</v>
      </c>
      <c r="N1624" s="854">
        <f>IFERROR(L1624/M1624,0)</f>
        <v>19.361707332638428</v>
      </c>
      <c r="O1624" s="889">
        <f>IFERROR(SUMIF(ETM!$A:$A,$Q1624,ETM!$E:$E),"")</f>
        <v>351.83333333333337</v>
      </c>
      <c r="P1624" s="880">
        <f>IFERROR(L1624/O1624,0)</f>
        <v>22.995092373282802</v>
      </c>
      <c r="Q1624" s="814" t="s">
        <v>921</v>
      </c>
      <c r="R1624" s="785">
        <f>IFERROR(VLOOKUP($Q1624,'391'!$S:$Z,8,0),"")</f>
        <v>1880.3600000000001</v>
      </c>
      <c r="S1624" s="786"/>
      <c r="T1624" s="787"/>
      <c r="U1624" s="787"/>
      <c r="V1624" s="787"/>
      <c r="W1624" s="785">
        <f>IFERROR(VLOOKUP($Q1624,'391'!$S:$AG,15,0),0)</f>
        <v>7528.7</v>
      </c>
      <c r="X1624" s="1090">
        <f t="shared" si="995"/>
        <v>935.85999999999967</v>
      </c>
      <c r="Y1624" s="787"/>
      <c r="Z1624" s="791"/>
      <c r="AA1624" s="787"/>
      <c r="AB1624" s="787"/>
      <c r="AC1624" s="679"/>
      <c r="AD1624" s="550"/>
      <c r="AE1624" s="550"/>
      <c r="AF1624" s="550"/>
      <c r="AG1624" s="550"/>
      <c r="AH1624" s="550"/>
      <c r="AI1624" s="559"/>
      <c r="AJ1624" s="559"/>
      <c r="AK1624" s="559"/>
      <c r="AL1624" s="559"/>
      <c r="AM1624" s="559"/>
      <c r="AN1624" s="559"/>
      <c r="AO1624" s="559"/>
      <c r="AP1624" s="559"/>
      <c r="AQ1624" s="559"/>
      <c r="AR1624" s="559"/>
      <c r="AS1624" s="559"/>
    </row>
    <row r="1625" spans="1:45" s="6" customFormat="1" ht="30" hidden="1" customHeight="1" x14ac:dyDescent="0.25">
      <c r="A1625" s="2018" t="str">
        <f>IF(L1627=0,"",MAX($A$16:A1624)+1)</f>
        <v/>
      </c>
      <c r="B1625" s="2083" t="s">
        <v>143</v>
      </c>
      <c r="C1625" s="124" t="s">
        <v>187</v>
      </c>
      <c r="D1625" s="1115" t="s">
        <v>10</v>
      </c>
      <c r="E1625" s="1107">
        <v>44414</v>
      </c>
      <c r="F1625" s="71">
        <f>$L$7-E1625</f>
        <v>1862</v>
      </c>
      <c r="G1625" s="1423">
        <v>0</v>
      </c>
      <c r="H1625" s="12"/>
      <c r="I1625" s="12"/>
      <c r="J1625" s="1368"/>
      <c r="K1625" s="12"/>
      <c r="L1625" s="1534">
        <f t="shared" ref="L1625:L1634" si="1006">+G1625+H1625+I1625-J1625-K1625</f>
        <v>0</v>
      </c>
      <c r="M1625" s="147"/>
      <c r="N1625" s="248"/>
      <c r="O1625" s="147"/>
      <c r="P1625" s="857"/>
      <c r="Q1625" s="795"/>
      <c r="R1625" s="785">
        <f>IFERROR(VLOOKUP($Q1625,'391'!$S:$Z,8,0),"")</f>
        <v>0</v>
      </c>
      <c r="S1625" s="786"/>
      <c r="T1625" s="787"/>
      <c r="U1625" s="787"/>
      <c r="V1625" s="787"/>
      <c r="W1625" s="785">
        <f>IFERROR(VLOOKUP($Q1625,'391'!$S:$AG,15,0),0)</f>
        <v>0</v>
      </c>
      <c r="X1625" s="1090">
        <f t="shared" si="995"/>
        <v>0</v>
      </c>
      <c r="Y1625" s="787"/>
      <c r="Z1625" s="791"/>
      <c r="AA1625" s="787"/>
      <c r="AB1625" s="787"/>
      <c r="AC1625" s="679"/>
      <c r="AD1625" s="679"/>
      <c r="AE1625" s="679"/>
      <c r="AF1625" s="679"/>
      <c r="AG1625" s="679"/>
      <c r="AH1625" s="679"/>
      <c r="AI1625" s="682"/>
      <c r="AJ1625" s="682"/>
      <c r="AK1625" s="682"/>
      <c r="AL1625" s="682"/>
      <c r="AM1625" s="682"/>
      <c r="AN1625" s="682"/>
      <c r="AO1625" s="682"/>
      <c r="AP1625" s="682"/>
      <c r="AQ1625" s="682"/>
      <c r="AR1625" s="682"/>
      <c r="AS1625" s="682"/>
    </row>
    <row r="1626" spans="1:45" s="406" customFormat="1" ht="30" hidden="1" customHeight="1" x14ac:dyDescent="0.25">
      <c r="A1626" s="2010"/>
      <c r="B1626" s="2200"/>
      <c r="C1626" s="43" t="s">
        <v>46</v>
      </c>
      <c r="D1626" s="1115" t="s">
        <v>10</v>
      </c>
      <c r="E1626" s="1107">
        <v>44414</v>
      </c>
      <c r="F1626" s="71">
        <f>$L$7-E1626</f>
        <v>1862</v>
      </c>
      <c r="G1626" s="37">
        <v>0</v>
      </c>
      <c r="H1626" s="37"/>
      <c r="I1626" s="37"/>
      <c r="J1626" s="1385"/>
      <c r="K1626" s="37"/>
      <c r="L1626" s="1534">
        <f t="shared" si="1006"/>
        <v>0</v>
      </c>
      <c r="M1626" s="40"/>
      <c r="N1626" s="84"/>
      <c r="O1626" s="40"/>
      <c r="P1626" s="857"/>
      <c r="Q1626" s="795"/>
      <c r="R1626" s="785">
        <f>IFERROR(VLOOKUP($Q1626,'391'!$S:$Z,8,0),"")</f>
        <v>0</v>
      </c>
      <c r="S1626" s="786"/>
      <c r="T1626" s="787"/>
      <c r="U1626" s="787"/>
      <c r="V1626" s="787"/>
      <c r="W1626" s="785">
        <f>IFERROR(VLOOKUP($Q1626,'391'!$S:$AG,15,0),0)</f>
        <v>0</v>
      </c>
      <c r="X1626" s="1090">
        <f t="shared" si="995"/>
        <v>0</v>
      </c>
      <c r="Y1626" s="787"/>
      <c r="Z1626" s="791"/>
      <c r="AA1626" s="787"/>
      <c r="AB1626" s="787"/>
      <c r="AC1626" s="687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344" customFormat="1" ht="30" hidden="1" customHeight="1" x14ac:dyDescent="0.25">
      <c r="A1627" s="2011" t="s">
        <v>144</v>
      </c>
      <c r="B1627" s="2012"/>
      <c r="C1627" s="185"/>
      <c r="D1627" s="1029"/>
      <c r="E1627" s="1029"/>
      <c r="F1627" s="896"/>
      <c r="G1627" s="1424">
        <v>0</v>
      </c>
      <c r="H1627" s="1425">
        <f>SUM(H1625:H1626)</f>
        <v>0</v>
      </c>
      <c r="I1627" s="1425">
        <f>SUM(I1625:I1626)</f>
        <v>0</v>
      </c>
      <c r="J1627" s="1426">
        <f>SUM(J1625:J1626)</f>
        <v>0</v>
      </c>
      <c r="K1627" s="1425"/>
      <c r="L1627" s="1534">
        <f t="shared" si="1006"/>
        <v>0</v>
      </c>
      <c r="M1627" s="889"/>
      <c r="N1627" s="366"/>
      <c r="O1627" s="889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995"/>
        <v>0</v>
      </c>
      <c r="Y1627" s="787"/>
      <c r="Z1627" s="791"/>
      <c r="AA1627" s="787"/>
      <c r="AB1627" s="787"/>
      <c r="AC1627" s="679"/>
      <c r="AD1627" s="687"/>
      <c r="AE1627" s="687"/>
      <c r="AF1627" s="687"/>
      <c r="AG1627" s="687"/>
      <c r="AH1627" s="687"/>
      <c r="AI1627" s="709"/>
      <c r="AJ1627" s="709"/>
      <c r="AK1627" s="709"/>
      <c r="AL1627" s="709"/>
      <c r="AM1627" s="709"/>
      <c r="AN1627" s="709"/>
      <c r="AO1627" s="709"/>
      <c r="AP1627" s="709"/>
      <c r="AQ1627" s="709"/>
      <c r="AR1627" s="709"/>
      <c r="AS1627" s="709"/>
    </row>
    <row r="1628" spans="1:45" s="6" customFormat="1" ht="30" hidden="1" customHeight="1" x14ac:dyDescent="0.25">
      <c r="A1628" s="2010">
        <f>IF(L1635=0,"",MAX($A$16:A1627)+1)</f>
        <v>116</v>
      </c>
      <c r="B1628" s="390" t="s">
        <v>1581</v>
      </c>
      <c r="C1628" s="239"/>
      <c r="D1628" s="866" t="s">
        <v>10</v>
      </c>
      <c r="E1628" s="1124">
        <v>45787</v>
      </c>
      <c r="F1628" s="71">
        <f t="shared" ref="F1628:F1631" si="1007">$L$7-E1628</f>
        <v>489</v>
      </c>
      <c r="G1628" s="1423">
        <v>0</v>
      </c>
      <c r="H1628" s="64"/>
      <c r="I1628" s="11"/>
      <c r="J1628" s="1378"/>
      <c r="K1628" s="64">
        <f>IFERROR(SUMIF(INTAKE!$A:$A,$T1628,INTAKE!$P:$P),0)</f>
        <v>0</v>
      </c>
      <c r="L1628" s="1703">
        <f t="shared" si="1006"/>
        <v>0</v>
      </c>
      <c r="M1628" s="147"/>
      <c r="N1628" s="248"/>
      <c r="O1628" s="147"/>
      <c r="P1628" s="748"/>
      <c r="Q1628" s="795"/>
      <c r="R1628" s="785">
        <f>IFERROR(VLOOKUP($Q1628,'391'!$S:$Z,8,0),"")</f>
        <v>0</v>
      </c>
      <c r="S1628" s="786"/>
      <c r="T1628" s="787" t="str">
        <f t="shared" ref="T1628:T1634" si="1008">$Q$1635&amp;C1628&amp;E1628</f>
        <v>Premix 10V45787</v>
      </c>
      <c r="U1628" s="787"/>
      <c r="V1628" s="787"/>
      <c r="W1628" s="785">
        <f>IFERROR(VLOOKUP($Q1628,'391'!$S:$AG,15,0),0)</f>
        <v>0</v>
      </c>
      <c r="X1628" s="1090">
        <f t="shared" si="995"/>
        <v>0</v>
      </c>
      <c r="Y1628" s="787"/>
      <c r="Z1628" s="791"/>
      <c r="AA1628" s="787"/>
      <c r="AB1628" s="787"/>
      <c r="AC1628" s="679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6" customFormat="1" ht="30" customHeight="1" x14ac:dyDescent="0.25">
      <c r="A1629" s="2010"/>
      <c r="B1629" s="390" t="s">
        <v>1986</v>
      </c>
      <c r="C1629" s="239" t="s">
        <v>1863</v>
      </c>
      <c r="D1629" s="866" t="s">
        <v>10</v>
      </c>
      <c r="E1629" s="1124">
        <v>46270</v>
      </c>
      <c r="F1629" s="71">
        <f t="shared" ref="F1629" si="1009">$L$7-E1629</f>
        <v>6</v>
      </c>
      <c r="G1629" s="1423">
        <v>1050</v>
      </c>
      <c r="H1629" s="64"/>
      <c r="I1629" s="11"/>
      <c r="J1629" s="1378"/>
      <c r="K1629" s="64">
        <f>IFERROR(SUMIF(INTAKE!$A:$A,$T1629,INTAKE!$P:$P),0)</f>
        <v>0</v>
      </c>
      <c r="L1629" s="1703">
        <f t="shared" si="1006"/>
        <v>1050</v>
      </c>
      <c r="M1629" s="101"/>
      <c r="N1629" s="249"/>
      <c r="O1629" s="101"/>
      <c r="P1629" s="750"/>
      <c r="Q1629" s="795"/>
      <c r="R1629" s="785">
        <f>IFERROR(VLOOKUP($Q1629,'391'!$S:$Z,8,0),"")</f>
        <v>0</v>
      </c>
      <c r="S1629" s="786"/>
      <c r="T1629" s="787" t="str">
        <f t="shared" si="1008"/>
        <v>Premix 10VZ1.346270</v>
      </c>
      <c r="U1629" s="787"/>
      <c r="V1629" s="787"/>
      <c r="W1629" s="785">
        <f>IFERROR(VLOOKUP($Q1629,'391'!$S:$AG,15,0),0)</f>
        <v>0</v>
      </c>
      <c r="X1629" s="1090">
        <f t="shared" si="995"/>
        <v>1050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6" customFormat="1" ht="30" customHeight="1" x14ac:dyDescent="0.25">
      <c r="A1630" s="2010"/>
      <c r="B1630" s="390" t="s">
        <v>2237</v>
      </c>
      <c r="C1630" s="239" t="s">
        <v>1989</v>
      </c>
      <c r="D1630" s="866" t="s">
        <v>10</v>
      </c>
      <c r="E1630" s="1124">
        <v>46275</v>
      </c>
      <c r="F1630" s="71">
        <f t="shared" ref="F1630" si="1010">$L$7-E1630</f>
        <v>1</v>
      </c>
      <c r="G1630" s="1423">
        <v>900</v>
      </c>
      <c r="H1630" s="64"/>
      <c r="I1630" s="11"/>
      <c r="J1630" s="1378"/>
      <c r="K1630" s="64">
        <f>IFERROR(SUMIF(INTAKE!$A:$A,$T1630,INTAKE!$P:$P),0)</f>
        <v>0</v>
      </c>
      <c r="L1630" s="1703">
        <f t="shared" si="1006"/>
        <v>900</v>
      </c>
      <c r="M1630" s="101"/>
      <c r="N1630" s="249"/>
      <c r="O1630" s="101"/>
      <c r="P1630" s="750"/>
      <c r="Q1630" s="795"/>
      <c r="R1630" s="785">
        <f>IFERROR(VLOOKUP($Q1630,'391'!$S:$Z,8,0),"")</f>
        <v>0</v>
      </c>
      <c r="S1630" s="786"/>
      <c r="T1630" s="787" t="str">
        <f t="shared" si="1008"/>
        <v>Premix 10VX5.246275</v>
      </c>
      <c r="U1630" s="787"/>
      <c r="V1630" s="787"/>
      <c r="W1630" s="785">
        <f>IFERROR(VLOOKUP($Q1630,'391'!$S:$AG,15,0),0)</f>
        <v>0</v>
      </c>
      <c r="X1630" s="1090">
        <f t="shared" si="995"/>
        <v>900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406" customFormat="1" ht="30" hidden="1" customHeight="1" x14ac:dyDescent="0.25">
      <c r="A1631" s="2010"/>
      <c r="B1631" s="390" t="s">
        <v>1986</v>
      </c>
      <c r="C1631" s="239"/>
      <c r="D1631" s="866" t="s">
        <v>10</v>
      </c>
      <c r="E1631" s="1124">
        <v>46270</v>
      </c>
      <c r="F1631" s="71">
        <f t="shared" si="1007"/>
        <v>6</v>
      </c>
      <c r="G1631" s="1423">
        <v>0</v>
      </c>
      <c r="H1631" s="64"/>
      <c r="I1631" s="11"/>
      <c r="J1631" s="1378"/>
      <c r="K1631" s="64">
        <f>IFERROR(SUMIF(INTAKE!$A:$A,$T1631,INTAKE!$P:$P),0)</f>
        <v>0</v>
      </c>
      <c r="L1631" s="1703">
        <f t="shared" si="1006"/>
        <v>0</v>
      </c>
      <c r="M1631" s="40"/>
      <c r="N1631" s="40"/>
      <c r="O1631" s="40"/>
      <c r="P1631" s="736"/>
      <c r="Q1631" s="795"/>
      <c r="R1631" s="785">
        <f>IFERROR(VLOOKUP($Q1631,'391'!$S:$Z,8,0),"")</f>
        <v>0</v>
      </c>
      <c r="S1631" s="786"/>
      <c r="T1631" s="787" t="str">
        <f t="shared" si="1008"/>
        <v>Premix 10V46270</v>
      </c>
      <c r="U1631" s="787"/>
      <c r="V1631" s="787"/>
      <c r="W1631" s="785">
        <f>IFERROR(VLOOKUP($Q1631,'391'!$S:$AG,15,0),0)</f>
        <v>0</v>
      </c>
      <c r="X1631" s="1090">
        <f t="shared" si="995"/>
        <v>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hidden="1" customHeight="1" x14ac:dyDescent="0.25">
      <c r="A1632" s="2010"/>
      <c r="B1632" s="390" t="s">
        <v>1880</v>
      </c>
      <c r="C1632" s="239"/>
      <c r="D1632" s="866" t="s">
        <v>10</v>
      </c>
      <c r="E1632" s="1124">
        <v>46227</v>
      </c>
      <c r="F1632" s="71">
        <f t="shared" ref="F1632:F1634" si="1011">$L$7-E1632</f>
        <v>49</v>
      </c>
      <c r="G1632" s="1423">
        <v>0</v>
      </c>
      <c r="H1632" s="64"/>
      <c r="I1632" s="11"/>
      <c r="J1632" s="1378"/>
      <c r="K1632" s="64">
        <f>IFERROR(SUMIF(INTAKE!$A:$A,$T1632,INTAKE!$P:$P),0)</f>
        <v>0</v>
      </c>
      <c r="L1632" s="1534">
        <f t="shared" si="1006"/>
        <v>0</v>
      </c>
      <c r="M1632" s="23"/>
      <c r="N1632" s="40"/>
      <c r="O1632" s="40"/>
      <c r="P1632" s="736"/>
      <c r="Q1632" s="795"/>
      <c r="R1632" s="785">
        <f>IFERROR(VLOOKUP($Q1632,'391'!$S:$Z,8,0),"")</f>
        <v>0</v>
      </c>
      <c r="S1632" s="786"/>
      <c r="T1632" s="787" t="str">
        <f t="shared" si="1008"/>
        <v>Premix 10V46227</v>
      </c>
      <c r="U1632" s="787"/>
      <c r="V1632" s="787"/>
      <c r="W1632" s="785">
        <f>IFERROR(VLOOKUP($Q1632,'391'!$S:$AG,15,0),0)</f>
        <v>0</v>
      </c>
      <c r="X1632" s="1090">
        <f t="shared" si="995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6" customFormat="1" ht="30" hidden="1" customHeight="1" x14ac:dyDescent="0.25">
      <c r="A1633" s="2010"/>
      <c r="B1633" s="390" t="s">
        <v>1247</v>
      </c>
      <c r="C1633" s="239"/>
      <c r="D1633" s="866" t="s">
        <v>10</v>
      </c>
      <c r="E1633" s="1124">
        <v>44942</v>
      </c>
      <c r="F1633" s="71">
        <f t="shared" si="1011"/>
        <v>1334</v>
      </c>
      <c r="G1633" s="1423">
        <v>0</v>
      </c>
      <c r="H1633" s="64"/>
      <c r="I1633" s="1423"/>
      <c r="J1633" s="1378"/>
      <c r="K1633" s="64">
        <f>IFERROR(SUMIF(INTAKE!$A:$A,$T1633,INTAKE!$P:$P),0)</f>
        <v>0</v>
      </c>
      <c r="L1633" s="1534">
        <f t="shared" si="1006"/>
        <v>0</v>
      </c>
      <c r="M1633" s="23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08"/>
        <v>Premix 10V44942</v>
      </c>
      <c r="U1633" s="787"/>
      <c r="V1633" s="787"/>
      <c r="W1633" s="785">
        <f>IFERROR(VLOOKUP($Q1633,'391'!$S:$AG,15,0),0)</f>
        <v>0</v>
      </c>
      <c r="X1633" s="1090">
        <f t="shared" si="995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406" customFormat="1" ht="30" customHeight="1" x14ac:dyDescent="0.25">
      <c r="A1634" s="2010"/>
      <c r="B1634" s="1015" t="s">
        <v>1986</v>
      </c>
      <c r="C1634" s="159" t="s">
        <v>46</v>
      </c>
      <c r="D1634" s="884" t="s">
        <v>10</v>
      </c>
      <c r="E1634" s="1125">
        <v>46270</v>
      </c>
      <c r="F1634" s="71">
        <f t="shared" si="1011"/>
        <v>6</v>
      </c>
      <c r="G1634" s="1428">
        <v>587.45999999999992</v>
      </c>
      <c r="H1634" s="1214"/>
      <c r="I1634" s="1214">
        <f>+SUM(K1628:K1633)</f>
        <v>0</v>
      </c>
      <c r="J1634" s="1385">
        <f>+usage!I226</f>
        <v>281.88</v>
      </c>
      <c r="K1634" s="64">
        <f>IFERROR(SUMIF(INTAKE!$A:$A,$T1634,INTAKE!$P:$P),0)</f>
        <v>0</v>
      </c>
      <c r="L1634" s="1534">
        <f t="shared" si="1006"/>
        <v>305.57999999999993</v>
      </c>
      <c r="M1634" s="35"/>
      <c r="N1634" s="87"/>
      <c r="O1634" s="35"/>
      <c r="P1634" s="751"/>
      <c r="Q1634" s="795"/>
      <c r="R1634" s="785">
        <f>IFERROR(VLOOKUP($Q1634,'391'!$S:$Z,8,0),"")</f>
        <v>0</v>
      </c>
      <c r="S1634" s="786"/>
      <c r="T1634" s="787" t="str">
        <f t="shared" si="1008"/>
        <v>Premix 10VFeedmill46270</v>
      </c>
      <c r="U1634" s="787"/>
      <c r="V1634" s="787"/>
      <c r="W1634" s="785">
        <f>IFERROR(VLOOKUP($Q1634,'391'!$S:$AG,15,0),0)</f>
        <v>0</v>
      </c>
      <c r="X1634" s="1090">
        <f t="shared" si="995"/>
        <v>587.45999999999992</v>
      </c>
      <c r="Y1634" s="787"/>
      <c r="Z1634" s="791"/>
      <c r="AA1634" s="787"/>
      <c r="AB1634" s="787"/>
      <c r="AC1634" s="687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344" customFormat="1" ht="30" customHeight="1" x14ac:dyDescent="0.25">
      <c r="A1635" s="2011" t="s">
        <v>150</v>
      </c>
      <c r="B1635" s="2012"/>
      <c r="C1635" s="125"/>
      <c r="D1635" s="1027"/>
      <c r="E1635" s="1027"/>
      <c r="F1635" s="896"/>
      <c r="G1635" s="1422">
        <v>2537.46</v>
      </c>
      <c r="H1635" s="1422">
        <f t="shared" ref="H1635:L1635" si="1012">SUM(H1628:H1634)</f>
        <v>0</v>
      </c>
      <c r="I1635" s="1422">
        <f>SUM(I1628:I1634)</f>
        <v>0</v>
      </c>
      <c r="J1635" s="1422">
        <f t="shared" si="1012"/>
        <v>281.88</v>
      </c>
      <c r="K1635" s="1422">
        <f t="shared" si="1012"/>
        <v>0</v>
      </c>
      <c r="L1635" s="1422">
        <f t="shared" si="1012"/>
        <v>2255.58</v>
      </c>
      <c r="M1635" s="889">
        <f>IFERROR(R1635/$S$2,"")</f>
        <v>118.19999999999999</v>
      </c>
      <c r="N1635" s="366">
        <f>(L1635/M1635)</f>
        <v>19.082741116751269</v>
      </c>
      <c r="O1635" s="889">
        <f>IFERROR(SUMIF(ETM!$A:$A,$Q1635,ETM!$E:$E),"")</f>
        <v>103.83333333333333</v>
      </c>
      <c r="P1635" s="880">
        <f>IFERROR(L1635/O1635,0)</f>
        <v>21.723081861958267</v>
      </c>
      <c r="Q1635" s="814" t="s">
        <v>627</v>
      </c>
      <c r="R1635" s="785">
        <f>IFERROR(VLOOKUP($Q1635,'391'!$S:$Z,8,0),"")</f>
        <v>531.9</v>
      </c>
      <c r="S1635" s="786"/>
      <c r="T1635" s="787"/>
      <c r="U1635" s="787"/>
      <c r="V1635" s="787"/>
      <c r="W1635" s="785">
        <f>IFERROR(VLOOKUP($Q1635,'391'!$S:$AG,15,0),0)</f>
        <v>2362.98</v>
      </c>
      <c r="X1635" s="1090">
        <f t="shared" si="995"/>
        <v>174.48000000000002</v>
      </c>
      <c r="Y1635" s="787"/>
      <c r="Z1635" s="791"/>
      <c r="AA1635" s="787"/>
      <c r="AB1635" s="787"/>
      <c r="AC1635" s="687"/>
      <c r="AD1635" s="687"/>
      <c r="AE1635" s="687"/>
      <c r="AF1635" s="687"/>
      <c r="AG1635" s="687"/>
      <c r="AH1635" s="687"/>
      <c r="AI1635" s="709"/>
      <c r="AJ1635" s="709"/>
      <c r="AK1635" s="709"/>
      <c r="AL1635" s="709"/>
      <c r="AM1635" s="709"/>
      <c r="AN1635" s="709"/>
      <c r="AO1635" s="709"/>
      <c r="AP1635" s="709"/>
      <c r="AQ1635" s="709"/>
      <c r="AR1635" s="709"/>
      <c r="AS1635" s="709"/>
    </row>
    <row r="1636" spans="1:45" s="344" customFormat="1" ht="30" hidden="1" customHeight="1" x14ac:dyDescent="0.25">
      <c r="A1636" s="2010" t="str">
        <f>IF(L1642=0,"",MAX($A$16:A1635)+1)</f>
        <v/>
      </c>
      <c r="B1636" s="2017" t="s">
        <v>67</v>
      </c>
      <c r="C1636" s="150" t="s">
        <v>147</v>
      </c>
      <c r="D1636" s="1111" t="s">
        <v>10</v>
      </c>
      <c r="E1636" s="1116">
        <v>43083</v>
      </c>
      <c r="F1636" s="71">
        <f t="shared" ref="F1636:F1641" si="1013">$L$7-E1636</f>
        <v>3193</v>
      </c>
      <c r="G1636" s="12">
        <v>0</v>
      </c>
      <c r="H1636" s="56"/>
      <c r="I1636" s="63"/>
      <c r="J1636" s="1378"/>
      <c r="K1636" s="63"/>
      <c r="L1636" s="1534">
        <f t="shared" ref="L1636:L1664" si="1014">+G1636+H1636+I1636-J1636-K1636</f>
        <v>0</v>
      </c>
      <c r="M1636" s="147"/>
      <c r="N1636" s="248"/>
      <c r="O1636" s="147"/>
      <c r="P1636" s="857"/>
      <c r="Q1636" s="795"/>
      <c r="R1636" s="785">
        <f>IFERROR(VLOOKUP($Q1636,'391'!$S:$Z,8,0),"")</f>
        <v>0</v>
      </c>
      <c r="S1636" s="786"/>
      <c r="T1636" s="787"/>
      <c r="U1636" s="787"/>
      <c r="V1636" s="787"/>
      <c r="W1636" s="785">
        <f>IFERROR(VLOOKUP($Q1636,'391'!$S:$AG,15,0),0)</f>
        <v>0</v>
      </c>
      <c r="X1636" s="1090">
        <f t="shared" si="995"/>
        <v>0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344" customFormat="1" ht="30" hidden="1" customHeight="1" x14ac:dyDescent="0.25">
      <c r="A1637" s="2010"/>
      <c r="B1637" s="2017"/>
      <c r="C1637" s="150" t="s">
        <v>147</v>
      </c>
      <c r="D1637" s="866" t="s">
        <v>10</v>
      </c>
      <c r="E1637" s="1116">
        <v>43084</v>
      </c>
      <c r="F1637" s="71">
        <f t="shared" si="1013"/>
        <v>3192</v>
      </c>
      <c r="G1637" s="12">
        <v>0</v>
      </c>
      <c r="H1637" s="11"/>
      <c r="I1637" s="11"/>
      <c r="J1637" s="1388"/>
      <c r="K1637" s="11"/>
      <c r="L1637" s="1534">
        <f t="shared" si="1014"/>
        <v>0</v>
      </c>
      <c r="M1637" s="101"/>
      <c r="N1637" s="249"/>
      <c r="O1637" s="101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995"/>
        <v>0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10"/>
      <c r="B1638" s="2017"/>
      <c r="C1638" s="150" t="s">
        <v>147</v>
      </c>
      <c r="D1638" s="866" t="s">
        <v>10</v>
      </c>
      <c r="E1638" s="1116">
        <v>43085</v>
      </c>
      <c r="F1638" s="71">
        <f t="shared" si="1013"/>
        <v>3191</v>
      </c>
      <c r="G1638" s="12">
        <v>0</v>
      </c>
      <c r="H1638" s="56"/>
      <c r="I1638" s="63"/>
      <c r="J1638" s="1378"/>
      <c r="K1638" s="63"/>
      <c r="L1638" s="1534">
        <f t="shared" si="1014"/>
        <v>0</v>
      </c>
      <c r="M1638" s="101"/>
      <c r="N1638" s="249"/>
      <c r="O1638" s="101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95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10"/>
      <c r="B1639" s="2017"/>
      <c r="C1639" s="155" t="s">
        <v>46</v>
      </c>
      <c r="D1639" s="866" t="s">
        <v>10</v>
      </c>
      <c r="E1639" s="1116">
        <v>43086</v>
      </c>
      <c r="F1639" s="71">
        <f t="shared" si="1013"/>
        <v>3190</v>
      </c>
      <c r="G1639" s="56">
        <v>0</v>
      </c>
      <c r="H1639" s="56"/>
      <c r="I1639" s="56"/>
      <c r="J1639" s="1369"/>
      <c r="K1639" s="56"/>
      <c r="L1639" s="1534">
        <f t="shared" si="1014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95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10"/>
      <c r="B1640" s="2017"/>
      <c r="C1640" s="157"/>
      <c r="D1640" s="866" t="s">
        <v>10</v>
      </c>
      <c r="E1640" s="1116">
        <v>43087</v>
      </c>
      <c r="F1640" s="71">
        <f t="shared" si="1013"/>
        <v>3189</v>
      </c>
      <c r="G1640" s="56">
        <v>0</v>
      </c>
      <c r="H1640" s="56"/>
      <c r="I1640" s="56"/>
      <c r="J1640" s="1369"/>
      <c r="K1640" s="56"/>
      <c r="L1640" s="1534">
        <f t="shared" si="1014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95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421" customFormat="1" ht="30" hidden="1" customHeight="1" x14ac:dyDescent="0.25">
      <c r="A1641" s="2010"/>
      <c r="B1641" s="2198"/>
      <c r="C1641" s="156"/>
      <c r="D1641" s="1112" t="s">
        <v>10</v>
      </c>
      <c r="E1641" s="1116">
        <v>43088</v>
      </c>
      <c r="F1641" s="71">
        <f t="shared" si="1013"/>
        <v>3188</v>
      </c>
      <c r="G1641" s="37">
        <v>0</v>
      </c>
      <c r="H1641" s="37"/>
      <c r="I1641" s="37"/>
      <c r="J1641" s="1385"/>
      <c r="K1641" s="37"/>
      <c r="L1641" s="1534">
        <f t="shared" si="1014"/>
        <v>0</v>
      </c>
      <c r="M1641" s="40"/>
      <c r="N1641" s="84"/>
      <c r="O1641" s="40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95"/>
        <v>0</v>
      </c>
      <c r="Y1641" s="787"/>
      <c r="Z1641" s="791"/>
      <c r="AA1641" s="787"/>
      <c r="AB1641" s="787"/>
      <c r="AC1641" s="550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420" customFormat="1" ht="30" hidden="1" customHeight="1" x14ac:dyDescent="0.25">
      <c r="A1642" s="2011" t="s">
        <v>24</v>
      </c>
      <c r="B1642" s="2012"/>
      <c r="C1642" s="125"/>
      <c r="D1642" s="1027"/>
      <c r="E1642" s="1027"/>
      <c r="F1642" s="896"/>
      <c r="G1642" s="1429">
        <v>0</v>
      </c>
      <c r="H1642" s="1425">
        <f>SUM(H1636:H1641)</f>
        <v>0</v>
      </c>
      <c r="I1642" s="1425">
        <f>SUM(I1636:I1641)</f>
        <v>0</v>
      </c>
      <c r="J1642" s="1426">
        <f>SUM(J1636:J1641)</f>
        <v>0</v>
      </c>
      <c r="K1642" s="1425"/>
      <c r="L1642" s="1534">
        <f t="shared" si="1014"/>
        <v>0</v>
      </c>
      <c r="M1642" s="889"/>
      <c r="N1642" s="854"/>
      <c r="O1642" s="889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95"/>
        <v>0</v>
      </c>
      <c r="Y1642" s="787"/>
      <c r="Z1642" s="791"/>
      <c r="AA1642" s="787"/>
      <c r="AB1642" s="787"/>
      <c r="AC1642" s="679"/>
      <c r="AD1642" s="550"/>
      <c r="AE1642" s="550"/>
      <c r="AF1642" s="550"/>
      <c r="AG1642" s="550"/>
      <c r="AH1642" s="550"/>
      <c r="AI1642" s="559"/>
      <c r="AJ1642" s="559"/>
      <c r="AK1642" s="559"/>
      <c r="AL1642" s="559"/>
      <c r="AM1642" s="559"/>
      <c r="AN1642" s="559"/>
      <c r="AO1642" s="559"/>
      <c r="AP1642" s="559"/>
      <c r="AQ1642" s="559"/>
      <c r="AR1642" s="559"/>
      <c r="AS1642" s="559"/>
    </row>
    <row r="1643" spans="1:45" s="6" customFormat="1" ht="30" hidden="1" customHeight="1" x14ac:dyDescent="0.25">
      <c r="A1643" s="2010" t="str">
        <f>IF(L1646=0,"",MAX($A$16:A1642)+1)</f>
        <v/>
      </c>
      <c r="B1643" s="2083" t="s">
        <v>182</v>
      </c>
      <c r="C1643" s="150" t="s">
        <v>141</v>
      </c>
      <c r="D1643" s="1111" t="s">
        <v>10</v>
      </c>
      <c r="E1643" s="1116">
        <v>43088</v>
      </c>
      <c r="F1643" s="71">
        <f>$L$7-E1643</f>
        <v>3188</v>
      </c>
      <c r="G1643" s="11">
        <v>0</v>
      </c>
      <c r="H1643" s="11"/>
      <c r="I1643" s="11"/>
      <c r="J1643" s="1388"/>
      <c r="K1643" s="11"/>
      <c r="L1643" s="1534">
        <f t="shared" si="1014"/>
        <v>0</v>
      </c>
      <c r="M1643" s="22"/>
      <c r="N1643" s="920"/>
      <c r="O1643" s="22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995"/>
        <v>0</v>
      </c>
      <c r="Y1643" s="787"/>
      <c r="Z1643" s="791"/>
      <c r="AA1643" s="787"/>
      <c r="AB1643" s="787"/>
      <c r="AC1643" s="679"/>
      <c r="AD1643" s="679"/>
      <c r="AE1643" s="679"/>
      <c r="AF1643" s="679"/>
      <c r="AG1643" s="679"/>
      <c r="AH1643" s="679"/>
      <c r="AI1643" s="682"/>
      <c r="AJ1643" s="682"/>
      <c r="AK1643" s="682"/>
      <c r="AL1643" s="682"/>
      <c r="AM1643" s="682"/>
      <c r="AN1643" s="682"/>
      <c r="AO1643" s="682"/>
      <c r="AP1643" s="682"/>
      <c r="AQ1643" s="682"/>
      <c r="AR1643" s="682"/>
      <c r="AS1643" s="682"/>
    </row>
    <row r="1644" spans="1:45" s="6" customFormat="1" ht="30" hidden="1" customHeight="1" x14ac:dyDescent="0.25">
      <c r="A1644" s="2010"/>
      <c r="B1644" s="2084"/>
      <c r="C1644" s="154" t="s">
        <v>46</v>
      </c>
      <c r="D1644" s="1110"/>
      <c r="E1644" s="1116">
        <v>43089</v>
      </c>
      <c r="F1644" s="71">
        <f>$L$7-E1644</f>
        <v>3187</v>
      </c>
      <c r="G1644" s="56">
        <v>0</v>
      </c>
      <c r="H1644" s="56"/>
      <c r="I1644" s="56"/>
      <c r="J1644" s="1369"/>
      <c r="K1644" s="12"/>
      <c r="L1644" s="1534">
        <f t="shared" si="1014"/>
        <v>0</v>
      </c>
      <c r="M1644" s="22"/>
      <c r="N1644" s="920"/>
      <c r="O1644" s="22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995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10"/>
      <c r="B1645" s="2200"/>
      <c r="C1645" s="154" t="s">
        <v>46</v>
      </c>
      <c r="D1645" s="1108"/>
      <c r="E1645" s="1116">
        <v>43090</v>
      </c>
      <c r="F1645" s="71">
        <f>$L$7-E1645</f>
        <v>3186</v>
      </c>
      <c r="G1645" s="56">
        <v>0</v>
      </c>
      <c r="H1645" s="56"/>
      <c r="I1645" s="56"/>
      <c r="J1645" s="1369"/>
      <c r="K1645" s="12"/>
      <c r="L1645" s="1534">
        <f t="shared" si="1014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995"/>
        <v>0</v>
      </c>
      <c r="Y1645" s="787"/>
      <c r="Z1645" s="791"/>
      <c r="AA1645" s="787"/>
      <c r="AB1645" s="787"/>
      <c r="AC1645" s="550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420" customFormat="1" ht="30" hidden="1" customHeight="1" x14ac:dyDescent="0.25">
      <c r="A1646" s="2011" t="s">
        <v>172</v>
      </c>
      <c r="B1646" s="2012"/>
      <c r="C1646" s="125"/>
      <c r="D1646" s="1027"/>
      <c r="E1646" s="1027"/>
      <c r="F1646" s="896"/>
      <c r="G1646" s="1430">
        <v>0</v>
      </c>
      <c r="H1646" s="1431">
        <f>SUM(H1643:H1645)</f>
        <v>0</v>
      </c>
      <c r="I1646" s="1431">
        <f>SUM(I1643:I1645)</f>
        <v>0</v>
      </c>
      <c r="J1646" s="1432">
        <f>SUM(J1643:J1645)</f>
        <v>0</v>
      </c>
      <c r="K1646" s="1431"/>
      <c r="L1646" s="1534">
        <f t="shared" si="1014"/>
        <v>0</v>
      </c>
      <c r="M1646" s="889"/>
      <c r="N1646" s="854"/>
      <c r="O1646" s="889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995"/>
        <v>0</v>
      </c>
      <c r="Y1646" s="787"/>
      <c r="Z1646" s="791"/>
      <c r="AA1646" s="787"/>
      <c r="AB1646" s="787"/>
      <c r="AC1646" s="679"/>
      <c r="AD1646" s="550"/>
      <c r="AE1646" s="550"/>
      <c r="AF1646" s="550"/>
      <c r="AG1646" s="550"/>
      <c r="AH1646" s="550"/>
      <c r="AI1646" s="559"/>
      <c r="AJ1646" s="559"/>
      <c r="AK1646" s="559"/>
      <c r="AL1646" s="559"/>
      <c r="AM1646" s="559"/>
      <c r="AN1646" s="559"/>
      <c r="AO1646" s="559"/>
      <c r="AP1646" s="559"/>
      <c r="AQ1646" s="559"/>
      <c r="AR1646" s="559"/>
      <c r="AS1646" s="559"/>
    </row>
    <row r="1647" spans="1:45" s="6" customFormat="1" ht="30" hidden="1" customHeight="1" x14ac:dyDescent="0.25">
      <c r="A1647" s="2010"/>
      <c r="B1647" s="390" t="s">
        <v>960</v>
      </c>
      <c r="C1647" s="150"/>
      <c r="D1647" s="866" t="s">
        <v>10</v>
      </c>
      <c r="E1647" s="1116">
        <v>44379</v>
      </c>
      <c r="F1647" s="71">
        <f t="shared" ref="F1647:F1653" si="1015">$L$7-E1647</f>
        <v>1897</v>
      </c>
      <c r="G1647" s="11">
        <v>0</v>
      </c>
      <c r="H1647" s="11"/>
      <c r="I1647" s="64"/>
      <c r="J1647" s="1366"/>
      <c r="K1647" s="11">
        <f>IFERROR(VLOOKUP(T1647,INTAKE!$A:$R,16,0),0)</f>
        <v>0</v>
      </c>
      <c r="L1647" s="1534">
        <f t="shared" si="1014"/>
        <v>0</v>
      </c>
      <c r="M1647" s="101"/>
      <c r="N1647" s="101"/>
      <c r="O1647" s="101"/>
      <c r="P1647" s="738"/>
      <c r="Q1647" s="795"/>
      <c r="R1647" s="785">
        <f>IFERROR(VLOOKUP($Q1647,'391'!$S:$Z,8,0),"")</f>
        <v>0</v>
      </c>
      <c r="S1647" s="786"/>
      <c r="T1647" s="787" t="str">
        <f t="shared" ref="T1647:T1653" si="1016">$Q$1654&amp;C1647&amp;E1647</f>
        <v>Premix 34V44379</v>
      </c>
      <c r="U1647" s="787"/>
      <c r="V1647" s="787"/>
      <c r="W1647" s="785">
        <f>IFERROR(VLOOKUP($Q1647,'391'!$S:$AG,15,0),0)</f>
        <v>0</v>
      </c>
      <c r="X1647" s="1090">
        <f t="shared" si="995"/>
        <v>0</v>
      </c>
      <c r="Y1647" s="787"/>
      <c r="Z1647" s="791"/>
      <c r="AA1647" s="787"/>
      <c r="AB1647" s="787"/>
      <c r="AC1647" s="683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6" customFormat="1" ht="30" hidden="1" customHeight="1" x14ac:dyDescent="0.25">
      <c r="A1648" s="2010"/>
      <c r="B1648" s="390" t="s">
        <v>961</v>
      </c>
      <c r="C1648" s="150" t="s">
        <v>191</v>
      </c>
      <c r="D1648" s="866" t="s">
        <v>10</v>
      </c>
      <c r="E1648" s="1116">
        <v>44386</v>
      </c>
      <c r="F1648" s="71">
        <f t="shared" si="1015"/>
        <v>1890</v>
      </c>
      <c r="G1648" s="11">
        <v>0</v>
      </c>
      <c r="H1648" s="11"/>
      <c r="I1648" s="64"/>
      <c r="J1648" s="1366"/>
      <c r="K1648" s="64">
        <f>IFERROR(SUMIF(INTAKE!$A:$A,$T1648,INTAKE!$P:$P),0)</f>
        <v>0</v>
      </c>
      <c r="L1648" s="1534">
        <f t="shared" si="1014"/>
        <v>0</v>
      </c>
      <c r="M1648" s="379"/>
      <c r="N1648" s="379"/>
      <c r="O1648" s="379"/>
      <c r="P1648" s="736"/>
      <c r="Q1648" s="795"/>
      <c r="R1648" s="785">
        <f>IFERROR(VLOOKUP($Q1648,'391'!$S:$Z,8,0),"")</f>
        <v>0</v>
      </c>
      <c r="S1648" s="786"/>
      <c r="T1648" s="787" t="str">
        <f t="shared" si="1016"/>
        <v>Premix 34VX2.144386</v>
      </c>
      <c r="U1648" s="787"/>
      <c r="V1648" s="787"/>
      <c r="W1648" s="785">
        <f>IFERROR(VLOOKUP($Q1648,'391'!$S:$AG,15,0),0)</f>
        <v>0</v>
      </c>
      <c r="X1648" s="1090">
        <f t="shared" si="995"/>
        <v>0</v>
      </c>
      <c r="Y1648" s="787"/>
      <c r="Z1648" s="791"/>
      <c r="AA1648" s="787"/>
      <c r="AB1648" s="787"/>
      <c r="AC1648" s="679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6" customFormat="1" ht="30" hidden="1" customHeight="1" x14ac:dyDescent="0.25">
      <c r="A1649" s="2010"/>
      <c r="B1649" s="390" t="s">
        <v>961</v>
      </c>
      <c r="C1649" s="150"/>
      <c r="D1649" s="866" t="s">
        <v>10</v>
      </c>
      <c r="E1649" s="1116">
        <v>44386</v>
      </c>
      <c r="F1649" s="71">
        <f t="shared" si="1015"/>
        <v>1890</v>
      </c>
      <c r="G1649" s="11">
        <v>0</v>
      </c>
      <c r="H1649" s="11"/>
      <c r="I1649" s="64"/>
      <c r="J1649" s="1366"/>
      <c r="K1649" s="64">
        <f>IFERROR(SUMIF(INTAKE!$A:$A,$T1649,INTAKE!$P:$P),0)</f>
        <v>0</v>
      </c>
      <c r="L1649" s="1534">
        <f t="shared" si="1014"/>
        <v>0</v>
      </c>
      <c r="M1649" s="379"/>
      <c r="N1649" s="379"/>
      <c r="O1649" s="379"/>
      <c r="P1649" s="738"/>
      <c r="Q1649" s="795"/>
      <c r="R1649" s="785">
        <f>IFERROR(VLOOKUP($Q1649,'391'!$S:$Z,8,0),"")</f>
        <v>0</v>
      </c>
      <c r="S1649" s="786"/>
      <c r="T1649" s="787" t="str">
        <f t="shared" si="1016"/>
        <v>Premix 34V44386</v>
      </c>
      <c r="U1649" s="787"/>
      <c r="V1649" s="787"/>
      <c r="W1649" s="785">
        <f>IFERROR(VLOOKUP($Q1649,'391'!$S:$AG,15,0),0)</f>
        <v>0</v>
      </c>
      <c r="X1649" s="1090">
        <f t="shared" si="995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10"/>
      <c r="B1650" s="390" t="s">
        <v>925</v>
      </c>
      <c r="C1650" s="150"/>
      <c r="D1650" s="866" t="s">
        <v>10</v>
      </c>
      <c r="E1650" s="1116">
        <v>44309</v>
      </c>
      <c r="F1650" s="71">
        <f t="shared" si="1015"/>
        <v>1967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4">
        <f t="shared" si="1014"/>
        <v>0</v>
      </c>
      <c r="M1650" s="23"/>
      <c r="N1650" s="23"/>
      <c r="O1650" s="23"/>
      <c r="P1650" s="736"/>
      <c r="Q1650" s="795"/>
      <c r="R1650" s="785">
        <f>IFERROR(VLOOKUP($Q1650,'391'!$S:$Z,8,0),"")</f>
        <v>0</v>
      </c>
      <c r="S1650" s="786"/>
      <c r="T1650" s="787" t="str">
        <f t="shared" si="1016"/>
        <v>Premix 34V44309</v>
      </c>
      <c r="U1650" s="787"/>
      <c r="V1650" s="787"/>
      <c r="W1650" s="785">
        <f>IFERROR(VLOOKUP($Q1650,'391'!$S:$AG,15,0),0)</f>
        <v>0</v>
      </c>
      <c r="X1650" s="1090">
        <f t="shared" si="995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10"/>
      <c r="B1651" s="390" t="s">
        <v>362</v>
      </c>
      <c r="C1651" s="150"/>
      <c r="D1651" s="866" t="s">
        <v>10</v>
      </c>
      <c r="E1651" s="1116">
        <v>43141</v>
      </c>
      <c r="F1651" s="71">
        <f t="shared" si="1015"/>
        <v>3135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4">
        <f t="shared" si="1014"/>
        <v>0</v>
      </c>
      <c r="M1651" s="23"/>
      <c r="N1651" s="23"/>
      <c r="O1651" s="23"/>
      <c r="P1651" s="736"/>
      <c r="Q1651" s="795"/>
      <c r="R1651" s="785">
        <f>IFERROR(VLOOKUP($Q1651,'391'!$S:$Z,8,0),"")</f>
        <v>0</v>
      </c>
      <c r="S1651" s="786"/>
      <c r="T1651" s="787" t="str">
        <f t="shared" si="1016"/>
        <v>Premix 34V43141</v>
      </c>
      <c r="U1651" s="787"/>
      <c r="V1651" s="787"/>
      <c r="W1651" s="785">
        <f>IFERROR(VLOOKUP($Q1651,'391'!$S:$AG,15,0),0)</f>
        <v>0</v>
      </c>
      <c r="X1651" s="1090">
        <f t="shared" si="995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10"/>
      <c r="B1652" s="390" t="s">
        <v>363</v>
      </c>
      <c r="C1652" s="150"/>
      <c r="D1652" s="866" t="s">
        <v>10</v>
      </c>
      <c r="E1652" s="1116">
        <v>43144</v>
      </c>
      <c r="F1652" s="71">
        <f t="shared" si="1015"/>
        <v>3132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4">
        <f t="shared" si="1014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16"/>
        <v>Premix 34V43144</v>
      </c>
      <c r="U1652" s="787"/>
      <c r="V1652" s="787"/>
      <c r="W1652" s="785">
        <f>IFERROR(VLOOKUP($Q1652,'391'!$S:$AG,15,0),0)</f>
        <v>0</v>
      </c>
      <c r="X1652" s="1090">
        <f t="shared" si="995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406" customFormat="1" ht="30" hidden="1" customHeight="1" x14ac:dyDescent="0.25">
      <c r="A1653" s="2010"/>
      <c r="B1653" s="1016" t="s">
        <v>961</v>
      </c>
      <c r="C1653" s="144" t="s">
        <v>46</v>
      </c>
      <c r="D1653" s="884" t="s">
        <v>10</v>
      </c>
      <c r="E1653" s="1114">
        <v>44386</v>
      </c>
      <c r="F1653" s="71">
        <f t="shared" si="1015"/>
        <v>1890</v>
      </c>
      <c r="G1653" s="37">
        <v>0</v>
      </c>
      <c r="H1653" s="37"/>
      <c r="I1653" s="37">
        <f>+SUM(K1647:K1650)</f>
        <v>0</v>
      </c>
      <c r="J1653" s="1385">
        <f>+usage!I229</f>
        <v>0</v>
      </c>
      <c r="K1653" s="64">
        <f>IFERROR(SUMIF(INTAKE!$A:$A,$T1653,INTAKE!$P:$P),0)</f>
        <v>0</v>
      </c>
      <c r="L1653" s="1534">
        <f t="shared" si="1014"/>
        <v>0</v>
      </c>
      <c r="M1653" s="40"/>
      <c r="N1653" s="40"/>
      <c r="O1653" s="40"/>
      <c r="P1653" s="736"/>
      <c r="Q1653" s="795"/>
      <c r="R1653" s="785">
        <f>IFERROR(VLOOKUP($Q1653,'391'!$S:$Z,8,0),"")</f>
        <v>0</v>
      </c>
      <c r="S1653" s="786"/>
      <c r="T1653" s="787" t="str">
        <f t="shared" si="1016"/>
        <v>Premix 34VFeedmill44386</v>
      </c>
      <c r="U1653" s="787"/>
      <c r="V1653" s="787"/>
      <c r="W1653" s="785">
        <f>IFERROR(VLOOKUP($Q1653,'391'!$S:$AG,15,0),0)</f>
        <v>0</v>
      </c>
      <c r="X1653" s="1090">
        <f t="shared" si="995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420" customFormat="1" ht="30" hidden="1" customHeight="1" x14ac:dyDescent="0.25">
      <c r="A1654" s="2011" t="s">
        <v>140</v>
      </c>
      <c r="B1654" s="2012"/>
      <c r="C1654" s="125"/>
      <c r="D1654" s="1030"/>
      <c r="E1654" s="1031"/>
      <c r="F1654" s="1032"/>
      <c r="G1654" s="1422">
        <v>0</v>
      </c>
      <c r="H1654" s="1422">
        <f t="shared" ref="H1654:I1654" si="1017">SUM(H1647:H1653)</f>
        <v>0</v>
      </c>
      <c r="I1654" s="1422">
        <f t="shared" si="1017"/>
        <v>0</v>
      </c>
      <c r="J1654" s="1422">
        <f t="shared" ref="J1654:K1654" si="1018">SUM(J1647:J1653)</f>
        <v>0</v>
      </c>
      <c r="K1654" s="1422">
        <f t="shared" si="1018"/>
        <v>0</v>
      </c>
      <c r="L1654" s="1534">
        <f t="shared" si="1014"/>
        <v>0</v>
      </c>
      <c r="M1654" s="889" t="str">
        <f>IFERROR(R1654/$S$2,"")</f>
        <v/>
      </c>
      <c r="N1654" s="366">
        <f>IFERROR(L1654/M1654,0)</f>
        <v>0</v>
      </c>
      <c r="O1654" s="889">
        <f>IFERROR(SUMIF(ETM!$A:$A,$Q1654,ETM!$E:$E),"")</f>
        <v>0</v>
      </c>
      <c r="P1654" s="880">
        <f>IFERROR(L1654/O1654,0)</f>
        <v>0</v>
      </c>
      <c r="Q1654" s="814" t="s">
        <v>629</v>
      </c>
      <c r="R1654" s="785" t="str">
        <f>IFERROR(VLOOKUP($Q1654,'391'!$S:$Z,8,0),"")</f>
        <v/>
      </c>
      <c r="S1654" s="786"/>
      <c r="T1654" s="787"/>
      <c r="U1654" s="787"/>
      <c r="V1654" s="787"/>
      <c r="W1654" s="785">
        <f>IFERROR(VLOOKUP($Q1654,'391'!$S:$AG,15,0),0)</f>
        <v>0</v>
      </c>
      <c r="X1654" s="1090">
        <f t="shared" si="995"/>
        <v>0</v>
      </c>
      <c r="Y1654" s="787"/>
      <c r="Z1654" s="791"/>
      <c r="AA1654" s="787"/>
      <c r="AB1654" s="787"/>
      <c r="AC1654" s="679"/>
      <c r="AD1654" s="550"/>
      <c r="AE1654" s="550"/>
      <c r="AF1654" s="550"/>
      <c r="AG1654" s="550"/>
      <c r="AH1654" s="550"/>
      <c r="AI1654" s="559"/>
      <c r="AJ1654" s="559"/>
      <c r="AK1654" s="559"/>
      <c r="AL1654" s="559"/>
      <c r="AM1654" s="559"/>
      <c r="AN1654" s="559"/>
      <c r="AO1654" s="559"/>
      <c r="AP1654" s="559"/>
      <c r="AQ1654" s="559"/>
      <c r="AR1654" s="559"/>
      <c r="AS1654" s="559"/>
    </row>
    <row r="1655" spans="1:45" s="344" customFormat="1" ht="30" hidden="1" customHeight="1" x14ac:dyDescent="0.25">
      <c r="A1655" s="2195" t="str">
        <f>IF(L1657=0,"",MAX($A$16:A1654)+1)</f>
        <v/>
      </c>
      <c r="B1655" s="2215" t="s">
        <v>100</v>
      </c>
      <c r="C1655" s="196" t="s">
        <v>186</v>
      </c>
      <c r="D1655" s="866" t="s">
        <v>10</v>
      </c>
      <c r="E1655" s="1109">
        <v>43144</v>
      </c>
      <c r="F1655" s="71">
        <f>$L$7-E1655</f>
        <v>3132</v>
      </c>
      <c r="G1655" s="1433">
        <v>0</v>
      </c>
      <c r="H1655" s="11"/>
      <c r="I1655" s="11"/>
      <c r="J1655" s="1388"/>
      <c r="K1655" s="11"/>
      <c r="L1655" s="1534">
        <f t="shared" si="1014"/>
        <v>0</v>
      </c>
      <c r="M1655" s="147"/>
      <c r="N1655" s="248"/>
      <c r="O1655" s="147"/>
      <c r="P1655" s="857"/>
      <c r="Q1655" s="795"/>
      <c r="R1655" s="785">
        <f>IFERROR(VLOOKUP($Q1655,'391'!$S:$Z,8,0),"")</f>
        <v>0</v>
      </c>
      <c r="S1655" s="786"/>
      <c r="T1655" s="787"/>
      <c r="U1655" s="787"/>
      <c r="V1655" s="787"/>
      <c r="W1655" s="785">
        <f>IFERROR(VLOOKUP($Q1655,'391'!$S:$AG,15,0),0)</f>
        <v>0</v>
      </c>
      <c r="X1655" s="1090">
        <f t="shared" si="995"/>
        <v>0</v>
      </c>
      <c r="Y1655" s="787"/>
      <c r="Z1655" s="791"/>
      <c r="AA1655" s="787"/>
      <c r="AB1655" s="787"/>
      <c r="AC1655" s="550"/>
      <c r="AD1655" s="687"/>
      <c r="AE1655" s="687"/>
      <c r="AF1655" s="687"/>
      <c r="AG1655" s="687"/>
      <c r="AH1655" s="687"/>
      <c r="AI1655" s="709"/>
      <c r="AJ1655" s="709"/>
      <c r="AK1655" s="709"/>
      <c r="AL1655" s="709"/>
      <c r="AM1655" s="709"/>
      <c r="AN1655" s="709"/>
      <c r="AO1655" s="709"/>
      <c r="AP1655" s="709"/>
      <c r="AQ1655" s="709"/>
      <c r="AR1655" s="709"/>
      <c r="AS1655" s="709"/>
    </row>
    <row r="1656" spans="1:45" s="421" customFormat="1" ht="30" hidden="1" customHeight="1" x14ac:dyDescent="0.25">
      <c r="A1656" s="2201"/>
      <c r="B1656" s="2216"/>
      <c r="C1656" s="60" t="s">
        <v>46</v>
      </c>
      <c r="D1656" s="866" t="s">
        <v>10</v>
      </c>
      <c r="E1656" s="1109">
        <v>43144</v>
      </c>
      <c r="F1656" s="71">
        <f>$L$7-E1656</f>
        <v>3132</v>
      </c>
      <c r="G1656" s="1434">
        <v>0</v>
      </c>
      <c r="H1656" s="37"/>
      <c r="I1656" s="37"/>
      <c r="J1656" s="1385"/>
      <c r="K1656" s="37"/>
      <c r="L1656" s="1534">
        <f t="shared" si="1014"/>
        <v>0</v>
      </c>
      <c r="M1656" s="40"/>
      <c r="N1656" s="84"/>
      <c r="O1656" s="40"/>
      <c r="P1656" s="857"/>
      <c r="Q1656" s="795"/>
      <c r="R1656" s="785">
        <f>IFERROR(VLOOKUP($Q1656,'391'!$S:$Z,8,0),"")</f>
        <v>0</v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995"/>
        <v>0</v>
      </c>
      <c r="Y1656" s="787"/>
      <c r="Z1656" s="791"/>
      <c r="AA1656" s="787"/>
      <c r="AB1656" s="787"/>
      <c r="AC1656" s="679"/>
      <c r="AD1656" s="687"/>
      <c r="AE1656" s="687"/>
      <c r="AF1656" s="687"/>
      <c r="AG1656" s="687"/>
      <c r="AH1656" s="687"/>
      <c r="AI1656" s="709"/>
      <c r="AJ1656" s="709"/>
      <c r="AK1656" s="709"/>
      <c r="AL1656" s="709"/>
      <c r="AM1656" s="709"/>
      <c r="AN1656" s="709"/>
      <c r="AO1656" s="709"/>
      <c r="AP1656" s="709"/>
      <c r="AQ1656" s="709"/>
      <c r="AR1656" s="709"/>
      <c r="AS1656" s="709"/>
    </row>
    <row r="1657" spans="1:45" s="420" customFormat="1" ht="30" hidden="1" customHeight="1" x14ac:dyDescent="0.25">
      <c r="A1657" s="2011" t="s">
        <v>69</v>
      </c>
      <c r="B1657" s="2012"/>
      <c r="C1657" s="125"/>
      <c r="D1657" s="1027"/>
      <c r="E1657" s="1027"/>
      <c r="F1657" s="896"/>
      <c r="G1657" s="1424">
        <v>0</v>
      </c>
      <c r="H1657" s="1425">
        <f>SUM(H1655:H1656)</f>
        <v>0</v>
      </c>
      <c r="I1657" s="1425">
        <f>SUM(I1655:I1656)</f>
        <v>0</v>
      </c>
      <c r="J1657" s="1426">
        <f>SUM(J1655:J1656)</f>
        <v>0</v>
      </c>
      <c r="K1657" s="1425"/>
      <c r="L1657" s="1534">
        <f t="shared" si="1014"/>
        <v>0</v>
      </c>
      <c r="M1657" s="889"/>
      <c r="N1657" s="854"/>
      <c r="O1657" s="889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995"/>
        <v>0</v>
      </c>
      <c r="Y1657" s="787"/>
      <c r="Z1657" s="791"/>
      <c r="AA1657" s="787"/>
      <c r="AB1657" s="787"/>
      <c r="AC1657" s="679"/>
      <c r="AD1657" s="550"/>
      <c r="AE1657" s="550"/>
      <c r="AF1657" s="550"/>
      <c r="AG1657" s="550"/>
      <c r="AH1657" s="550"/>
      <c r="AI1657" s="559"/>
      <c r="AJ1657" s="559"/>
      <c r="AK1657" s="559"/>
      <c r="AL1657" s="559"/>
      <c r="AM1657" s="559"/>
      <c r="AN1657" s="559"/>
      <c r="AO1657" s="559"/>
      <c r="AP1657" s="559"/>
      <c r="AQ1657" s="559"/>
      <c r="AR1657" s="559"/>
      <c r="AS1657" s="559"/>
    </row>
    <row r="1658" spans="1:45" s="6" customFormat="1" ht="30" customHeight="1" x14ac:dyDescent="0.25">
      <c r="A1658" s="2018">
        <f>IF(L1665=0,"",MAX($A$16:A1657)+1)</f>
        <v>117</v>
      </c>
      <c r="B1658" s="396" t="s">
        <v>1939</v>
      </c>
      <c r="C1658" s="186" t="s">
        <v>191</v>
      </c>
      <c r="D1658" s="866" t="s">
        <v>10</v>
      </c>
      <c r="E1658" s="1126">
        <v>46254</v>
      </c>
      <c r="F1658" s="71">
        <f t="shared" ref="F1658" si="1019">$L$7-E1658</f>
        <v>22</v>
      </c>
      <c r="G1658" s="12">
        <v>300</v>
      </c>
      <c r="H1658" s="12"/>
      <c r="I1658" s="12"/>
      <c r="J1658" s="1369"/>
      <c r="K1658" s="64">
        <f>IFERROR(SUMIF(INTAKE!$A:$A,$T1658,INTAKE!$P:$P),0)</f>
        <v>90</v>
      </c>
      <c r="L1658" s="1703">
        <f t="shared" si="1014"/>
        <v>210</v>
      </c>
      <c r="M1658" s="147"/>
      <c r="N1658" s="248"/>
      <c r="O1658" s="147"/>
      <c r="P1658" s="748"/>
      <c r="Q1658" s="795"/>
      <c r="R1658" s="785">
        <f>IFERROR(VLOOKUP($Q1658,'391'!$S:$Z,8,0),"")</f>
        <v>0</v>
      </c>
      <c r="S1658" s="786"/>
      <c r="T1658" s="787" t="str">
        <f t="shared" ref="T1658:T1664" si="1020">$Q$1665&amp;C1658&amp;E1658</f>
        <v>Premix 21VX2.146254</v>
      </c>
      <c r="U1658" s="787"/>
      <c r="V1658" s="787"/>
      <c r="W1658" s="785">
        <f>IFERROR(VLOOKUP($Q1658,'391'!$S:$AG,15,0),0)</f>
        <v>0</v>
      </c>
      <c r="X1658" s="1090">
        <f t="shared" si="995"/>
        <v>300</v>
      </c>
      <c r="Y1658" s="787"/>
      <c r="Z1658" s="791"/>
      <c r="AA1658" s="787"/>
      <c r="AB1658" s="787"/>
      <c r="AC1658" s="550"/>
      <c r="AD1658" s="679"/>
      <c r="AE1658" s="679"/>
      <c r="AF1658" s="679"/>
      <c r="AG1658" s="679"/>
      <c r="AH1658" s="679"/>
      <c r="AI1658" s="682"/>
      <c r="AJ1658" s="682"/>
      <c r="AK1658" s="682"/>
      <c r="AL1658" s="682"/>
      <c r="AM1658" s="682"/>
      <c r="AN1658" s="682"/>
      <c r="AO1658" s="682"/>
      <c r="AP1658" s="682"/>
      <c r="AQ1658" s="682"/>
      <c r="AR1658" s="682"/>
      <c r="AS1658" s="682"/>
    </row>
    <row r="1659" spans="1:45" s="6" customFormat="1" ht="32.25" customHeight="1" x14ac:dyDescent="0.25">
      <c r="A1659" s="2010"/>
      <c r="B1659" s="396" t="s">
        <v>340</v>
      </c>
      <c r="C1659" s="186" t="s">
        <v>191</v>
      </c>
      <c r="D1659" s="866" t="s">
        <v>10</v>
      </c>
      <c r="E1659" s="1126">
        <v>46270</v>
      </c>
      <c r="F1659" s="71">
        <f t="shared" ref="F1659" si="1021">$L$7-E1659</f>
        <v>6</v>
      </c>
      <c r="G1659" s="12">
        <v>150</v>
      </c>
      <c r="H1659" s="12"/>
      <c r="I1659" s="12"/>
      <c r="J1659" s="1369"/>
      <c r="K1659" s="64">
        <f>IFERROR(SUMIF(INTAKE!$A:$A,$T1659,INTAKE!$P:$P),0)</f>
        <v>0</v>
      </c>
      <c r="L1659" s="1703">
        <f t="shared" si="1014"/>
        <v>150</v>
      </c>
      <c r="M1659" s="101"/>
      <c r="N1659" s="249"/>
      <c r="O1659" s="101"/>
      <c r="P1659" s="750"/>
      <c r="Q1659" s="795"/>
      <c r="R1659" s="785">
        <f>IFERROR(VLOOKUP($Q1659,'391'!$S:$Z,8,0),"")</f>
        <v>0</v>
      </c>
      <c r="S1659" s="786"/>
      <c r="T1659" s="787" t="str">
        <f t="shared" si="1020"/>
        <v>Premix 21VX2.146270</v>
      </c>
      <c r="U1659" s="787"/>
      <c r="V1659" s="787"/>
      <c r="W1659" s="785">
        <f>IFERROR(VLOOKUP($Q1659,'391'!$S:$AG,15,0),0)</f>
        <v>0</v>
      </c>
      <c r="X1659" s="1090">
        <f t="shared" si="995"/>
        <v>150</v>
      </c>
      <c r="Y1659" s="787"/>
      <c r="Z1659" s="791"/>
      <c r="AA1659" s="787"/>
      <c r="AB1659" s="787"/>
      <c r="AC1659" s="679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6" customFormat="1" ht="32.25" hidden="1" customHeight="1" x14ac:dyDescent="0.25">
      <c r="A1660" s="2010"/>
      <c r="B1660" s="396" t="s">
        <v>1854</v>
      </c>
      <c r="C1660" s="186"/>
      <c r="D1660" s="866" t="s">
        <v>10</v>
      </c>
      <c r="E1660" s="1126">
        <v>46206</v>
      </c>
      <c r="F1660" s="71">
        <f t="shared" ref="F1660" si="1022">$L$7-E1660</f>
        <v>70</v>
      </c>
      <c r="G1660" s="12">
        <v>0</v>
      </c>
      <c r="H1660" s="12"/>
      <c r="I1660" s="12"/>
      <c r="J1660" s="1369"/>
      <c r="K1660" s="64">
        <f>IFERROR(SUMIF(INTAKE!$A:$A,$T1660,INTAKE!$P:$P),0)</f>
        <v>0</v>
      </c>
      <c r="L1660" s="1703">
        <f t="shared" si="1014"/>
        <v>0</v>
      </c>
      <c r="M1660" s="101"/>
      <c r="N1660" s="249"/>
      <c r="O1660" s="101"/>
      <c r="P1660" s="750"/>
      <c r="Q1660" s="795"/>
      <c r="R1660" s="785">
        <f>IFERROR(VLOOKUP($Q1660,'391'!$S:$Z,8,0),"")</f>
        <v>0</v>
      </c>
      <c r="S1660" s="786"/>
      <c r="T1660" s="787" t="str">
        <f t="shared" si="1020"/>
        <v>Premix 21V46206</v>
      </c>
      <c r="U1660" s="787"/>
      <c r="V1660" s="787"/>
      <c r="W1660" s="785">
        <f>IFERROR(VLOOKUP($Q1660,'391'!$S:$AG,15,0),0)</f>
        <v>0</v>
      </c>
      <c r="X1660" s="1090">
        <f t="shared" si="995"/>
        <v>0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hidden="1" customHeight="1" x14ac:dyDescent="0.25">
      <c r="A1661" s="2010"/>
      <c r="B1661" s="396" t="s">
        <v>1836</v>
      </c>
      <c r="C1661" s="186"/>
      <c r="D1661" s="866" t="s">
        <v>10</v>
      </c>
      <c r="E1661" s="1126">
        <v>46185</v>
      </c>
      <c r="F1661" s="71">
        <f t="shared" ref="F1661:F1664" si="1023">$L$7-E1661</f>
        <v>91</v>
      </c>
      <c r="G1661" s="12">
        <v>0</v>
      </c>
      <c r="H1661" s="12"/>
      <c r="I1661" s="12"/>
      <c r="J1661" s="1369"/>
      <c r="K1661" s="64">
        <f>IFERROR(SUMIF(INTAKE!$A:$A,$T1661,INTAKE!$P:$P),0)</f>
        <v>0</v>
      </c>
      <c r="L1661" s="1703">
        <f t="shared" si="1014"/>
        <v>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20"/>
        <v>Premix 21V46185</v>
      </c>
      <c r="U1661" s="787"/>
      <c r="V1661" s="787"/>
      <c r="W1661" s="785">
        <f>IFERROR(VLOOKUP($Q1661,'391'!$S:$AG,15,0),0)</f>
        <v>0</v>
      </c>
      <c r="X1661" s="1090">
        <f t="shared" si="995"/>
        <v>0</v>
      </c>
      <c r="Y1661" s="787"/>
      <c r="Z1661" s="791"/>
      <c r="AA1661" s="787"/>
      <c r="AB1661" s="787"/>
      <c r="AC1661" s="550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10"/>
      <c r="B1662" s="396" t="s">
        <v>939</v>
      </c>
      <c r="C1662" s="186"/>
      <c r="D1662" s="866" t="s">
        <v>10</v>
      </c>
      <c r="E1662" s="1126">
        <v>44330</v>
      </c>
      <c r="F1662" s="71">
        <f t="shared" si="1023"/>
        <v>1946</v>
      </c>
      <c r="G1662" s="12">
        <v>0</v>
      </c>
      <c r="H1662" s="12"/>
      <c r="I1662" s="12"/>
      <c r="J1662" s="1368"/>
      <c r="K1662" s="64">
        <f>IFERROR(SUMIF(INTAKE!$A:$A,$T1662,INTAKE!$P:$P),0)</f>
        <v>0</v>
      </c>
      <c r="L1662" s="1534">
        <f t="shared" si="1014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20"/>
        <v>Premix 21V44330</v>
      </c>
      <c r="U1662" s="787"/>
      <c r="V1662" s="787"/>
      <c r="W1662" s="785">
        <f>IFERROR(VLOOKUP($Q1662,'391'!$S:$AG,15,0),0)</f>
        <v>0</v>
      </c>
      <c r="X1662" s="1090">
        <f t="shared" si="995"/>
        <v>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10"/>
      <c r="B1663" s="396" t="s">
        <v>340</v>
      </c>
      <c r="C1663" s="186"/>
      <c r="D1663" s="866" t="s">
        <v>10</v>
      </c>
      <c r="E1663" s="1126">
        <v>42959</v>
      </c>
      <c r="F1663" s="71">
        <f t="shared" si="1023"/>
        <v>3317</v>
      </c>
      <c r="G1663" s="12">
        <v>0</v>
      </c>
      <c r="H1663" s="12"/>
      <c r="I1663" s="12"/>
      <c r="J1663" s="1368"/>
      <c r="K1663" s="64">
        <f>IFERROR(SUMIF(INTAKE!$A:$A,$T1663,INTAKE!$P:$P),0)</f>
        <v>0</v>
      </c>
      <c r="L1663" s="1534">
        <f t="shared" si="1014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20"/>
        <v>Premix 21V42959</v>
      </c>
      <c r="U1663" s="787"/>
      <c r="V1663" s="787"/>
      <c r="W1663" s="785">
        <f>IFERROR(VLOOKUP($Q1663,'391'!$S:$AG,15,0),0)</f>
        <v>0</v>
      </c>
      <c r="X1663" s="1090">
        <f t="shared" si="995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406" customFormat="1" ht="32.25" customHeight="1" x14ac:dyDescent="0.25">
      <c r="A1664" s="2019"/>
      <c r="B1664" s="1017" t="s">
        <v>1939</v>
      </c>
      <c r="C1664" s="849" t="s">
        <v>46</v>
      </c>
      <c r="D1664" s="884" t="s">
        <v>10</v>
      </c>
      <c r="E1664" s="1123">
        <v>46254</v>
      </c>
      <c r="F1664" s="71">
        <f t="shared" si="1023"/>
        <v>22</v>
      </c>
      <c r="G1664" s="56">
        <v>70.62</v>
      </c>
      <c r="H1664" s="37"/>
      <c r="I1664" s="37">
        <f>+SUM(K1658:K1663)</f>
        <v>90</v>
      </c>
      <c r="J1664" s="1385">
        <f>+usage!I227</f>
        <v>73.650000000000006</v>
      </c>
      <c r="K1664" s="64">
        <f>IFERROR(SUMIF(INTAKE!$A:$A,$T1664,INTAKE!$P:$P),0)</f>
        <v>0</v>
      </c>
      <c r="L1664" s="1534">
        <f t="shared" si="1014"/>
        <v>86.97</v>
      </c>
      <c r="M1664" s="40"/>
      <c r="N1664" s="84"/>
      <c r="O1664" s="40"/>
      <c r="P1664" s="756"/>
      <c r="Q1664" s="795"/>
      <c r="R1664" s="785">
        <f>IFERROR(VLOOKUP($Q1664,'391'!$S:$Z,8,0),"")</f>
        <v>0</v>
      </c>
      <c r="S1664" s="786"/>
      <c r="T1664" s="787" t="str">
        <f t="shared" si="1020"/>
        <v>Premix 21VFeedmill46254</v>
      </c>
      <c r="U1664" s="787"/>
      <c r="V1664" s="787"/>
      <c r="W1664" s="785">
        <f>IFERROR(VLOOKUP($Q1664,'391'!$S:$AG,15,0),0)</f>
        <v>0</v>
      </c>
      <c r="X1664" s="1090">
        <f t="shared" si="995"/>
        <v>70.62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420" customFormat="1" ht="30" customHeight="1" x14ac:dyDescent="0.25">
      <c r="A1665" s="2011" t="s">
        <v>57</v>
      </c>
      <c r="B1665" s="2012"/>
      <c r="C1665" s="1033"/>
      <c r="D1665" s="1034"/>
      <c r="E1665" s="1127"/>
      <c r="F1665" s="1034"/>
      <c r="G1665" s="1422">
        <v>520.62</v>
      </c>
      <c r="H1665" s="1422">
        <f t="shared" ref="H1665:I1665" si="1024">SUM(H1658:H1664)</f>
        <v>0</v>
      </c>
      <c r="I1665" s="1422">
        <f t="shared" si="1024"/>
        <v>90</v>
      </c>
      <c r="J1665" s="1422">
        <f t="shared" ref="J1665:L1665" si="1025">SUM(J1658:J1664)</f>
        <v>73.650000000000006</v>
      </c>
      <c r="K1665" s="1422">
        <f t="shared" si="1025"/>
        <v>90</v>
      </c>
      <c r="L1665" s="1422">
        <f t="shared" si="1025"/>
        <v>446.97</v>
      </c>
      <c r="M1665" s="889">
        <f>IFERROR(R1665/$S$2,"")</f>
        <v>44.28</v>
      </c>
      <c r="N1665" s="854">
        <f>(L1665/M1665)</f>
        <v>10.094173441734418</v>
      </c>
      <c r="O1665" s="889">
        <f>IFERROR(SUMIF(ETM!$A:$A,$Q1665,ETM!$E:$E),"")</f>
        <v>19.333333333333336</v>
      </c>
      <c r="P1665" s="880">
        <f>IFERROR(L1665/O1665,0)</f>
        <v>23.11913793103448</v>
      </c>
      <c r="Q1665" s="814" t="s">
        <v>628</v>
      </c>
      <c r="R1665" s="785">
        <f>IFERROR(VLOOKUP($Q1665,'391'!$S:$Z,8,0),"")</f>
        <v>199.26</v>
      </c>
      <c r="S1665" s="786"/>
      <c r="T1665" s="787"/>
      <c r="U1665" s="787"/>
      <c r="V1665" s="787"/>
      <c r="W1665" s="785">
        <f>IFERROR(VLOOKUP($Q1665,'391'!$S:$AG,15,0),0)</f>
        <v>553.80000000000007</v>
      </c>
      <c r="X1665" s="1090">
        <f t="shared" si="995"/>
        <v>-33.180000000000064</v>
      </c>
      <c r="Y1665" s="787"/>
      <c r="Z1665" s="791"/>
      <c r="AA1665" s="787"/>
      <c r="AB1665" s="787"/>
      <c r="AC1665" s="550"/>
      <c r="AD1665" s="550"/>
      <c r="AE1665" s="550"/>
      <c r="AF1665" s="550"/>
      <c r="AG1665" s="550"/>
      <c r="AH1665" s="550"/>
      <c r="AI1665" s="559"/>
      <c r="AJ1665" s="559"/>
      <c r="AK1665" s="559"/>
      <c r="AL1665" s="559"/>
      <c r="AM1665" s="559"/>
      <c r="AN1665" s="559"/>
      <c r="AO1665" s="559"/>
      <c r="AP1665" s="559"/>
      <c r="AQ1665" s="559"/>
      <c r="AR1665" s="559"/>
      <c r="AS1665" s="559"/>
    </row>
    <row r="1666" spans="1:45" s="6" customFormat="1" ht="30" hidden="1" customHeight="1" x14ac:dyDescent="0.25">
      <c r="A1666" s="2217">
        <f>IF(L1673=0,"",MAX($A$16:A1665)+1)</f>
        <v>118</v>
      </c>
      <c r="B1666" s="390" t="s">
        <v>1344</v>
      </c>
      <c r="C1666" s="186"/>
      <c r="D1666" s="866" t="s">
        <v>10</v>
      </c>
      <c r="E1666" s="1126">
        <v>45177</v>
      </c>
      <c r="F1666" s="71">
        <f t="shared" ref="F1666:F1672" si="1026">$L$7-E1666</f>
        <v>1099</v>
      </c>
      <c r="G1666" s="12">
        <v>0</v>
      </c>
      <c r="H1666" s="11"/>
      <c r="I1666" s="11"/>
      <c r="J1666" s="1388"/>
      <c r="K1666" s="64">
        <f>IFERROR(SUMIF(INTAKE!$A:$A,$T1666,INTAKE!$P:$P),0)</f>
        <v>0</v>
      </c>
      <c r="L1666" s="1534">
        <f t="shared" ref="L1666:L1672" si="1027">+G1666+H1666+I1666-J1666-K1666</f>
        <v>0</v>
      </c>
      <c r="M1666" s="101"/>
      <c r="N1666" s="249"/>
      <c r="O1666" s="101"/>
      <c r="P1666" s="857"/>
      <c r="Q1666" s="795"/>
      <c r="R1666" s="785">
        <f>IFERROR(VLOOKUP($Q1666,'391'!$S:$Z,8,0),"")</f>
        <v>0</v>
      </c>
      <c r="S1666" s="786"/>
      <c r="T1666" s="787" t="str">
        <f t="shared" ref="T1666:T1672" si="1028">$Q$1673&amp;C1666&amp;E1666</f>
        <v>Premix 25V45177</v>
      </c>
      <c r="U1666" s="787"/>
      <c r="V1666" s="787"/>
      <c r="W1666" s="785">
        <f>IFERROR(VLOOKUP($Q1666,'391'!$S:$AG,15,0),0)</f>
        <v>0</v>
      </c>
      <c r="X1666" s="1090">
        <f t="shared" si="995"/>
        <v>0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6" customFormat="1" ht="30" hidden="1" customHeight="1" x14ac:dyDescent="0.25">
      <c r="A1667" s="2008"/>
      <c r="B1667" s="390" t="s">
        <v>1501</v>
      </c>
      <c r="C1667" s="186"/>
      <c r="D1667" s="866" t="s">
        <v>10</v>
      </c>
      <c r="E1667" s="1126">
        <v>45562</v>
      </c>
      <c r="F1667" s="71">
        <f t="shared" si="1026"/>
        <v>714</v>
      </c>
      <c r="G1667" s="12">
        <v>0</v>
      </c>
      <c r="H1667" s="11"/>
      <c r="I1667" s="11"/>
      <c r="J1667" s="1388"/>
      <c r="K1667" s="64">
        <f>IFERROR(SUMIF(INTAKE!$A:$A,$T1667,INTAKE!$P:$P),0)</f>
        <v>0</v>
      </c>
      <c r="L1667" s="1703">
        <f t="shared" si="1027"/>
        <v>0</v>
      </c>
      <c r="M1667" s="101"/>
      <c r="N1667" s="249"/>
      <c r="O1667" s="101"/>
      <c r="P1667" s="857"/>
      <c r="Q1667" s="795"/>
      <c r="R1667" s="785">
        <f>IFERROR(VLOOKUP($Q1667,'391'!$S:$Z,8,0),"")</f>
        <v>0</v>
      </c>
      <c r="S1667" s="786"/>
      <c r="T1667" s="787" t="str">
        <f t="shared" si="1028"/>
        <v>Premix 25V45562</v>
      </c>
      <c r="U1667" s="787"/>
      <c r="V1667" s="787"/>
      <c r="W1667" s="785">
        <f>IFERROR(VLOOKUP($Q1667,'391'!$S:$AG,15,0),0)</f>
        <v>0</v>
      </c>
      <c r="X1667" s="1090">
        <f t="shared" si="995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6" customFormat="1" ht="30" customHeight="1" x14ac:dyDescent="0.25">
      <c r="A1668" s="2008"/>
      <c r="B1668" s="390" t="s">
        <v>1926</v>
      </c>
      <c r="C1668" s="186" t="s">
        <v>1870</v>
      </c>
      <c r="D1668" s="866" t="s">
        <v>10</v>
      </c>
      <c r="E1668" s="1126">
        <v>46247</v>
      </c>
      <c r="F1668" s="71">
        <f t="shared" si="1026"/>
        <v>29</v>
      </c>
      <c r="G1668" s="12">
        <v>120</v>
      </c>
      <c r="H1668" s="56"/>
      <c r="I1668" s="12"/>
      <c r="J1668" s="1369"/>
      <c r="K1668" s="64">
        <f>IFERROR(SUMIF(INTAKE!$A:$A,$T1668,INTAKE!$P:$P),0)</f>
        <v>60</v>
      </c>
      <c r="L1668" s="1703">
        <f t="shared" si="1027"/>
        <v>60</v>
      </c>
      <c r="M1668" s="147"/>
      <c r="N1668" s="248"/>
      <c r="O1668" s="147"/>
      <c r="P1668" s="748"/>
      <c r="Q1668" s="795"/>
      <c r="R1668" s="785">
        <f>IFERROR(VLOOKUP($Q1668,'391'!$S:$Z,8,0),"")</f>
        <v>0</v>
      </c>
      <c r="S1668" s="786"/>
      <c r="T1668" s="787" t="str">
        <f t="shared" si="1028"/>
        <v>Premix 25VX8.146247</v>
      </c>
      <c r="U1668" s="787"/>
      <c r="V1668" s="787"/>
      <c r="W1668" s="785">
        <f>IFERROR(VLOOKUP($Q1668,'391'!$S:$AG,15,0),0)</f>
        <v>0</v>
      </c>
      <c r="X1668" s="1090">
        <f t="shared" si="995"/>
        <v>120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customHeight="1" x14ac:dyDescent="0.25">
      <c r="A1669" s="2008"/>
      <c r="B1669" s="390" t="s">
        <v>1940</v>
      </c>
      <c r="C1669" s="186" t="s">
        <v>1870</v>
      </c>
      <c r="D1669" s="866" t="s">
        <v>10</v>
      </c>
      <c r="E1669" s="1126">
        <v>46254</v>
      </c>
      <c r="F1669" s="71">
        <f t="shared" ref="F1669" si="1029">$L$7-E1669</f>
        <v>22</v>
      </c>
      <c r="G1669" s="12">
        <v>60</v>
      </c>
      <c r="H1669" s="56"/>
      <c r="I1669" s="12"/>
      <c r="J1669" s="1369"/>
      <c r="K1669" s="64">
        <f>IFERROR(SUMIF(INTAKE!$A:$A,$T1669,INTAKE!$P:$P),0)</f>
        <v>0</v>
      </c>
      <c r="L1669" s="1703">
        <f t="shared" si="1027"/>
        <v>60</v>
      </c>
      <c r="M1669" s="101"/>
      <c r="N1669" s="249"/>
      <c r="O1669" s="101"/>
      <c r="P1669" s="750"/>
      <c r="Q1669" s="795"/>
      <c r="R1669" s="785">
        <f>IFERROR(VLOOKUP($Q1669,'391'!$S:$Z,8,0),"")</f>
        <v>0</v>
      </c>
      <c r="S1669" s="786"/>
      <c r="T1669" s="787" t="str">
        <f t="shared" si="1028"/>
        <v>Premix 25VX8.146254</v>
      </c>
      <c r="U1669" s="787"/>
      <c r="V1669" s="787"/>
      <c r="W1669" s="785">
        <f>IFERROR(VLOOKUP($Q1669,'391'!$S:$AG,15,0),0)</f>
        <v>0</v>
      </c>
      <c r="X1669" s="1090">
        <f t="shared" si="995"/>
        <v>60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8"/>
      <c r="B1670" s="390" t="s">
        <v>2238</v>
      </c>
      <c r="C1670" s="186" t="s">
        <v>1870</v>
      </c>
      <c r="D1670" s="866" t="s">
        <v>10</v>
      </c>
      <c r="E1670" s="1126">
        <v>46275</v>
      </c>
      <c r="F1670" s="71">
        <f t="shared" ref="F1670" si="1030">$L$7-E1670</f>
        <v>1</v>
      </c>
      <c r="G1670" s="12">
        <v>30</v>
      </c>
      <c r="H1670" s="56"/>
      <c r="I1670" s="12"/>
      <c r="J1670" s="1369"/>
      <c r="K1670" s="64">
        <f>IFERROR(SUMIF(INTAKE!$A:$A,$T1670,INTAKE!$P:$P),0)</f>
        <v>0</v>
      </c>
      <c r="L1670" s="1703">
        <f t="shared" si="1027"/>
        <v>30</v>
      </c>
      <c r="M1670" s="101"/>
      <c r="N1670" s="249"/>
      <c r="O1670" s="101"/>
      <c r="P1670" s="750"/>
      <c r="Q1670" s="795"/>
      <c r="R1670" s="785">
        <f>IFERROR(VLOOKUP($Q1670,'391'!$S:$Z,8,0),"")</f>
        <v>0</v>
      </c>
      <c r="S1670" s="786"/>
      <c r="T1670" s="787" t="str">
        <f t="shared" si="1028"/>
        <v>Premix 25VX8.146275</v>
      </c>
      <c r="U1670" s="787"/>
      <c r="V1670" s="787"/>
      <c r="W1670" s="785">
        <f>IFERROR(VLOOKUP($Q1670,'391'!$S:$AG,15,0),0)</f>
        <v>0</v>
      </c>
      <c r="X1670" s="1090">
        <f t="shared" si="995"/>
        <v>30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hidden="1" customHeight="1" x14ac:dyDescent="0.25">
      <c r="A1671" s="2008"/>
      <c r="B1671" s="390" t="s">
        <v>1726</v>
      </c>
      <c r="C1671" s="186"/>
      <c r="D1671" s="866" t="s">
        <v>10</v>
      </c>
      <c r="E1671" s="1126">
        <v>46031</v>
      </c>
      <c r="F1671" s="71">
        <f t="shared" si="1026"/>
        <v>245</v>
      </c>
      <c r="G1671" s="12">
        <v>0</v>
      </c>
      <c r="H1671" s="56"/>
      <c r="I1671" s="12"/>
      <c r="J1671" s="1369"/>
      <c r="K1671" s="64">
        <f>IFERROR(SUMIF(INTAKE!$A:$A,$T1671,INTAKE!$P:$P),0)</f>
        <v>0</v>
      </c>
      <c r="L1671" s="1703">
        <f t="shared" si="1027"/>
        <v>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28"/>
        <v>Premix 25V46031</v>
      </c>
      <c r="U1671" s="787"/>
      <c r="V1671" s="787"/>
      <c r="W1671" s="785">
        <f>IFERROR(VLOOKUP($Q1671,'391'!$S:$AG,15,0),0)</f>
        <v>0</v>
      </c>
      <c r="X1671" s="1090">
        <f t="shared" si="995"/>
        <v>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406" customFormat="1" ht="30" customHeight="1" x14ac:dyDescent="0.25">
      <c r="A1672" s="2218"/>
      <c r="B1672" s="1016" t="s">
        <v>1926</v>
      </c>
      <c r="C1672" s="144" t="s">
        <v>46</v>
      </c>
      <c r="D1672" s="884" t="s">
        <v>10</v>
      </c>
      <c r="E1672" s="1123">
        <v>46247</v>
      </c>
      <c r="F1672" s="71">
        <f t="shared" si="1026"/>
        <v>29</v>
      </c>
      <c r="G1672" s="37">
        <v>33.159999999999904</v>
      </c>
      <c r="H1672" s="37"/>
      <c r="I1672" s="37">
        <f>+SUM(K1666:K1671)</f>
        <v>60</v>
      </c>
      <c r="J1672" s="1385">
        <f>+usage!I228</f>
        <v>24.84</v>
      </c>
      <c r="K1672" s="64">
        <f>IFERROR(SUMIF(INTAKE!$A:$A,$T1672,INTAKE!$P:$P),0)</f>
        <v>0</v>
      </c>
      <c r="L1672" s="1534">
        <f t="shared" si="1027"/>
        <v>68.319999999999908</v>
      </c>
      <c r="M1672" s="40"/>
      <c r="N1672" s="84"/>
      <c r="O1672" s="40"/>
      <c r="P1672" s="756"/>
      <c r="Q1672" s="795"/>
      <c r="R1672" s="785">
        <f>IFERROR(VLOOKUP($Q1672,'391'!$S:$Z,8,0),"")</f>
        <v>0</v>
      </c>
      <c r="S1672" s="786"/>
      <c r="T1672" s="787" t="str">
        <f t="shared" si="1028"/>
        <v>Premix 25VFeedmill46247</v>
      </c>
      <c r="U1672" s="787"/>
      <c r="V1672" s="787"/>
      <c r="W1672" s="785">
        <f>IFERROR(VLOOKUP($Q1672,'391'!$S:$AG,15,0),0)</f>
        <v>0</v>
      </c>
      <c r="X1672" s="1090">
        <f t="shared" si="995"/>
        <v>33.159999999999904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420" customFormat="1" ht="30" customHeight="1" x14ac:dyDescent="0.25">
      <c r="A1673" s="2011" t="s">
        <v>74</v>
      </c>
      <c r="B1673" s="2012"/>
      <c r="C1673" s="1033"/>
      <c r="D1673" s="1034"/>
      <c r="E1673" s="1127"/>
      <c r="F1673" s="1034"/>
      <c r="G1673" s="1422">
        <v>243.15999999999991</v>
      </c>
      <c r="H1673" s="1422">
        <f t="shared" ref="H1673:I1673" si="1031">SUM(H1666:H1672)</f>
        <v>0</v>
      </c>
      <c r="I1673" s="1422">
        <f t="shared" si="1031"/>
        <v>60</v>
      </c>
      <c r="J1673" s="1422">
        <f t="shared" ref="J1673:L1673" si="1032">SUM(J1666:J1672)</f>
        <v>24.84</v>
      </c>
      <c r="K1673" s="1422">
        <f t="shared" si="1032"/>
        <v>60</v>
      </c>
      <c r="L1673" s="1422">
        <f t="shared" si="1032"/>
        <v>218.31999999999991</v>
      </c>
      <c r="M1673" s="889">
        <f>IFERROR(R1673/$S$2,"")</f>
        <v>9.2288888888888891</v>
      </c>
      <c r="N1673" s="854">
        <f>IFERROR(L1673/M1673,0)</f>
        <v>23.656152179147593</v>
      </c>
      <c r="O1673" s="889">
        <f>IFERROR(SUMIF(ETM!$A:$A,$Q1673,ETM!$E:$E),"")</f>
        <v>11.000000000000002</v>
      </c>
      <c r="P1673" s="880">
        <f>IFERROR(L1673/O1673,0)</f>
        <v>19.847272727272717</v>
      </c>
      <c r="Q1673" s="814" t="s">
        <v>641</v>
      </c>
      <c r="R1673" s="785">
        <f>IFERROR(VLOOKUP($Q1673,'391'!$S:$Z,8,0),"")</f>
        <v>41.53</v>
      </c>
      <c r="S1673" s="786"/>
      <c r="T1673" s="787"/>
      <c r="U1673" s="787"/>
      <c r="V1673" s="787"/>
      <c r="W1673" s="785">
        <f>IFERROR(VLOOKUP($Q1673,'391'!$S:$AG,15,0),0)</f>
        <v>263.06</v>
      </c>
      <c r="X1673" s="1090">
        <f t="shared" ref="X1673:X1732" si="1033">G1673-W1673</f>
        <v>-19.900000000000091</v>
      </c>
      <c r="Y1673" s="787"/>
      <c r="Z1673" s="791"/>
      <c r="AA1673" s="787"/>
      <c r="AB1673" s="787"/>
      <c r="AC1673" s="550"/>
      <c r="AD1673" s="550"/>
      <c r="AE1673" s="550"/>
      <c r="AF1673" s="550"/>
      <c r="AG1673" s="550"/>
      <c r="AH1673" s="550"/>
      <c r="AI1673" s="559"/>
      <c r="AJ1673" s="559"/>
      <c r="AK1673" s="559"/>
      <c r="AL1673" s="559"/>
      <c r="AM1673" s="559"/>
      <c r="AN1673" s="559"/>
      <c r="AO1673" s="559"/>
      <c r="AP1673" s="559"/>
      <c r="AQ1673" s="559"/>
      <c r="AR1673" s="559"/>
      <c r="AS1673" s="559"/>
    </row>
    <row r="1674" spans="1:45" s="6" customFormat="1" ht="30" hidden="1" customHeight="1" x14ac:dyDescent="0.25">
      <c r="A1674" s="2013" t="str">
        <f>IF(L1681=0,"",MAX($A$16:A1673)+1)</f>
        <v/>
      </c>
      <c r="B1674" s="392" t="s">
        <v>956</v>
      </c>
      <c r="C1674" s="249" t="s">
        <v>226</v>
      </c>
      <c r="D1674" s="866" t="s">
        <v>10</v>
      </c>
      <c r="E1674" s="1128">
        <v>44379</v>
      </c>
      <c r="F1674" s="71">
        <f t="shared" ref="F1674:F1680" si="1034">$L$7-E1674</f>
        <v>1897</v>
      </c>
      <c r="G1674" s="11">
        <v>0</v>
      </c>
      <c r="H1674" s="11"/>
      <c r="I1674" s="11"/>
      <c r="J1674" s="1388"/>
      <c r="K1674" s="64">
        <f>IFERROR(SUMIF(INTAKE!$A:$A,$T1674,INTAKE!$P:$P),0)</f>
        <v>0</v>
      </c>
      <c r="L1674" s="1534">
        <f t="shared" ref="L1674:L1689" si="1035">+G1674+H1674+I1674-J1674-K1674</f>
        <v>0</v>
      </c>
      <c r="M1674" s="147"/>
      <c r="N1674" s="248"/>
      <c r="O1674" s="147"/>
      <c r="P1674" s="748"/>
      <c r="Q1674" s="795"/>
      <c r="R1674" s="785">
        <f>IFERROR(VLOOKUP($Q1674,'391'!$S:$Z,8,0),"")</f>
        <v>0</v>
      </c>
      <c r="S1674" s="786"/>
      <c r="T1674" s="787" t="str">
        <f t="shared" ref="T1674:T1680" si="1036">$Q$1681&amp;C1674&amp;E1674</f>
        <v>Premix 31VX4.144379</v>
      </c>
      <c r="U1674" s="787"/>
      <c r="V1674" s="787"/>
      <c r="W1674" s="785">
        <f>IFERROR(VLOOKUP($Q1674,'391'!$S:$AG,15,0),0)</f>
        <v>0</v>
      </c>
      <c r="X1674" s="1090">
        <f t="shared" si="1033"/>
        <v>0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6" customFormat="1" ht="30" hidden="1" customHeight="1" x14ac:dyDescent="0.25">
      <c r="A1675" s="2014"/>
      <c r="B1675" s="392" t="s">
        <v>558</v>
      </c>
      <c r="C1675" s="249"/>
      <c r="D1675" s="866" t="s">
        <v>10</v>
      </c>
      <c r="E1675" s="1124">
        <v>43950</v>
      </c>
      <c r="F1675" s="71">
        <f t="shared" si="1034"/>
        <v>2326</v>
      </c>
      <c r="G1675" s="11">
        <v>0</v>
      </c>
      <c r="H1675" s="11"/>
      <c r="I1675" s="11"/>
      <c r="J1675" s="1388"/>
      <c r="K1675" s="64">
        <f>IFERROR(SUMIF(INTAKE!$A:$A,$T1675,INTAKE!$P:$P),0)</f>
        <v>0</v>
      </c>
      <c r="L1675" s="1534">
        <f t="shared" si="1035"/>
        <v>0</v>
      </c>
      <c r="M1675" s="101"/>
      <c r="N1675" s="249"/>
      <c r="O1675" s="101"/>
      <c r="P1675" s="750"/>
      <c r="Q1675" s="795"/>
      <c r="R1675" s="785">
        <f>IFERROR(VLOOKUP($Q1675,'391'!$S:$Z,8,0),"")</f>
        <v>0</v>
      </c>
      <c r="S1675" s="786"/>
      <c r="T1675" s="787" t="str">
        <f t="shared" si="1036"/>
        <v>Premix 31V43950</v>
      </c>
      <c r="U1675" s="787"/>
      <c r="V1675" s="787"/>
      <c r="W1675" s="785">
        <f>IFERROR(VLOOKUP($Q1675,'391'!$S:$AG,15,0),0)</f>
        <v>0</v>
      </c>
      <c r="X1675" s="1090">
        <f t="shared" si="1033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6" customFormat="1" ht="30" hidden="1" customHeight="1" x14ac:dyDescent="0.25">
      <c r="A1676" s="2014"/>
      <c r="B1676" s="392" t="s">
        <v>554</v>
      </c>
      <c r="C1676" s="249"/>
      <c r="D1676" s="866" t="s">
        <v>10</v>
      </c>
      <c r="E1676" s="1124">
        <v>43931</v>
      </c>
      <c r="F1676" s="71">
        <f t="shared" si="1034"/>
        <v>2345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4">
        <f t="shared" si="1035"/>
        <v>0</v>
      </c>
      <c r="M1676" s="101"/>
      <c r="N1676" s="249"/>
      <c r="O1676" s="101"/>
      <c r="P1676" s="750"/>
      <c r="Q1676" s="795"/>
      <c r="R1676" s="785">
        <f>IFERROR(VLOOKUP($Q1676,'391'!$S:$Z,8,0),"")</f>
        <v>0</v>
      </c>
      <c r="S1676" s="786"/>
      <c r="T1676" s="787" t="str">
        <f t="shared" si="1036"/>
        <v>Premix 31V43931</v>
      </c>
      <c r="U1676" s="787"/>
      <c r="V1676" s="787"/>
      <c r="W1676" s="785">
        <f>IFERROR(VLOOKUP($Q1676,'391'!$S:$AG,15,0),0)</f>
        <v>0</v>
      </c>
      <c r="X1676" s="1090">
        <f t="shared" si="1033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14"/>
      <c r="B1677" s="392" t="s">
        <v>338</v>
      </c>
      <c r="C1677" s="249"/>
      <c r="D1677" s="866" t="s">
        <v>10</v>
      </c>
      <c r="E1677" s="1124">
        <v>42942</v>
      </c>
      <c r="F1677" s="71">
        <f t="shared" si="1034"/>
        <v>3334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4">
        <f t="shared" si="1035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36"/>
        <v>Premix 31V42942</v>
      </c>
      <c r="U1677" s="787"/>
      <c r="V1677" s="787"/>
      <c r="W1677" s="785">
        <f>IFERROR(VLOOKUP($Q1677,'391'!$S:$AG,15,0),0)</f>
        <v>0</v>
      </c>
      <c r="X1677" s="1090">
        <f t="shared" si="1033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14"/>
      <c r="B1678" s="392" t="s">
        <v>341</v>
      </c>
      <c r="C1678" s="249"/>
      <c r="D1678" s="866" t="s">
        <v>10</v>
      </c>
      <c r="E1678" s="1124">
        <v>42943</v>
      </c>
      <c r="F1678" s="71">
        <f t="shared" si="1034"/>
        <v>3333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4">
        <f t="shared" si="1035"/>
        <v>0</v>
      </c>
      <c r="M1678" s="101"/>
      <c r="N1678" s="920"/>
      <c r="O1678" s="1451"/>
      <c r="P1678" s="1477"/>
      <c r="Q1678" s="795"/>
      <c r="R1678" s="785">
        <f>IFERROR(VLOOKUP($Q1678,'391'!$S:$Z,8,0),"")</f>
        <v>0</v>
      </c>
      <c r="S1678" s="786"/>
      <c r="T1678" s="787" t="str">
        <f t="shared" si="1036"/>
        <v>Premix 31V42943</v>
      </c>
      <c r="U1678" s="787"/>
      <c r="V1678" s="787"/>
      <c r="W1678" s="785">
        <f>IFERROR(VLOOKUP($Q1678,'391'!$S:$AG,15,0),0)</f>
        <v>0</v>
      </c>
      <c r="X1678" s="1090">
        <f t="shared" si="1033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14"/>
      <c r="B1679" s="392" t="s">
        <v>338</v>
      </c>
      <c r="C1679" s="187"/>
      <c r="D1679" s="866" t="s">
        <v>10</v>
      </c>
      <c r="E1679" s="1129"/>
      <c r="F1679" s="71">
        <f t="shared" si="1034"/>
        <v>46276</v>
      </c>
      <c r="G1679" s="974">
        <v>0</v>
      </c>
      <c r="H1679" s="11"/>
      <c r="I1679" s="58"/>
      <c r="J1679" s="58"/>
      <c r="K1679" s="64">
        <f>IFERROR(SUMIF(INTAKE!$A:$A,$T1679,INTAKE!$P:$P),0)</f>
        <v>0</v>
      </c>
      <c r="L1679" s="1534">
        <f t="shared" si="1035"/>
        <v>0</v>
      </c>
      <c r="M1679" s="101"/>
      <c r="N1679" s="920"/>
      <c r="O1679" s="1451"/>
      <c r="P1679" s="1477"/>
      <c r="Q1679" s="795"/>
      <c r="R1679" s="785">
        <f>IFERROR(VLOOKUP($Q1679,'391'!$S:$Z,8,0),"")</f>
        <v>0</v>
      </c>
      <c r="S1679" s="786"/>
      <c r="T1679" s="787" t="str">
        <f t="shared" si="1036"/>
        <v>Premix 31V</v>
      </c>
      <c r="U1679" s="787"/>
      <c r="V1679" s="787"/>
      <c r="W1679" s="785">
        <f>IFERROR(VLOOKUP($Q1679,'391'!$S:$AG,15,0),0)</f>
        <v>0</v>
      </c>
      <c r="X1679" s="1090">
        <f t="shared" si="1033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406" customFormat="1" ht="30" hidden="1" customHeight="1" x14ac:dyDescent="0.25">
      <c r="A1680" s="2015"/>
      <c r="B1680" s="1016" t="s">
        <v>956</v>
      </c>
      <c r="C1680" s="144" t="s">
        <v>46</v>
      </c>
      <c r="D1680" s="884" t="s">
        <v>10</v>
      </c>
      <c r="E1680" s="1123">
        <v>44379</v>
      </c>
      <c r="F1680" s="71">
        <f t="shared" si="1034"/>
        <v>1897</v>
      </c>
      <c r="G1680" s="37">
        <v>0</v>
      </c>
      <c r="H1680" s="37"/>
      <c r="I1680" s="37">
        <f>+SUM(K1674:K1676)</f>
        <v>0</v>
      </c>
      <c r="J1680" s="1385">
        <f>+usage!I230</f>
        <v>0</v>
      </c>
      <c r="K1680" s="64">
        <f>IFERROR(SUMIF(INTAKE!$A:$A,$T1680,INTAKE!$P:$P),0)</f>
        <v>0</v>
      </c>
      <c r="L1680" s="1534">
        <f t="shared" si="1035"/>
        <v>0</v>
      </c>
      <c r="M1680" s="35"/>
      <c r="N1680" s="84"/>
      <c r="O1680" s="40"/>
      <c r="P1680" s="756"/>
      <c r="Q1680" s="795"/>
      <c r="R1680" s="785">
        <f>IFERROR(VLOOKUP($Q1680,'391'!$S:$Z,8,0),"")</f>
        <v>0</v>
      </c>
      <c r="S1680" s="786"/>
      <c r="T1680" s="787" t="str">
        <f t="shared" si="1036"/>
        <v>Premix 31VFeedmill44379</v>
      </c>
      <c r="U1680" s="787"/>
      <c r="V1680" s="787"/>
      <c r="W1680" s="785">
        <f>IFERROR(VLOOKUP($Q1680,'391'!$S:$AG,15,0),0)</f>
        <v>0</v>
      </c>
      <c r="X1680" s="1090">
        <f t="shared" si="1033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420" customFormat="1" ht="30" hidden="1" customHeight="1" x14ac:dyDescent="0.25">
      <c r="A1681" s="2011" t="s">
        <v>136</v>
      </c>
      <c r="B1681" s="2012"/>
      <c r="C1681" s="1033"/>
      <c r="D1681" s="1034"/>
      <c r="E1681" s="1127"/>
      <c r="F1681" s="1034"/>
      <c r="G1681" s="1328">
        <v>0</v>
      </c>
      <c r="H1681" s="1328">
        <f t="shared" ref="H1681:K1681" si="1037">SUM(H1674:H1680)</f>
        <v>0</v>
      </c>
      <c r="I1681" s="1328">
        <f t="shared" si="1037"/>
        <v>0</v>
      </c>
      <c r="J1681" s="1328">
        <f t="shared" si="1037"/>
        <v>0</v>
      </c>
      <c r="K1681" s="1328">
        <f t="shared" si="1037"/>
        <v>0</v>
      </c>
      <c r="L1681" s="1534">
        <f t="shared" si="1035"/>
        <v>0</v>
      </c>
      <c r="M1681" s="889" t="str">
        <f>IFERROR(R1681/$S$2,"")</f>
        <v/>
      </c>
      <c r="N1681" s="854">
        <f>IFERROR(L1681/M1681,0)</f>
        <v>0</v>
      </c>
      <c r="O1681" s="889">
        <f>IFERROR(SUMIF(ETM!$A:$A,$Q1681,ETM!$E:$E),"")</f>
        <v>0</v>
      </c>
      <c r="P1681" s="880">
        <f>IFERROR(L1681/O1681,0)</f>
        <v>0</v>
      </c>
      <c r="Q1681" s="814" t="s">
        <v>642</v>
      </c>
      <c r="R1681" s="785" t="str">
        <f>IFERROR(VLOOKUP($Q1681,'391'!$S:$Z,8,0),"")</f>
        <v/>
      </c>
      <c r="S1681" s="786"/>
      <c r="T1681" s="787"/>
      <c r="U1681" s="787"/>
      <c r="V1681" s="787"/>
      <c r="W1681" s="785">
        <f>IFERROR(VLOOKUP($Q1681,'391'!$S:$AG,15,0),0)</f>
        <v>0</v>
      </c>
      <c r="X1681" s="1090">
        <f t="shared" si="1033"/>
        <v>0</v>
      </c>
      <c r="Y1681" s="787"/>
      <c r="Z1681" s="791"/>
      <c r="AA1681" s="787"/>
      <c r="AB1681" s="787"/>
      <c r="AC1681" s="550"/>
      <c r="AD1681" s="550"/>
      <c r="AE1681" s="550"/>
      <c r="AF1681" s="550"/>
      <c r="AG1681" s="550"/>
      <c r="AH1681" s="550"/>
      <c r="AI1681" s="559"/>
      <c r="AJ1681" s="559"/>
      <c r="AK1681" s="559"/>
      <c r="AL1681" s="559"/>
      <c r="AM1681" s="559"/>
      <c r="AN1681" s="559"/>
      <c r="AO1681" s="559"/>
      <c r="AP1681" s="559"/>
      <c r="AQ1681" s="559"/>
      <c r="AR1681" s="559"/>
      <c r="AS1681" s="559"/>
    </row>
    <row r="1682" spans="1:45" s="344" customFormat="1" ht="30" hidden="1" customHeight="1" x14ac:dyDescent="0.25">
      <c r="A1682" s="2013">
        <f>IF(L1690=0,"",MAX($A$16:A1681)+1)</f>
        <v>119</v>
      </c>
      <c r="B1682" s="391" t="s">
        <v>1703</v>
      </c>
      <c r="C1682" s="249"/>
      <c r="D1682" s="866" t="s">
        <v>10</v>
      </c>
      <c r="E1682" s="1126">
        <v>45996</v>
      </c>
      <c r="F1682" s="71">
        <f t="shared" ref="F1682:F1683" si="1038">$L$7-E1682</f>
        <v>280</v>
      </c>
      <c r="G1682" s="1435">
        <v>0</v>
      </c>
      <c r="H1682" s="11"/>
      <c r="I1682" s="11"/>
      <c r="J1682" s="1388"/>
      <c r="K1682" s="64">
        <f>IFERROR(SUMIF(INTAKE!$A:$A,$T1682,INTAKE!$P:$P),0)</f>
        <v>0</v>
      </c>
      <c r="L1682" s="1703">
        <f t="shared" si="1035"/>
        <v>0</v>
      </c>
      <c r="M1682" s="66"/>
      <c r="N1682" s="66"/>
      <c r="O1682" s="66"/>
      <c r="P1682" s="744"/>
      <c r="Q1682" s="795"/>
      <c r="R1682" s="785">
        <f>IFERROR(VLOOKUP($Q1682,'391'!$S:$Z,8,0),"")</f>
        <v>0</v>
      </c>
      <c r="S1682" s="786"/>
      <c r="T1682" s="787" t="str">
        <f t="shared" ref="T1682:T1689" si="1039">$Q$1690&amp;C1682&amp;E1682</f>
        <v>Premix 48V45996</v>
      </c>
      <c r="U1682" s="787"/>
      <c r="V1682" s="787"/>
      <c r="W1682" s="785">
        <f>IFERROR(VLOOKUP($Q1682,'391'!$S:$AG,15,0),0)</f>
        <v>0</v>
      </c>
      <c r="X1682" s="1090">
        <f t="shared" si="1033"/>
        <v>0</v>
      </c>
      <c r="Y1682" s="787"/>
      <c r="Z1682" s="791"/>
      <c r="AA1682" s="787"/>
      <c r="AB1682" s="787"/>
      <c r="AC1682" s="687"/>
      <c r="AD1682" s="687"/>
      <c r="AE1682" s="687"/>
      <c r="AF1682" s="687"/>
      <c r="AG1682" s="687"/>
      <c r="AH1682" s="687"/>
      <c r="AI1682" s="709"/>
      <c r="AJ1682" s="709"/>
      <c r="AK1682" s="709"/>
      <c r="AL1682" s="709"/>
      <c r="AM1682" s="709"/>
      <c r="AN1682" s="709"/>
      <c r="AO1682" s="709"/>
      <c r="AP1682" s="709"/>
      <c r="AQ1682" s="709"/>
      <c r="AR1682" s="709"/>
      <c r="AS1682" s="709"/>
    </row>
    <row r="1683" spans="1:45" s="344" customFormat="1" ht="30" customHeight="1" x14ac:dyDescent="0.25">
      <c r="A1683" s="2014"/>
      <c r="B1683" s="391" t="s">
        <v>1956</v>
      </c>
      <c r="C1683" s="249" t="s">
        <v>188</v>
      </c>
      <c r="D1683" s="866" t="s">
        <v>10</v>
      </c>
      <c r="E1683" s="1126">
        <v>46262</v>
      </c>
      <c r="F1683" s="71">
        <f t="shared" si="1038"/>
        <v>14</v>
      </c>
      <c r="G1683" s="1435">
        <v>240</v>
      </c>
      <c r="H1683" s="11"/>
      <c r="I1683" s="11"/>
      <c r="J1683" s="1388"/>
      <c r="K1683" s="64">
        <f>IFERROR(SUMIF(INTAKE!$A:$A,$T1683,INTAKE!$P:$P),0)</f>
        <v>240</v>
      </c>
      <c r="L1683" s="1703">
        <f t="shared" si="1035"/>
        <v>0</v>
      </c>
      <c r="M1683" s="101"/>
      <c r="N1683" s="101"/>
      <c r="O1683" s="101"/>
      <c r="P1683" s="738"/>
      <c r="Q1683" s="795"/>
      <c r="R1683" s="785">
        <f>IFERROR(VLOOKUP($Q1683,'391'!$S:$Z,8,0),"")</f>
        <v>0</v>
      </c>
      <c r="S1683" s="786"/>
      <c r="T1683" s="787" t="str">
        <f t="shared" si="1039"/>
        <v>Premix 48VX1.246262</v>
      </c>
      <c r="U1683" s="787"/>
      <c r="V1683" s="787"/>
      <c r="W1683" s="785">
        <f>IFERROR(VLOOKUP($Q1683,'391'!$S:$AG,15,0),0)</f>
        <v>0</v>
      </c>
      <c r="X1683" s="1090">
        <f t="shared" si="1033"/>
        <v>240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customHeight="1" x14ac:dyDescent="0.25">
      <c r="A1684" s="2014"/>
      <c r="B1684" s="391" t="s">
        <v>1987</v>
      </c>
      <c r="C1684" s="249" t="s">
        <v>188</v>
      </c>
      <c r="D1684" s="866" t="s">
        <v>10</v>
      </c>
      <c r="E1684" s="1126">
        <v>46270</v>
      </c>
      <c r="F1684" s="71">
        <f t="shared" ref="F1684" si="1040">$L$7-E1684</f>
        <v>6</v>
      </c>
      <c r="G1684" s="1435">
        <v>360</v>
      </c>
      <c r="H1684" s="11"/>
      <c r="I1684" s="11"/>
      <c r="J1684" s="1388"/>
      <c r="K1684" s="64">
        <f>IFERROR(SUMIF(INTAKE!$A:$A,$T1684,INTAKE!$P:$P),0)</f>
        <v>0</v>
      </c>
      <c r="L1684" s="1703">
        <f t="shared" si="1035"/>
        <v>360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39"/>
        <v>Premix 48VX1.246270</v>
      </c>
      <c r="U1684" s="787"/>
      <c r="V1684" s="787"/>
      <c r="W1684" s="785">
        <f>IFERROR(VLOOKUP($Q1684,'391'!$S:$AG,15,0),0)</f>
        <v>0</v>
      </c>
      <c r="X1684" s="1090">
        <f t="shared" si="1033"/>
        <v>360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14"/>
      <c r="B1685" s="391" t="s">
        <v>344</v>
      </c>
      <c r="C1685" s="249" t="s">
        <v>188</v>
      </c>
      <c r="D1685" s="866" t="s">
        <v>10</v>
      </c>
      <c r="E1685" s="1126">
        <v>46275</v>
      </c>
      <c r="F1685" s="71">
        <f t="shared" ref="F1685:F1689" si="1041">$L$7-E1685</f>
        <v>1</v>
      </c>
      <c r="G1685" s="1435">
        <v>450</v>
      </c>
      <c r="H1685" s="11"/>
      <c r="I1685" s="11"/>
      <c r="J1685" s="1388"/>
      <c r="K1685" s="64">
        <f>IFERROR(SUMIF(INTAKE!$A:$A,$T1685,INTAKE!$P:$P),0)</f>
        <v>0</v>
      </c>
      <c r="L1685" s="1703">
        <f t="shared" si="1035"/>
        <v>450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39"/>
        <v>Premix 48VX1.246275</v>
      </c>
      <c r="U1685" s="787"/>
      <c r="V1685" s="787"/>
      <c r="W1685" s="785">
        <f>IFERROR(VLOOKUP($Q1685,'391'!$S:$AG,15,0),0)</f>
        <v>0</v>
      </c>
      <c r="X1685" s="1090">
        <f t="shared" si="1033"/>
        <v>450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14"/>
      <c r="B1686" s="391" t="s">
        <v>1748</v>
      </c>
      <c r="C1686" s="249"/>
      <c r="D1686" s="866" t="s">
        <v>10</v>
      </c>
      <c r="E1686" s="1126">
        <v>46059</v>
      </c>
      <c r="F1686" s="71">
        <f t="shared" si="1041"/>
        <v>217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534">
        <f t="shared" si="1035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39"/>
        <v>Premix 48V46059</v>
      </c>
      <c r="U1686" s="787"/>
      <c r="V1686" s="787"/>
      <c r="W1686" s="785">
        <f>IFERROR(VLOOKUP($Q1686,'391'!$S:$AG,15,0),0)</f>
        <v>0</v>
      </c>
      <c r="X1686" s="1090">
        <f t="shared" si="1033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14"/>
      <c r="B1687" s="391" t="s">
        <v>344</v>
      </c>
      <c r="C1687" s="249"/>
      <c r="D1687" s="866" t="s">
        <v>10</v>
      </c>
      <c r="E1687" s="1126">
        <v>42971</v>
      </c>
      <c r="F1687" s="71">
        <f t="shared" si="1041"/>
        <v>3305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534">
        <f t="shared" si="1035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39"/>
        <v>Premix 48V42971</v>
      </c>
      <c r="U1687" s="787"/>
      <c r="V1687" s="787"/>
      <c r="W1687" s="785">
        <f>IFERROR(VLOOKUP($Q1687,'391'!$S:$AG,15,0),0)</f>
        <v>0</v>
      </c>
      <c r="X1687" s="1090">
        <f t="shared" si="1033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14"/>
      <c r="B1688" s="391" t="s">
        <v>345</v>
      </c>
      <c r="C1688" s="249"/>
      <c r="D1688" s="866" t="s">
        <v>10</v>
      </c>
      <c r="E1688" s="1126">
        <v>42978</v>
      </c>
      <c r="F1688" s="71">
        <f t="shared" si="1041"/>
        <v>3298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4">
        <f t="shared" si="1035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39"/>
        <v>Premix 48V42978</v>
      </c>
      <c r="U1688" s="787"/>
      <c r="V1688" s="787"/>
      <c r="W1688" s="785">
        <f>IFERROR(VLOOKUP($Q1688,'391'!$S:$AG,15,0),0)</f>
        <v>0</v>
      </c>
      <c r="X1688" s="1090">
        <f t="shared" si="1033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421" customFormat="1" ht="30" customHeight="1" x14ac:dyDescent="0.25">
      <c r="A1689" s="2015"/>
      <c r="B1689" s="1018" t="s">
        <v>1956</v>
      </c>
      <c r="C1689" s="87" t="s">
        <v>46</v>
      </c>
      <c r="D1689" s="884" t="s">
        <v>10</v>
      </c>
      <c r="E1689" s="1123">
        <v>46262</v>
      </c>
      <c r="F1689" s="71">
        <f t="shared" si="1041"/>
        <v>14</v>
      </c>
      <c r="G1689" s="1434">
        <v>177.80000000000015</v>
      </c>
      <c r="H1689" s="37"/>
      <c r="I1689" s="37">
        <f>+SUM(K1682:K1685)</f>
        <v>240</v>
      </c>
      <c r="J1689" s="1385">
        <f>+usage!I231</f>
        <v>59.36</v>
      </c>
      <c r="K1689" s="64">
        <f>IFERROR(SUMIF(INTAKE!$A:$A,$T1689,INTAKE!$P:$P),0)</f>
        <v>0</v>
      </c>
      <c r="L1689" s="1534">
        <f t="shared" si="1035"/>
        <v>358.44000000000017</v>
      </c>
      <c r="M1689" s="35"/>
      <c r="N1689" s="35"/>
      <c r="O1689" s="35"/>
      <c r="P1689" s="740"/>
      <c r="Q1689" s="795"/>
      <c r="R1689" s="785">
        <f>IFERROR(VLOOKUP($Q1689,'391'!$S:$Z,8,0),"")</f>
        <v>0</v>
      </c>
      <c r="S1689" s="786"/>
      <c r="T1689" s="787" t="str">
        <f t="shared" si="1039"/>
        <v>Premix 48VFeedmill46262</v>
      </c>
      <c r="U1689" s="787"/>
      <c r="V1689" s="787"/>
      <c r="W1689" s="785">
        <f>IFERROR(VLOOKUP($Q1689,'391'!$S:$AG,15,0),0)</f>
        <v>0</v>
      </c>
      <c r="X1689" s="1090">
        <f t="shared" si="1033"/>
        <v>177.80000000000015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420" customFormat="1" ht="30" customHeight="1" x14ac:dyDescent="0.25">
      <c r="A1690" s="2011" t="s">
        <v>70</v>
      </c>
      <c r="B1690" s="2012"/>
      <c r="C1690" s="125"/>
      <c r="D1690" s="1027"/>
      <c r="E1690" s="1027"/>
      <c r="F1690" s="896"/>
      <c r="G1690" s="1328">
        <v>1227.8000000000002</v>
      </c>
      <c r="H1690" s="1328">
        <f t="shared" ref="H1690:L1690" si="1042">SUM(H1682:H1689)</f>
        <v>0</v>
      </c>
      <c r="I1690" s="1328">
        <f t="shared" si="1042"/>
        <v>240</v>
      </c>
      <c r="J1690" s="1328">
        <f t="shared" si="1042"/>
        <v>59.36</v>
      </c>
      <c r="K1690" s="1328">
        <f t="shared" si="1042"/>
        <v>240</v>
      </c>
      <c r="L1690" s="1328">
        <f t="shared" si="1042"/>
        <v>1168.44</v>
      </c>
      <c r="M1690" s="1036">
        <f>IFERROR(R1690/$S$2,"")</f>
        <v>67.61333333333333</v>
      </c>
      <c r="N1690" s="854">
        <f>(L1690/M1690)</f>
        <v>17.281206862551766</v>
      </c>
      <c r="O1690" s="889">
        <f>IFERROR(SUMIF(ETM!$A:$A,$Q1690,ETM!$E:$E),"")</f>
        <v>43.166666666666664</v>
      </c>
      <c r="P1690" s="880">
        <f>IFERROR(L1690/O1690,0)</f>
        <v>27.06810810810811</v>
      </c>
      <c r="Q1690" s="814" t="s">
        <v>643</v>
      </c>
      <c r="R1690" s="785">
        <f>IFERROR(VLOOKUP($Q1690,'391'!$S:$Z,8,0),"")</f>
        <v>304.26</v>
      </c>
      <c r="S1690" s="786"/>
      <c r="T1690" s="787"/>
      <c r="U1690" s="787"/>
      <c r="V1690" s="787"/>
      <c r="W1690" s="785">
        <f>IFERROR(VLOOKUP($Q1690,'391'!$S:$AG,15,0),0)</f>
        <v>1006.12</v>
      </c>
      <c r="X1690" s="1090">
        <f t="shared" si="1033"/>
        <v>221.68000000000018</v>
      </c>
      <c r="Y1690" s="787"/>
      <c r="Z1690" s="791"/>
      <c r="AA1690" s="787"/>
      <c r="AB1690" s="787"/>
      <c r="AC1690" s="550"/>
      <c r="AD1690" s="550"/>
      <c r="AE1690" s="550"/>
      <c r="AF1690" s="550"/>
      <c r="AG1690" s="550"/>
      <c r="AH1690" s="550"/>
      <c r="AI1690" s="559"/>
      <c r="AJ1690" s="559"/>
      <c r="AK1690" s="559"/>
      <c r="AL1690" s="559"/>
      <c r="AM1690" s="559"/>
      <c r="AN1690" s="559"/>
      <c r="AO1690" s="559"/>
      <c r="AP1690" s="559"/>
      <c r="AQ1690" s="559"/>
      <c r="AR1690" s="559"/>
      <c r="AS1690" s="559"/>
    </row>
    <row r="1691" spans="1:45" s="6" customFormat="1" ht="30" hidden="1" customHeight="1" x14ac:dyDescent="0.25">
      <c r="A1691" s="2196" t="str">
        <f>IF(L1700=0,"",MAX($A$16:A1690)+1)</f>
        <v/>
      </c>
      <c r="B1691" s="2017" t="s">
        <v>68</v>
      </c>
      <c r="C1691" s="150" t="s">
        <v>149</v>
      </c>
      <c r="D1691" s="1111" t="s">
        <v>10</v>
      </c>
      <c r="E1691" s="1035">
        <v>42971</v>
      </c>
      <c r="F1691" s="71">
        <f t="shared" ref="F1691:F1699" si="1043">$L$7-E1691</f>
        <v>3305</v>
      </c>
      <c r="G1691" s="1433">
        <v>0</v>
      </c>
      <c r="H1691" s="958"/>
      <c r="I1691" s="63"/>
      <c r="J1691" s="1436"/>
      <c r="K1691" s="958"/>
      <c r="L1691" s="1534">
        <f t="shared" ref="L1691:L1711" si="1044">+G1691+H1691+I1691-J1691-K1691</f>
        <v>0</v>
      </c>
      <c r="M1691" s="66"/>
      <c r="N1691" s="920"/>
      <c r="O1691" s="66"/>
      <c r="P1691" s="857"/>
      <c r="Q1691" s="795"/>
      <c r="R1691" s="785">
        <f>IFERROR(VLOOKUP($Q1691,'391'!$S:$Z,8,0),"")</f>
        <v>0</v>
      </c>
      <c r="S1691" s="786"/>
      <c r="T1691" s="787"/>
      <c r="U1691" s="787"/>
      <c r="V1691" s="787"/>
      <c r="W1691" s="785">
        <f>IFERROR(VLOOKUP($Q1691,'391'!$S:$AG,15,0),0)</f>
        <v>0</v>
      </c>
      <c r="X1691" s="1090">
        <f t="shared" si="1033"/>
        <v>0</v>
      </c>
      <c r="Y1691" s="787"/>
      <c r="Z1691" s="791"/>
      <c r="AA1691" s="787"/>
      <c r="AB1691" s="787"/>
      <c r="AC1691" s="679"/>
      <c r="AD1691" s="679"/>
      <c r="AE1691" s="679"/>
      <c r="AF1691" s="679"/>
      <c r="AG1691" s="679"/>
      <c r="AH1691" s="679"/>
      <c r="AI1691" s="682"/>
      <c r="AJ1691" s="682"/>
      <c r="AK1691" s="682"/>
      <c r="AL1691" s="682"/>
      <c r="AM1691" s="682"/>
      <c r="AN1691" s="682"/>
      <c r="AO1691" s="682"/>
      <c r="AP1691" s="682"/>
      <c r="AQ1691" s="682"/>
      <c r="AR1691" s="682"/>
      <c r="AS1691" s="682"/>
    </row>
    <row r="1692" spans="1:45" s="6" customFormat="1" ht="30" hidden="1" customHeight="1" x14ac:dyDescent="0.25">
      <c r="A1692" s="2196"/>
      <c r="B1692" s="2017"/>
      <c r="C1692" s="150" t="s">
        <v>149</v>
      </c>
      <c r="D1692" s="866" t="s">
        <v>10</v>
      </c>
      <c r="E1692" s="1035">
        <v>42972</v>
      </c>
      <c r="F1692" s="71">
        <f t="shared" si="1043"/>
        <v>3304</v>
      </c>
      <c r="G1692" s="1433">
        <v>0</v>
      </c>
      <c r="H1692" s="12"/>
      <c r="I1692" s="63"/>
      <c r="J1692" s="1366"/>
      <c r="K1692" s="958"/>
      <c r="L1692" s="1534">
        <f t="shared" si="1044"/>
        <v>0</v>
      </c>
      <c r="M1692" s="101"/>
      <c r="N1692" s="249"/>
      <c r="O1692" s="101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33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196"/>
      <c r="B1693" s="2017"/>
      <c r="C1693" s="150" t="s">
        <v>149</v>
      </c>
      <c r="D1693" s="866" t="s">
        <v>10</v>
      </c>
      <c r="E1693" s="1035">
        <v>42973</v>
      </c>
      <c r="F1693" s="71">
        <f t="shared" si="1043"/>
        <v>3303</v>
      </c>
      <c r="G1693" s="1433">
        <v>0</v>
      </c>
      <c r="H1693" s="58"/>
      <c r="I1693" s="11"/>
      <c r="J1693" s="1365"/>
      <c r="K1693" s="58"/>
      <c r="L1693" s="1534">
        <f t="shared" si="1044"/>
        <v>0</v>
      </c>
      <c r="M1693" s="147"/>
      <c r="N1693" s="248"/>
      <c r="O1693" s="147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33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196"/>
      <c r="B1694" s="2017"/>
      <c r="C1694" s="150" t="s">
        <v>149</v>
      </c>
      <c r="D1694" s="866" t="s">
        <v>10</v>
      </c>
      <c r="E1694" s="1035">
        <v>42974</v>
      </c>
      <c r="F1694" s="71">
        <f t="shared" si="1043"/>
        <v>3302</v>
      </c>
      <c r="G1694" s="1433">
        <v>0</v>
      </c>
      <c r="H1694" s="58"/>
      <c r="I1694" s="11"/>
      <c r="J1694" s="1365"/>
      <c r="K1694" s="58"/>
      <c r="L1694" s="1534">
        <f t="shared" si="1044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33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196"/>
      <c r="B1695" s="2017"/>
      <c r="C1695" s="150" t="s">
        <v>149</v>
      </c>
      <c r="D1695" s="866" t="s">
        <v>10</v>
      </c>
      <c r="E1695" s="1035">
        <v>42975</v>
      </c>
      <c r="F1695" s="71">
        <f t="shared" si="1043"/>
        <v>3301</v>
      </c>
      <c r="G1695" s="1433">
        <v>0</v>
      </c>
      <c r="H1695" s="11"/>
      <c r="I1695" s="11"/>
      <c r="J1695" s="1365"/>
      <c r="K1695" s="58"/>
      <c r="L1695" s="1534">
        <f t="shared" si="1044"/>
        <v>0</v>
      </c>
      <c r="M1695" s="101"/>
      <c r="N1695" s="249"/>
      <c r="O1695" s="101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33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196"/>
      <c r="B1696" s="2017"/>
      <c r="C1696" s="150" t="s">
        <v>149</v>
      </c>
      <c r="D1696" s="866" t="s">
        <v>10</v>
      </c>
      <c r="E1696" s="1035">
        <v>42976</v>
      </c>
      <c r="F1696" s="71">
        <f t="shared" si="1043"/>
        <v>3300</v>
      </c>
      <c r="G1696" s="1437">
        <v>0</v>
      </c>
      <c r="H1696" s="58"/>
      <c r="I1696" s="58"/>
      <c r="J1696" s="1365"/>
      <c r="K1696" s="58"/>
      <c r="L1696" s="1534">
        <f t="shared" si="1044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33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196"/>
      <c r="B1697" s="2017"/>
      <c r="C1697" s="150" t="s">
        <v>149</v>
      </c>
      <c r="D1697" s="866" t="s">
        <v>10</v>
      </c>
      <c r="E1697" s="1035">
        <v>42977</v>
      </c>
      <c r="F1697" s="71">
        <f t="shared" si="1043"/>
        <v>3299</v>
      </c>
      <c r="G1697" s="1435">
        <v>0</v>
      </c>
      <c r="H1697" s="12"/>
      <c r="I1697" s="12"/>
      <c r="J1697" s="1368"/>
      <c r="K1697" s="12"/>
      <c r="L1697" s="1534">
        <f t="shared" si="1044"/>
        <v>0</v>
      </c>
      <c r="M1697" s="23"/>
      <c r="N1697" s="920"/>
      <c r="O1697" s="23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33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196"/>
      <c r="B1698" s="2017"/>
      <c r="C1698" s="149" t="s">
        <v>46</v>
      </c>
      <c r="D1698" s="866" t="s">
        <v>10</v>
      </c>
      <c r="E1698" s="1035">
        <v>42978</v>
      </c>
      <c r="F1698" s="71">
        <f t="shared" si="1043"/>
        <v>3298</v>
      </c>
      <c r="G1698" s="1324">
        <v>0</v>
      </c>
      <c r="H1698" s="56"/>
      <c r="I1698" s="56"/>
      <c r="J1698" s="1437"/>
      <c r="K1698" s="56"/>
      <c r="L1698" s="1534">
        <f t="shared" si="1044"/>
        <v>0</v>
      </c>
      <c r="M1698" s="23"/>
      <c r="N1698" s="920"/>
      <c r="O1698" s="23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33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406" customFormat="1" ht="30" hidden="1" customHeight="1" x14ac:dyDescent="0.25">
      <c r="A1699" s="2201"/>
      <c r="B1699" s="2198"/>
      <c r="C1699" s="144" t="s">
        <v>46</v>
      </c>
      <c r="D1699" s="884" t="s">
        <v>10</v>
      </c>
      <c r="E1699" s="1035">
        <v>42979</v>
      </c>
      <c r="F1699" s="71">
        <f t="shared" si="1043"/>
        <v>3297</v>
      </c>
      <c r="G1699" s="1434">
        <v>0</v>
      </c>
      <c r="H1699" s="37"/>
      <c r="I1699" s="37"/>
      <c r="J1699" s="1428"/>
      <c r="K1699" s="37"/>
      <c r="L1699" s="1534">
        <f t="shared" si="1044"/>
        <v>0</v>
      </c>
      <c r="M1699" s="35"/>
      <c r="N1699" s="87"/>
      <c r="O1699" s="35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33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420" customFormat="1" ht="30" hidden="1" customHeight="1" x14ac:dyDescent="0.25">
      <c r="A1700" s="2011" t="s">
        <v>40</v>
      </c>
      <c r="B1700" s="2012"/>
      <c r="C1700" s="125"/>
      <c r="D1700" s="1029"/>
      <c r="E1700" s="1029"/>
      <c r="F1700" s="1037"/>
      <c r="G1700" s="1422">
        <v>0</v>
      </c>
      <c r="H1700" s="1422">
        <f>SUM(H1691:H1699)</f>
        <v>0</v>
      </c>
      <c r="I1700" s="1422">
        <f>SUM(I1691:I1699)</f>
        <v>0</v>
      </c>
      <c r="J1700" s="1422">
        <f>SUM(J1691:J1699)</f>
        <v>0</v>
      </c>
      <c r="K1700" s="1422"/>
      <c r="L1700" s="1534">
        <f t="shared" si="1044"/>
        <v>0</v>
      </c>
      <c r="M1700" s="889">
        <v>0</v>
      </c>
      <c r="N1700" s="854" t="e">
        <f>(L1700/M1700)/1000</f>
        <v>#DIV/0!</v>
      </c>
      <c r="O1700" s="889"/>
      <c r="P1700" s="857" t="e">
        <f>(L1700/O1700)/1000</f>
        <v>#DIV/0!</v>
      </c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33"/>
        <v>0</v>
      </c>
      <c r="Y1700" s="787"/>
      <c r="Z1700" s="791"/>
      <c r="AA1700" s="787"/>
      <c r="AB1700" s="787"/>
      <c r="AC1700" s="550"/>
      <c r="AD1700" s="550"/>
      <c r="AE1700" s="550"/>
      <c r="AF1700" s="550"/>
      <c r="AG1700" s="550"/>
      <c r="AH1700" s="550"/>
      <c r="AI1700" s="559"/>
      <c r="AJ1700" s="559"/>
      <c r="AK1700" s="559"/>
      <c r="AL1700" s="559"/>
      <c r="AM1700" s="559"/>
      <c r="AN1700" s="559"/>
      <c r="AO1700" s="559"/>
      <c r="AP1700" s="559"/>
      <c r="AQ1700" s="559"/>
      <c r="AR1700" s="559"/>
      <c r="AS1700" s="559"/>
    </row>
    <row r="1701" spans="1:45" s="422" customFormat="1" ht="30" customHeight="1" x14ac:dyDescent="0.25">
      <c r="A1701" s="2195">
        <f>IF(L1712=0,"",MAX($A$16:A1700)+1)</f>
        <v>120</v>
      </c>
      <c r="B1701" s="390" t="s">
        <v>1988</v>
      </c>
      <c r="C1701" s="1180" t="s">
        <v>1990</v>
      </c>
      <c r="D1701" s="866" t="s">
        <v>10</v>
      </c>
      <c r="E1701" s="1126">
        <v>46270</v>
      </c>
      <c r="F1701" s="71">
        <f t="shared" ref="F1701:F1706" si="1045">$L$7-E1701</f>
        <v>6</v>
      </c>
      <c r="G1701" s="1435">
        <v>1050</v>
      </c>
      <c r="H1701" s="58"/>
      <c r="I1701" s="64"/>
      <c r="J1701" s="1365"/>
      <c r="K1701" s="64">
        <f>IFERROR(SUMIF(INTAKE!$A:$A,$T1701,INTAKE!$P:$P),0)</f>
        <v>0</v>
      </c>
      <c r="L1701" s="1703">
        <f t="shared" si="1044"/>
        <v>1050</v>
      </c>
      <c r="M1701" s="50"/>
      <c r="N1701" s="50"/>
      <c r="O1701" s="50"/>
      <c r="P1701" s="744"/>
      <c r="Q1701" s="795"/>
      <c r="R1701" s="785">
        <f>IFERROR(VLOOKUP($Q1701,'391'!$S:$Z,8,0),"")</f>
        <v>0</v>
      </c>
      <c r="S1701" s="786"/>
      <c r="T1701" s="787" t="str">
        <f t="shared" ref="T1701:T1711" si="1046">$Q$1712&amp;C1701&amp;E1701</f>
        <v>Premix 51VV4.346270</v>
      </c>
      <c r="U1701" s="787"/>
      <c r="V1701" s="787"/>
      <c r="W1701" s="785">
        <f>IFERROR(VLOOKUP($Q1701,'391'!$S:$AG,15,0),0)</f>
        <v>0</v>
      </c>
      <c r="X1701" s="1090">
        <f t="shared" si="1033"/>
        <v>1050</v>
      </c>
      <c r="Y1701" s="787"/>
      <c r="Z1701" s="791"/>
      <c r="AA1701" s="787"/>
      <c r="AB1701" s="787"/>
      <c r="AC1701" s="687"/>
      <c r="AD1701" s="687"/>
      <c r="AE1701" s="687"/>
      <c r="AF1701" s="687"/>
      <c r="AG1701" s="687"/>
      <c r="AH1701" s="687"/>
      <c r="AI1701" s="709"/>
      <c r="AJ1701" s="709"/>
      <c r="AK1701" s="709"/>
      <c r="AL1701" s="709"/>
      <c r="AM1701" s="709"/>
      <c r="AN1701" s="709"/>
      <c r="AO1701" s="709"/>
      <c r="AP1701" s="709"/>
      <c r="AQ1701" s="709"/>
      <c r="AR1701" s="709"/>
      <c r="AS1701" s="709"/>
    </row>
    <row r="1702" spans="1:45" s="422" customFormat="1" ht="30" customHeight="1" x14ac:dyDescent="0.25">
      <c r="A1702" s="2196"/>
      <c r="B1702" s="390" t="s">
        <v>1988</v>
      </c>
      <c r="C1702" s="1180" t="s">
        <v>1923</v>
      </c>
      <c r="D1702" s="866" t="s">
        <v>10</v>
      </c>
      <c r="E1702" s="1126">
        <v>46270</v>
      </c>
      <c r="F1702" s="71">
        <f t="shared" si="1045"/>
        <v>6</v>
      </c>
      <c r="G1702" s="1435">
        <v>1050</v>
      </c>
      <c r="H1702" s="58"/>
      <c r="I1702" s="64"/>
      <c r="J1702" s="1365"/>
      <c r="K1702" s="64">
        <f>IFERROR(SUMIF(INTAKE!$A:$A,$T1702,INTAKE!$P:$P),0)</f>
        <v>1050</v>
      </c>
      <c r="L1702" s="1703">
        <f t="shared" si="1044"/>
        <v>0</v>
      </c>
      <c r="M1702" s="48"/>
      <c r="N1702" s="48"/>
      <c r="O1702" s="48"/>
      <c r="P1702" s="738"/>
      <c r="Q1702" s="795"/>
      <c r="R1702" s="785">
        <f>IFERROR(VLOOKUP($Q1702,'391'!$S:$Z,8,0),"")</f>
        <v>0</v>
      </c>
      <c r="S1702" s="786"/>
      <c r="T1702" s="787" t="str">
        <f t="shared" si="1046"/>
        <v>Premix 51VV8.346270</v>
      </c>
      <c r="U1702" s="787"/>
      <c r="V1702" s="787"/>
      <c r="W1702" s="785">
        <f>IFERROR(VLOOKUP($Q1702,'391'!$S:$AG,15,0),0)</f>
        <v>0</v>
      </c>
      <c r="X1702" s="1090">
        <f t="shared" si="1033"/>
        <v>1050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customHeight="1" x14ac:dyDescent="0.25">
      <c r="A1703" s="2196"/>
      <c r="B1703" s="390" t="s">
        <v>1988</v>
      </c>
      <c r="C1703" s="1180" t="s">
        <v>1833</v>
      </c>
      <c r="D1703" s="866" t="s">
        <v>10</v>
      </c>
      <c r="E1703" s="1126">
        <v>46270</v>
      </c>
      <c r="F1703" s="71">
        <f t="shared" si="1045"/>
        <v>6</v>
      </c>
      <c r="G1703" s="1435">
        <v>1050</v>
      </c>
      <c r="H1703" s="58"/>
      <c r="I1703" s="64"/>
      <c r="J1703" s="1365"/>
      <c r="K1703" s="64">
        <f>IFERROR(SUMIF(INTAKE!$A:$A,$T1703,INTAKE!$P:$P),0)</f>
        <v>0</v>
      </c>
      <c r="L1703" s="1703">
        <f t="shared" si="1044"/>
        <v>1050</v>
      </c>
      <c r="M1703" s="48"/>
      <c r="N1703" s="48"/>
      <c r="O1703" s="48"/>
      <c r="P1703" s="738"/>
      <c r="Q1703" s="795"/>
      <c r="R1703" s="785">
        <f>IFERROR(VLOOKUP($Q1703,'391'!$S:$Z,8,0),"")</f>
        <v>0</v>
      </c>
      <c r="S1703" s="786"/>
      <c r="T1703" s="787" t="str">
        <f t="shared" si="1046"/>
        <v>Premix 51VV9.246270</v>
      </c>
      <c r="U1703" s="787"/>
      <c r="V1703" s="787"/>
      <c r="W1703" s="785">
        <f>IFERROR(VLOOKUP($Q1703,'391'!$S:$AG,15,0),0)</f>
        <v>0</v>
      </c>
      <c r="X1703" s="1090">
        <f t="shared" si="1033"/>
        <v>1050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196"/>
      <c r="B1704" s="390" t="s">
        <v>2240</v>
      </c>
      <c r="C1704" s="1180" t="s">
        <v>149</v>
      </c>
      <c r="D1704" s="866" t="s">
        <v>10</v>
      </c>
      <c r="E1704" s="1126">
        <v>46275</v>
      </c>
      <c r="F1704" s="71">
        <f t="shared" si="1045"/>
        <v>1</v>
      </c>
      <c r="G1704" s="1435">
        <v>1500</v>
      </c>
      <c r="H1704" s="58"/>
      <c r="I1704" s="64"/>
      <c r="J1704" s="1365"/>
      <c r="K1704" s="64">
        <f>IFERROR(SUMIF(INTAKE!$A:$A,$T1704,INTAKE!$P:$P),0)</f>
        <v>0</v>
      </c>
      <c r="L1704" s="1703">
        <f>+G1704+H1704+I1704-J1704-K1704</f>
        <v>1500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46"/>
        <v>Premix 51VY4.246275</v>
      </c>
      <c r="U1704" s="787"/>
      <c r="V1704" s="787"/>
      <c r="W1704" s="785">
        <f>IFERROR(VLOOKUP($Q1704,'391'!$S:$AG,15,0),0)</f>
        <v>0</v>
      </c>
      <c r="X1704" s="1090">
        <f t="shared" si="1033"/>
        <v>1500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196"/>
      <c r="B1705" s="390" t="s">
        <v>2240</v>
      </c>
      <c r="C1705" s="1180" t="s">
        <v>1923</v>
      </c>
      <c r="D1705" s="866" t="s">
        <v>10</v>
      </c>
      <c r="E1705" s="1126">
        <v>46275</v>
      </c>
      <c r="F1705" s="71">
        <f t="shared" si="1045"/>
        <v>1</v>
      </c>
      <c r="G1705" s="1435">
        <v>1050</v>
      </c>
      <c r="H1705" s="58"/>
      <c r="I1705" s="64"/>
      <c r="J1705" s="1365"/>
      <c r="K1705" s="64">
        <f>IFERROR(SUMIF(INTAKE!$A:$A,$T1705,INTAKE!$P:$P),0)</f>
        <v>0</v>
      </c>
      <c r="L1705" s="1703">
        <f>+G1705+H1705+I1705-J1705-K1705</f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46"/>
        <v>Premix 51VV8.346275</v>
      </c>
      <c r="U1705" s="787"/>
      <c r="V1705" s="787"/>
      <c r="W1705" s="785">
        <f>IFERROR(VLOOKUP($Q1705,'391'!$S:$AG,15,0),0)</f>
        <v>0</v>
      </c>
      <c r="X1705" s="1090">
        <f t="shared" si="1033"/>
        <v>1050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196"/>
      <c r="B1706" s="390" t="s">
        <v>2240</v>
      </c>
      <c r="C1706" s="1180" t="s">
        <v>2239</v>
      </c>
      <c r="D1706" s="866" t="s">
        <v>10</v>
      </c>
      <c r="E1706" s="1126">
        <v>46275</v>
      </c>
      <c r="F1706" s="71">
        <f t="shared" si="1045"/>
        <v>1</v>
      </c>
      <c r="G1706" s="1435">
        <v>1050</v>
      </c>
      <c r="H1706" s="58"/>
      <c r="I1706" s="64"/>
      <c r="J1706" s="1365"/>
      <c r="K1706" s="64">
        <f>IFERROR(SUMIF(INTAKE!$A:$A,$T1706,INTAKE!$P:$P),0)</f>
        <v>0</v>
      </c>
      <c r="L1706" s="1703">
        <f>+G1706+H1706+I1706-J1706-K1706</f>
        <v>1050</v>
      </c>
      <c r="M1706" s="604"/>
      <c r="N1706" s="605"/>
      <c r="O1706" s="605"/>
      <c r="P1706" s="746"/>
      <c r="Q1706" s="795"/>
      <c r="R1706" s="785">
        <f>IFERROR(VLOOKUP($Q1706,'391'!$S:$Z,8,0),"")</f>
        <v>0</v>
      </c>
      <c r="S1706" s="786"/>
      <c r="T1706" s="787" t="str">
        <f t="shared" si="1046"/>
        <v>Premix 51VV9.346275</v>
      </c>
      <c r="U1706" s="787"/>
      <c r="V1706" s="787"/>
      <c r="W1706" s="785">
        <f>IFERROR(VLOOKUP($Q1706,'391'!$S:$AG,15,0),0)</f>
        <v>0</v>
      </c>
      <c r="X1706" s="1090">
        <f t="shared" si="1033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196"/>
      <c r="B1707" s="390" t="s">
        <v>2240</v>
      </c>
      <c r="C1707" s="1180"/>
      <c r="D1707" s="866" t="s">
        <v>10</v>
      </c>
      <c r="E1707" s="1126">
        <v>46275</v>
      </c>
      <c r="F1707" s="71">
        <f t="shared" ref="F1707" si="1047">$L$7-E1707</f>
        <v>1</v>
      </c>
      <c r="G1707" s="1435"/>
      <c r="H1707" s="58"/>
      <c r="I1707" s="64"/>
      <c r="J1707" s="1365"/>
      <c r="K1707" s="64">
        <f>IFERROR(SUMIF(INTAKE!$A:$A,$T1707,INTAKE!$P:$P),0)</f>
        <v>0</v>
      </c>
      <c r="L1707" s="1703">
        <f>+G1707+H1707+I1707-J1707-K1707</f>
        <v>0</v>
      </c>
      <c r="M1707" s="46"/>
      <c r="N1707" s="46"/>
      <c r="O1707" s="46"/>
      <c r="P1707" s="734"/>
      <c r="Q1707" s="795"/>
      <c r="R1707" s="785">
        <f>IFERROR(VLOOKUP($Q1707,'391'!$S:$Z,8,0),"")</f>
        <v>0</v>
      </c>
      <c r="S1707" s="786"/>
      <c r="T1707" s="787" t="str">
        <f t="shared" si="1046"/>
        <v>Premix 51V46275</v>
      </c>
      <c r="U1707" s="787"/>
      <c r="V1707" s="787"/>
      <c r="W1707" s="785">
        <f>IFERROR(VLOOKUP($Q1707,'391'!$S:$AG,15,0),0)</f>
        <v>0</v>
      </c>
      <c r="X1707" s="1090">
        <f t="shared" si="1033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196"/>
      <c r="B1708" s="390" t="s">
        <v>1822</v>
      </c>
      <c r="C1708" s="1180"/>
      <c r="D1708" s="866" t="s">
        <v>10</v>
      </c>
      <c r="E1708" s="1126">
        <v>46150</v>
      </c>
      <c r="F1708" s="71">
        <f t="shared" ref="F1708" si="1048">$L$7-E1708</f>
        <v>126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3">
        <f>+G1708+H1708+I1708-J1708-K1708</f>
        <v>0</v>
      </c>
      <c r="M1708" s="45"/>
      <c r="N1708" s="45"/>
      <c r="O1708" s="45"/>
      <c r="P1708" s="736"/>
      <c r="Q1708" s="795"/>
      <c r="R1708" s="785">
        <f>IFERROR(VLOOKUP($Q1708,'391'!$S:$Z,8,0),"")</f>
        <v>0</v>
      </c>
      <c r="S1708" s="786"/>
      <c r="T1708" s="787" t="str">
        <f t="shared" si="1046"/>
        <v>Premix 51V46150</v>
      </c>
      <c r="U1708" s="787"/>
      <c r="V1708" s="787"/>
      <c r="W1708" s="785">
        <f>IFERROR(VLOOKUP($Q1708,'391'!$S:$AG,15,0),0)</f>
        <v>0</v>
      </c>
      <c r="X1708" s="1090">
        <f t="shared" si="1033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196"/>
      <c r="B1709" s="390" t="s">
        <v>1822</v>
      </c>
      <c r="C1709" s="1180"/>
      <c r="D1709" s="866" t="s">
        <v>10</v>
      </c>
      <c r="E1709" s="1126">
        <v>46150</v>
      </c>
      <c r="F1709" s="71">
        <f t="shared" ref="F1709" si="1049">$L$7-E1709</f>
        <v>126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3">
        <f t="shared" si="1044"/>
        <v>0</v>
      </c>
      <c r="M1709" s="604"/>
      <c r="N1709" s="605"/>
      <c r="O1709" s="605"/>
      <c r="P1709" s="746"/>
      <c r="Q1709" s="795"/>
      <c r="R1709" s="785">
        <f>IFERROR(VLOOKUP($Q1709,'391'!$S:$Z,8,0),"")</f>
        <v>0</v>
      </c>
      <c r="S1709" s="786"/>
      <c r="T1709" s="787" t="str">
        <f t="shared" si="1046"/>
        <v>Premix 51V46150</v>
      </c>
      <c r="U1709" s="787"/>
      <c r="V1709" s="787"/>
      <c r="W1709" s="785">
        <f>IFERROR(VLOOKUP($Q1709,'391'!$S:$AG,15,0),0)</f>
        <v>0</v>
      </c>
      <c r="X1709" s="1090">
        <f t="shared" si="1033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196"/>
      <c r="B1710" s="390" t="s">
        <v>1543</v>
      </c>
      <c r="C1710" s="1180"/>
      <c r="D1710" s="866" t="s">
        <v>10</v>
      </c>
      <c r="E1710" s="1126">
        <v>45695</v>
      </c>
      <c r="F1710" s="71">
        <f t="shared" ref="F1710:F1711" si="1050">$L$7-E1710</f>
        <v>581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3">
        <f t="shared" si="1044"/>
        <v>0</v>
      </c>
      <c r="M1710" s="1771"/>
      <c r="N1710" s="1771"/>
      <c r="O1710" s="1771"/>
      <c r="P1710" s="1772"/>
      <c r="Q1710" s="795"/>
      <c r="R1710" s="785">
        <f>IFERROR(VLOOKUP($Q1710,'391'!$S:$Z,8,0),"")</f>
        <v>0</v>
      </c>
      <c r="S1710" s="786"/>
      <c r="T1710" s="787" t="str">
        <f t="shared" si="1046"/>
        <v>Premix 51V45695</v>
      </c>
      <c r="U1710" s="787"/>
      <c r="V1710" s="787"/>
      <c r="W1710" s="785">
        <f>IFERROR(VLOOKUP($Q1710,'391'!$S:$AG,15,0),0)</f>
        <v>0</v>
      </c>
      <c r="X1710" s="1090">
        <f t="shared" si="1033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1" customFormat="1" ht="30" customHeight="1" x14ac:dyDescent="0.25">
      <c r="A1711" s="2196"/>
      <c r="B1711" s="395" t="s">
        <v>1988</v>
      </c>
      <c r="C1711" s="84" t="s">
        <v>46</v>
      </c>
      <c r="D1711" s="884" t="s">
        <v>10</v>
      </c>
      <c r="E1711" s="1123">
        <v>46270</v>
      </c>
      <c r="F1711" s="71">
        <f t="shared" si="1050"/>
        <v>6</v>
      </c>
      <c r="G1711" s="1434">
        <v>506.0400000000003</v>
      </c>
      <c r="H1711" s="37"/>
      <c r="I1711" s="37">
        <f>+SUM(K1701:K1706)</f>
        <v>1050</v>
      </c>
      <c r="J1711" s="1385">
        <f>+usage!I236</f>
        <v>262.39999999999998</v>
      </c>
      <c r="K1711" s="64">
        <f>IFERROR(SUMIF(INTAKE!$A:$A,$T1711,INTAKE!$P:$P),0)</f>
        <v>0</v>
      </c>
      <c r="L1711" s="1534">
        <f t="shared" si="1044"/>
        <v>1293.6400000000003</v>
      </c>
      <c r="M1711" s="53"/>
      <c r="N1711" s="53"/>
      <c r="O1711" s="53"/>
      <c r="P1711" s="735"/>
      <c r="Q1711" s="795"/>
      <c r="R1711" s="785">
        <f>IFERROR(VLOOKUP($Q1711,'391'!$S:$Z,8,0),"")</f>
        <v>0</v>
      </c>
      <c r="S1711" s="786"/>
      <c r="T1711" s="787" t="str">
        <f t="shared" si="1046"/>
        <v>Premix 51VFeedmill46270</v>
      </c>
      <c r="U1711" s="787"/>
      <c r="V1711" s="787"/>
      <c r="W1711" s="785">
        <f>IFERROR(VLOOKUP($Q1711,'391'!$S:$AG,15,0),0)</f>
        <v>0</v>
      </c>
      <c r="X1711" s="1090">
        <f t="shared" si="1033"/>
        <v>506.0400000000003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0" customFormat="1" ht="30" customHeight="1" x14ac:dyDescent="0.25">
      <c r="A1712" s="2011" t="s">
        <v>54</v>
      </c>
      <c r="B1712" s="2012"/>
      <c r="C1712" s="2095"/>
      <c r="D1712" s="2095"/>
      <c r="E1712" s="2095"/>
      <c r="F1712" s="2095"/>
      <c r="G1712" s="1422">
        <v>7256.04</v>
      </c>
      <c r="H1712" s="1422">
        <f t="shared" ref="H1712:L1712" si="1051">SUM(H1701:H1711)</f>
        <v>0</v>
      </c>
      <c r="I1712" s="1422">
        <f t="shared" si="1051"/>
        <v>1050</v>
      </c>
      <c r="J1712" s="1422">
        <f t="shared" si="1051"/>
        <v>262.39999999999998</v>
      </c>
      <c r="K1712" s="1422">
        <f t="shared" si="1051"/>
        <v>1050</v>
      </c>
      <c r="L1712" s="1422">
        <f t="shared" si="1051"/>
        <v>6993.64</v>
      </c>
      <c r="M1712" s="889">
        <f>IFERROR(R1712/$S$2,"")</f>
        <v>298.86666666666667</v>
      </c>
      <c r="N1712" s="854">
        <f>(L1712/M1712)</f>
        <v>23.400535355788534</v>
      </c>
      <c r="O1712" s="889">
        <f>IFERROR(SUMIF(ETM!$A:$A,$Q1712,ETM!$E:$E),"")</f>
        <v>295.5</v>
      </c>
      <c r="P1712" s="880">
        <f>IFERROR(L1712/O1712,0)</f>
        <v>23.667140439932318</v>
      </c>
      <c r="Q1712" s="814" t="s">
        <v>644</v>
      </c>
      <c r="R1712" s="785">
        <f>IFERROR(VLOOKUP($Q1712,'391'!$S:$Z,8,0),"")</f>
        <v>1344.9</v>
      </c>
      <c r="S1712" s="786"/>
      <c r="T1712" s="787"/>
      <c r="U1712" s="787"/>
      <c r="V1712" s="787"/>
      <c r="W1712" s="785">
        <f>IFERROR(VLOOKUP($Q1712,'391'!$S:$AG,15,0),0)</f>
        <v>5191.82</v>
      </c>
      <c r="X1712" s="1090">
        <f t="shared" si="1033"/>
        <v>2064.2200000000003</v>
      </c>
      <c r="Y1712" s="787"/>
      <c r="Z1712" s="791"/>
      <c r="AA1712" s="787"/>
      <c r="AB1712" s="787"/>
      <c r="AC1712" s="550"/>
      <c r="AD1712" s="550"/>
      <c r="AE1712" s="550"/>
      <c r="AF1712" s="550"/>
      <c r="AG1712" s="550"/>
      <c r="AH1712" s="550"/>
      <c r="AI1712" s="559"/>
      <c r="AJ1712" s="559"/>
      <c r="AK1712" s="559"/>
      <c r="AL1712" s="559"/>
      <c r="AM1712" s="559"/>
      <c r="AN1712" s="559"/>
      <c r="AO1712" s="559"/>
      <c r="AP1712" s="559"/>
      <c r="AQ1712" s="559"/>
      <c r="AR1712" s="559"/>
      <c r="AS1712" s="559"/>
    </row>
    <row r="1713" spans="1:45" s="6" customFormat="1" ht="30" hidden="1" customHeight="1" x14ac:dyDescent="0.25">
      <c r="A1713" s="2018" t="str">
        <f>IF(L1721=0,"",MAX($A$16:A1712)+1)</f>
        <v/>
      </c>
      <c r="B1713" s="2016" t="s">
        <v>160</v>
      </c>
      <c r="C1713" s="237" t="s">
        <v>271</v>
      </c>
      <c r="D1713" s="1111" t="s">
        <v>10</v>
      </c>
      <c r="E1713" s="1126">
        <v>44203</v>
      </c>
      <c r="F1713" s="71">
        <f t="shared" ref="F1713:F1720" si="1052">$L$7-E1713</f>
        <v>2073</v>
      </c>
      <c r="G1713" s="1427">
        <v>0</v>
      </c>
      <c r="H1713" s="12"/>
      <c r="I1713" s="12"/>
      <c r="J1713" s="1368"/>
      <c r="K1713" s="12"/>
      <c r="L1713" s="1534">
        <f t="shared" ref="L1713:L1732" si="1053">+G1713+H1713+I1713-J1713-K1713</f>
        <v>0</v>
      </c>
      <c r="M1713" s="66"/>
      <c r="N1713" s="920"/>
      <c r="O1713" s="66"/>
      <c r="P1713" s="857"/>
      <c r="Q1713" s="795"/>
      <c r="R1713" s="785">
        <f>IFERROR(VLOOKUP($Q1713,'391'!$S:$Z,8,0),"")</f>
        <v>0</v>
      </c>
      <c r="S1713" s="786"/>
      <c r="T1713" s="787"/>
      <c r="U1713" s="787"/>
      <c r="V1713" s="787"/>
      <c r="W1713" s="785">
        <f>IFERROR(VLOOKUP($Q1713,'391'!$S:$AG,15,0),0)</f>
        <v>0</v>
      </c>
      <c r="X1713" s="1090">
        <f t="shared" si="1033"/>
        <v>0</v>
      </c>
      <c r="Y1713" s="787"/>
      <c r="Z1713" s="791"/>
      <c r="AA1713" s="787"/>
      <c r="AB1713" s="787"/>
      <c r="AC1713" s="679"/>
      <c r="AD1713" s="679"/>
      <c r="AE1713" s="679"/>
      <c r="AF1713" s="679"/>
      <c r="AG1713" s="679"/>
      <c r="AH1713" s="679"/>
      <c r="AI1713" s="682"/>
      <c r="AJ1713" s="682"/>
      <c r="AK1713" s="682"/>
      <c r="AL1713" s="682"/>
      <c r="AM1713" s="682"/>
      <c r="AN1713" s="682"/>
      <c r="AO1713" s="682"/>
      <c r="AP1713" s="682"/>
      <c r="AQ1713" s="682"/>
      <c r="AR1713" s="682"/>
      <c r="AS1713" s="682"/>
    </row>
    <row r="1714" spans="1:45" s="6" customFormat="1" ht="30" hidden="1" customHeight="1" x14ac:dyDescent="0.25">
      <c r="A1714" s="2010"/>
      <c r="B1714" s="2017"/>
      <c r="C1714" s="237" t="s">
        <v>271</v>
      </c>
      <c r="D1714" s="866" t="s">
        <v>10</v>
      </c>
      <c r="E1714" s="1126">
        <v>44204</v>
      </c>
      <c r="F1714" s="71">
        <f t="shared" si="1052"/>
        <v>2072</v>
      </c>
      <c r="G1714" s="1427">
        <v>0</v>
      </c>
      <c r="H1714" s="12"/>
      <c r="I1714" s="12"/>
      <c r="J1714" s="1368"/>
      <c r="K1714" s="12"/>
      <c r="L1714" s="1534">
        <f t="shared" si="1053"/>
        <v>0</v>
      </c>
      <c r="M1714" s="147"/>
      <c r="N1714" s="248"/>
      <c r="O1714" s="147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33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10"/>
      <c r="B1715" s="2017"/>
      <c r="C1715" s="237" t="s">
        <v>236</v>
      </c>
      <c r="D1715" s="866" t="s">
        <v>10</v>
      </c>
      <c r="E1715" s="1126">
        <v>44205</v>
      </c>
      <c r="F1715" s="71">
        <f t="shared" si="1052"/>
        <v>2071</v>
      </c>
      <c r="G1715" s="1427">
        <v>0</v>
      </c>
      <c r="H1715" s="12"/>
      <c r="I1715" s="12"/>
      <c r="J1715" s="1368"/>
      <c r="K1715" s="12"/>
      <c r="L1715" s="1534">
        <f t="shared" si="1053"/>
        <v>0</v>
      </c>
      <c r="M1715" s="101"/>
      <c r="N1715" s="249"/>
      <c r="O1715" s="101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33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10"/>
      <c r="B1716" s="2017"/>
      <c r="C1716" s="237" t="s">
        <v>142</v>
      </c>
      <c r="D1716" s="866" t="s">
        <v>10</v>
      </c>
      <c r="E1716" s="1126">
        <v>44206</v>
      </c>
      <c r="F1716" s="71">
        <f t="shared" si="1052"/>
        <v>2070</v>
      </c>
      <c r="G1716" s="1427">
        <v>0</v>
      </c>
      <c r="H1716" s="12"/>
      <c r="I1716" s="12"/>
      <c r="J1716" s="1368"/>
      <c r="K1716" s="12"/>
      <c r="L1716" s="1534">
        <f t="shared" si="1053"/>
        <v>0</v>
      </c>
      <c r="M1716" s="101"/>
      <c r="N1716" s="249"/>
      <c r="O1716" s="101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33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10"/>
      <c r="B1717" s="2017"/>
      <c r="C1717" s="237" t="s">
        <v>142</v>
      </c>
      <c r="D1717" s="866" t="s">
        <v>10</v>
      </c>
      <c r="E1717" s="1126">
        <v>44207</v>
      </c>
      <c r="F1717" s="71">
        <f t="shared" si="1052"/>
        <v>2069</v>
      </c>
      <c r="G1717" s="1435">
        <v>0</v>
      </c>
      <c r="H1717" s="12"/>
      <c r="I1717" s="12"/>
      <c r="J1717" s="1368"/>
      <c r="K1717" s="12"/>
      <c r="L1717" s="1534">
        <f t="shared" si="1053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33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10"/>
      <c r="B1718" s="2017"/>
      <c r="C1718" s="237" t="s">
        <v>236</v>
      </c>
      <c r="D1718" s="866" t="s">
        <v>10</v>
      </c>
      <c r="E1718" s="1126">
        <v>44208</v>
      </c>
      <c r="F1718" s="71">
        <f t="shared" si="1052"/>
        <v>2068</v>
      </c>
      <c r="G1718" s="1427">
        <v>0</v>
      </c>
      <c r="H1718" s="1438"/>
      <c r="I1718" s="12"/>
      <c r="J1718" s="1368"/>
      <c r="K1718" s="12"/>
      <c r="L1718" s="1534">
        <f t="shared" si="1053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33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10"/>
      <c r="B1719" s="2017"/>
      <c r="C1719" s="237" t="s">
        <v>245</v>
      </c>
      <c r="D1719" s="866" t="s">
        <v>10</v>
      </c>
      <c r="E1719" s="1126">
        <v>44209</v>
      </c>
      <c r="F1719" s="71">
        <f t="shared" si="1052"/>
        <v>2067</v>
      </c>
      <c r="G1719" s="1435">
        <v>0</v>
      </c>
      <c r="H1719" s="1438"/>
      <c r="I1719" s="12"/>
      <c r="J1719" s="1397"/>
      <c r="K1719" s="958"/>
      <c r="L1719" s="1534">
        <f t="shared" si="1053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33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19"/>
      <c r="B1720" s="2198"/>
      <c r="C1720" s="144" t="s">
        <v>46</v>
      </c>
      <c r="D1720" s="884" t="s">
        <v>10</v>
      </c>
      <c r="E1720" s="1126">
        <v>44210</v>
      </c>
      <c r="F1720" s="71">
        <f t="shared" si="1052"/>
        <v>2066</v>
      </c>
      <c r="G1720" s="1434">
        <v>0</v>
      </c>
      <c r="H1720" s="1438"/>
      <c r="I1720" s="958"/>
      <c r="J1720" s="1397"/>
      <c r="K1720" s="958"/>
      <c r="L1720" s="1534">
        <f t="shared" si="1053"/>
        <v>0</v>
      </c>
      <c r="M1720" s="24"/>
      <c r="N1720" s="920"/>
      <c r="O1720" s="24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33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420" customFormat="1" ht="30" hidden="1" customHeight="1" x14ac:dyDescent="0.25">
      <c r="A1721" s="2011" t="s">
        <v>161</v>
      </c>
      <c r="B1721" s="2012"/>
      <c r="C1721" s="2094"/>
      <c r="D1721" s="2095"/>
      <c r="E1721" s="2095"/>
      <c r="F1721" s="2095"/>
      <c r="G1721" s="1328">
        <v>0</v>
      </c>
      <c r="H1721" s="1353">
        <f>+SUM(H1713:H1720)</f>
        <v>0</v>
      </c>
      <c r="I1721" s="1353">
        <f>+SUM(I1713:I1720)</f>
        <v>0</v>
      </c>
      <c r="J1721" s="1353">
        <f>+SUM(J1713:J1720)</f>
        <v>0</v>
      </c>
      <c r="K1721" s="1353"/>
      <c r="L1721" s="1534">
        <f t="shared" si="1053"/>
        <v>0</v>
      </c>
      <c r="M1721" s="889">
        <v>0</v>
      </c>
      <c r="N1721" s="366" t="e">
        <f>(L1721/M1721)/1000</f>
        <v>#DIV/0!</v>
      </c>
      <c r="O1721" s="889">
        <v>0</v>
      </c>
      <c r="P1721" s="857" t="e">
        <f>(L1721/O1721)/1000</f>
        <v>#DIV/0!</v>
      </c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33"/>
        <v>0</v>
      </c>
      <c r="Y1721" s="787"/>
      <c r="Z1721" s="791"/>
      <c r="AA1721" s="787"/>
      <c r="AB1721" s="787"/>
      <c r="AC1721" s="550"/>
      <c r="AD1721" s="550"/>
      <c r="AE1721" s="550"/>
      <c r="AF1721" s="550"/>
      <c r="AG1721" s="550"/>
      <c r="AH1721" s="550"/>
      <c r="AI1721" s="559"/>
      <c r="AJ1721" s="559"/>
      <c r="AK1721" s="559"/>
      <c r="AL1721" s="559"/>
      <c r="AM1721" s="559"/>
      <c r="AN1721" s="559"/>
      <c r="AO1721" s="559"/>
      <c r="AP1721" s="559"/>
      <c r="AQ1721" s="559"/>
      <c r="AR1721" s="559"/>
      <c r="AS1721" s="559"/>
    </row>
    <row r="1722" spans="1:45" s="6" customFormat="1" ht="30" hidden="1" customHeight="1" x14ac:dyDescent="0.25">
      <c r="A1722" s="2009">
        <f>IF(L1733=0,"",MAX($A$16:A1721)+1)</f>
        <v>121</v>
      </c>
      <c r="B1722" s="390" t="s">
        <v>1578</v>
      </c>
      <c r="C1722" s="190"/>
      <c r="D1722" s="866" t="s">
        <v>10</v>
      </c>
      <c r="E1722" s="1119">
        <v>45780</v>
      </c>
      <c r="F1722" s="71">
        <f t="shared" ref="F1722:F1727" si="1054">$L$7-E1722</f>
        <v>496</v>
      </c>
      <c r="G1722" s="63">
        <v>0</v>
      </c>
      <c r="H1722" s="63"/>
      <c r="I1722" s="1348"/>
      <c r="J1722" s="1365"/>
      <c r="K1722" s="64">
        <f>IFERROR(SUMIF(INTAKE!$A:$A,$T1722,INTAKE!$P:$P),0)</f>
        <v>0</v>
      </c>
      <c r="L1722" s="1703">
        <f t="shared" si="1053"/>
        <v>0</v>
      </c>
      <c r="M1722" s="147"/>
      <c r="N1722" s="248"/>
      <c r="O1722" s="147"/>
      <c r="P1722" s="748"/>
      <c r="Q1722" s="795"/>
      <c r="R1722" s="785">
        <f>IFERROR(VLOOKUP($Q1722,'391'!$S:$Z,8,0),"")</f>
        <v>0</v>
      </c>
      <c r="S1722" s="786"/>
      <c r="T1722" s="787" t="str">
        <f t="shared" ref="T1722:T1732" si="1055">$Q$1733&amp;C1722&amp;E1722</f>
        <v>Premix 52V45780</v>
      </c>
      <c r="U1722" s="787"/>
      <c r="V1722" s="787"/>
      <c r="W1722" s="785">
        <f>IFERROR(VLOOKUP($Q1722,'391'!$S:$AG,15,0),0)</f>
        <v>0</v>
      </c>
      <c r="X1722" s="1090">
        <f t="shared" si="1033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6" customFormat="1" ht="30" customHeight="1" x14ac:dyDescent="0.25">
      <c r="A1723" s="2197"/>
      <c r="B1723" s="390" t="s">
        <v>1993</v>
      </c>
      <c r="C1723" s="190" t="s">
        <v>1841</v>
      </c>
      <c r="D1723" s="866" t="s">
        <v>10</v>
      </c>
      <c r="E1723" s="1119">
        <v>46270</v>
      </c>
      <c r="F1723" s="71">
        <f t="shared" si="1054"/>
        <v>6</v>
      </c>
      <c r="G1723" s="63">
        <v>600</v>
      </c>
      <c r="H1723" s="63"/>
      <c r="I1723" s="1348"/>
      <c r="J1723" s="1365"/>
      <c r="K1723" s="64">
        <f>IFERROR(SUMIF(INTAKE!$A:$A,$T1723,INTAKE!$P:$P),0)</f>
        <v>0</v>
      </c>
      <c r="L1723" s="1703">
        <f t="shared" si="1053"/>
        <v>600</v>
      </c>
      <c r="M1723" s="147"/>
      <c r="N1723" s="248"/>
      <c r="O1723" s="147"/>
      <c r="P1723" s="748"/>
      <c r="Q1723" s="795"/>
      <c r="R1723" s="785">
        <f>IFERROR(VLOOKUP($Q1723,'391'!$S:$Z,8,0),"")</f>
        <v>0</v>
      </c>
      <c r="S1723" s="786"/>
      <c r="T1723" s="787" t="str">
        <f t="shared" si="1055"/>
        <v>Premix 52VY5.246270</v>
      </c>
      <c r="U1723" s="787"/>
      <c r="V1723" s="787"/>
      <c r="W1723" s="785">
        <f>IFERROR(VLOOKUP($Q1723,'391'!$S:$AG,15,0),0)</f>
        <v>0</v>
      </c>
      <c r="X1723" s="1090">
        <f t="shared" si="1033"/>
        <v>600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6" customFormat="1" ht="30" customHeight="1" x14ac:dyDescent="0.25">
      <c r="A1724" s="2010"/>
      <c r="B1724" s="390" t="s">
        <v>1993</v>
      </c>
      <c r="C1724" s="190" t="s">
        <v>271</v>
      </c>
      <c r="D1724" s="866" t="s">
        <v>10</v>
      </c>
      <c r="E1724" s="1119">
        <v>46270</v>
      </c>
      <c r="F1724" s="71">
        <f t="shared" si="1054"/>
        <v>6</v>
      </c>
      <c r="G1724" s="63">
        <v>1050</v>
      </c>
      <c r="H1724" s="63"/>
      <c r="I1724" s="1348"/>
      <c r="J1724" s="1365"/>
      <c r="K1724" s="64">
        <f>IFERROR(SUMIF(INTAKE!$A:$A,$T1724,INTAKE!$P:$P),0)</f>
        <v>0</v>
      </c>
      <c r="L1724" s="1703">
        <f t="shared" si="1053"/>
        <v>1050</v>
      </c>
      <c r="M1724" s="101"/>
      <c r="N1724" s="249"/>
      <c r="O1724" s="101"/>
      <c r="P1724" s="750"/>
      <c r="Q1724" s="795"/>
      <c r="R1724" s="785">
        <f>IFERROR(VLOOKUP($Q1724,'391'!$S:$Z,8,0),"")</f>
        <v>0</v>
      </c>
      <c r="S1724" s="786"/>
      <c r="T1724" s="787" t="str">
        <f t="shared" si="1055"/>
        <v>Premix 52VY5.346270</v>
      </c>
      <c r="U1724" s="787"/>
      <c r="V1724" s="787"/>
      <c r="W1724" s="785">
        <f>IFERROR(VLOOKUP($Q1724,'391'!$S:$AG,15,0),0)</f>
        <v>0</v>
      </c>
      <c r="X1724" s="1090">
        <f t="shared" si="1033"/>
        <v>1050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10"/>
      <c r="B1725" s="390" t="s">
        <v>1993</v>
      </c>
      <c r="C1725" s="190" t="s">
        <v>236</v>
      </c>
      <c r="D1725" s="866" t="s">
        <v>10</v>
      </c>
      <c r="E1725" s="1119">
        <v>46270</v>
      </c>
      <c r="F1725" s="71">
        <f t="shared" si="1054"/>
        <v>6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3">
        <f t="shared" si="1053"/>
        <v>1050</v>
      </c>
      <c r="M1725" s="101"/>
      <c r="N1725" s="249"/>
      <c r="O1725" s="101"/>
      <c r="P1725" s="750"/>
      <c r="Q1725" s="795"/>
      <c r="R1725" s="785">
        <f>IFERROR(VLOOKUP($Q1725,'391'!$S:$Z,8,0),"")</f>
        <v>0</v>
      </c>
      <c r="S1725" s="786"/>
      <c r="T1725" s="787" t="str">
        <f t="shared" si="1055"/>
        <v>Premix 52VY6.346270</v>
      </c>
      <c r="U1725" s="787"/>
      <c r="V1725" s="787"/>
      <c r="W1725" s="785">
        <f>IFERROR(VLOOKUP($Q1725,'391'!$S:$AG,15,0),0)</f>
        <v>0</v>
      </c>
      <c r="X1725" s="1090">
        <f t="shared" si="1033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10"/>
      <c r="B1726" s="390" t="s">
        <v>2243</v>
      </c>
      <c r="C1726" s="190" t="s">
        <v>141</v>
      </c>
      <c r="D1726" s="866" t="s">
        <v>10</v>
      </c>
      <c r="E1726" s="1119">
        <v>46275</v>
      </c>
      <c r="F1726" s="71">
        <f t="shared" ref="F1726" si="1056">$L$7-E1726</f>
        <v>1</v>
      </c>
      <c r="G1726" s="63">
        <v>1050</v>
      </c>
      <c r="H1726" s="63"/>
      <c r="I1726" s="1348"/>
      <c r="J1726" s="1365"/>
      <c r="K1726" s="64">
        <f>IFERROR(SUMIF(INTAKE!$A:$A,$T1726,INTAKE!$P:$P),0)</f>
        <v>0</v>
      </c>
      <c r="L1726" s="1703">
        <f t="shared" si="1053"/>
        <v>1050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55"/>
        <v>Premix 52VY6.246275</v>
      </c>
      <c r="U1726" s="787"/>
      <c r="V1726" s="787"/>
      <c r="W1726" s="785">
        <f>IFERROR(VLOOKUP($Q1726,'391'!$S:$AG,15,0),0)</f>
        <v>0</v>
      </c>
      <c r="X1726" s="1090">
        <f t="shared" si="1033"/>
        <v>1050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10"/>
      <c r="B1727" s="390" t="s">
        <v>2243</v>
      </c>
      <c r="C1727" s="190" t="s">
        <v>1841</v>
      </c>
      <c r="D1727" s="866" t="s">
        <v>10</v>
      </c>
      <c r="E1727" s="1119">
        <v>46275</v>
      </c>
      <c r="F1727" s="71">
        <f t="shared" si="1054"/>
        <v>1</v>
      </c>
      <c r="G1727" s="63">
        <v>450</v>
      </c>
      <c r="H1727" s="63"/>
      <c r="I1727" s="1348"/>
      <c r="J1727" s="1365"/>
      <c r="K1727" s="64">
        <f>IFERROR(SUMIF(INTAKE!$A:$A,$T1727,INTAKE!$P:$P),0)</f>
        <v>0</v>
      </c>
      <c r="L1727" s="1703">
        <f t="shared" si="1053"/>
        <v>450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55"/>
        <v>Premix 52VY5.246275</v>
      </c>
      <c r="U1727" s="787"/>
      <c r="V1727" s="787"/>
      <c r="W1727" s="785">
        <f>IFERROR(VLOOKUP($Q1727,'391'!$S:$AG,15,0),0)</f>
        <v>0</v>
      </c>
      <c r="X1727" s="1090">
        <f t="shared" si="1033"/>
        <v>450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411" customFormat="1" ht="30" hidden="1" customHeight="1" x14ac:dyDescent="0.25">
      <c r="A1728" s="2010"/>
      <c r="B1728" s="390" t="s">
        <v>1882</v>
      </c>
      <c r="C1728" s="190"/>
      <c r="D1728" s="866" t="s">
        <v>10</v>
      </c>
      <c r="E1728" s="1119">
        <v>46227</v>
      </c>
      <c r="F1728" s="71">
        <f t="shared" ref="F1728" si="1057">$L$7-E1728</f>
        <v>49</v>
      </c>
      <c r="G1728" s="63">
        <v>0</v>
      </c>
      <c r="H1728" s="63"/>
      <c r="I1728" s="1348"/>
      <c r="J1728" s="1365"/>
      <c r="K1728" s="64">
        <f>IFERROR(SUMIF(INTAKE!$A:$A,$T1728,INTAKE!$P:$P),0)</f>
        <v>0</v>
      </c>
      <c r="L1728" s="1703">
        <f t="shared" si="1053"/>
        <v>0</v>
      </c>
      <c r="M1728" s="48"/>
      <c r="N1728" s="163"/>
      <c r="O1728" s="48"/>
      <c r="P1728" s="750"/>
      <c r="Q1728" s="795"/>
      <c r="R1728" s="785">
        <f>IFERROR(VLOOKUP($Q1728,'391'!$S:$Z,8,0),"")</f>
        <v>0</v>
      </c>
      <c r="S1728" s="786"/>
      <c r="T1728" s="787" t="str">
        <f t="shared" si="1055"/>
        <v>Premix 52V46227</v>
      </c>
      <c r="U1728" s="787"/>
      <c r="V1728" s="787"/>
      <c r="W1728" s="785">
        <f>IFERROR(VLOOKUP($Q1728,'391'!$S:$AG,15,0),0)</f>
        <v>0</v>
      </c>
      <c r="X1728" s="1090">
        <f t="shared" si="1033"/>
        <v>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11" customFormat="1" ht="30" hidden="1" customHeight="1" x14ac:dyDescent="0.25">
      <c r="A1729" s="2010"/>
      <c r="B1729" s="390" t="s">
        <v>1882</v>
      </c>
      <c r="C1729" s="190"/>
      <c r="D1729" s="866" t="s">
        <v>10</v>
      </c>
      <c r="E1729" s="1119">
        <v>46227</v>
      </c>
      <c r="F1729" s="71">
        <f t="shared" ref="F1729" si="1058">$L$7-E1729</f>
        <v>49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3">
        <f t="shared" si="1053"/>
        <v>0</v>
      </c>
      <c r="M1729" s="48"/>
      <c r="N1729" s="163"/>
      <c r="O1729" s="48"/>
      <c r="P1729" s="750"/>
      <c r="Q1729" s="795"/>
      <c r="R1729" s="785">
        <f>IFERROR(VLOOKUP($Q1729,'391'!$S:$Z,8,0),"")</f>
        <v>0</v>
      </c>
      <c r="S1729" s="786"/>
      <c r="T1729" s="787" t="str">
        <f t="shared" si="1055"/>
        <v>Premix 52V46227</v>
      </c>
      <c r="U1729" s="787"/>
      <c r="V1729" s="787"/>
      <c r="W1729" s="785">
        <f>IFERROR(VLOOKUP($Q1729,'391'!$S:$AG,15,0),0)</f>
        <v>0</v>
      </c>
      <c r="X1729" s="1090">
        <f t="shared" si="1033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10"/>
      <c r="B1730" s="390" t="s">
        <v>1508</v>
      </c>
      <c r="C1730" s="190"/>
      <c r="D1730" s="866" t="s">
        <v>10</v>
      </c>
      <c r="E1730" s="1119">
        <v>45576</v>
      </c>
      <c r="F1730" s="71">
        <f t="shared" ref="F1730:F1731" si="1059">$L$7-E1730</f>
        <v>700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3">
        <f t="shared" si="1053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55"/>
        <v>Premix 52V45576</v>
      </c>
      <c r="U1730" s="787"/>
      <c r="V1730" s="787"/>
      <c r="W1730" s="785">
        <f>IFERROR(VLOOKUP($Q1730,'391'!$S:$AG,15,0),0)</f>
        <v>0</v>
      </c>
      <c r="X1730" s="1090">
        <f t="shared" si="1033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10"/>
      <c r="B1731" s="390" t="s">
        <v>1396</v>
      </c>
      <c r="C1731" s="190"/>
      <c r="D1731" s="866" t="s">
        <v>10</v>
      </c>
      <c r="E1731" s="1119">
        <v>45323</v>
      </c>
      <c r="F1731" s="71">
        <f t="shared" si="1059"/>
        <v>953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534">
        <f t="shared" si="1053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55"/>
        <v>Premix 52V45323</v>
      </c>
      <c r="U1731" s="787"/>
      <c r="V1731" s="787"/>
      <c r="W1731" s="785">
        <f>IFERROR(VLOOKUP($Q1731,'391'!$S:$AG,15,0),0)</f>
        <v>0</v>
      </c>
      <c r="X1731" s="1090">
        <f t="shared" si="1033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6" customFormat="1" ht="30" customHeight="1" x14ac:dyDescent="0.25">
      <c r="A1732" s="2010"/>
      <c r="B1732" s="1014" t="s">
        <v>1928</v>
      </c>
      <c r="C1732" s="151" t="s">
        <v>46</v>
      </c>
      <c r="D1732" s="884" t="s">
        <v>10</v>
      </c>
      <c r="E1732" s="1118">
        <v>46247</v>
      </c>
      <c r="F1732" s="71">
        <f t="shared" ref="F1732" si="1060">$L$7-E1732</f>
        <v>29</v>
      </c>
      <c r="G1732" s="56">
        <v>1183.8600000000001</v>
      </c>
      <c r="H1732" s="12"/>
      <c r="I1732" s="58">
        <f>+SUM(K1722:K1728)</f>
        <v>0</v>
      </c>
      <c r="J1732" s="1385">
        <f>+usage!I238</f>
        <v>179.76</v>
      </c>
      <c r="K1732" s="64">
        <f>IFERROR(SUMIF(INTAKE!$A:$A,$T1732,INTAKE!$P:$P),0)</f>
        <v>0</v>
      </c>
      <c r="L1732" s="1534">
        <f t="shared" si="1053"/>
        <v>1004.1000000000001</v>
      </c>
      <c r="M1732" s="23"/>
      <c r="N1732" s="1460"/>
      <c r="O1732" s="1453"/>
      <c r="P1732" s="1480"/>
      <c r="Q1732" s="795"/>
      <c r="R1732" s="785">
        <f>IFERROR(VLOOKUP($Q1732,'391'!$S:$Z,8,0),"")</f>
        <v>0</v>
      </c>
      <c r="S1732" s="786"/>
      <c r="T1732" s="787" t="str">
        <f t="shared" si="1055"/>
        <v>Premix 52VFeedmill46247</v>
      </c>
      <c r="U1732" s="787"/>
      <c r="V1732" s="787"/>
      <c r="W1732" s="785">
        <f>IFERROR(VLOOKUP($Q1732,'391'!$S:$AG,15,0),0)</f>
        <v>0</v>
      </c>
      <c r="X1732" s="1090">
        <f t="shared" si="1033"/>
        <v>1183.8600000000001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20" customFormat="1" ht="30" customHeight="1" x14ac:dyDescent="0.25">
      <c r="A1733" s="2011" t="s">
        <v>26</v>
      </c>
      <c r="B1733" s="2012"/>
      <c r="C1733" s="125"/>
      <c r="D1733" s="1027"/>
      <c r="E1733" s="1027"/>
      <c r="F1733" s="896"/>
      <c r="G1733" s="1328">
        <v>5383.8600000000006</v>
      </c>
      <c r="H1733" s="1328">
        <f>+SUM(H1722:H1732)</f>
        <v>0</v>
      </c>
      <c r="I1733" s="1328">
        <f>+SUM(I1722:I1732)</f>
        <v>0</v>
      </c>
      <c r="J1733" s="1328">
        <f>+SUM(J1722:J1732)</f>
        <v>179.76</v>
      </c>
      <c r="K1733" s="1328">
        <f>+SUM(K1722:K1732)</f>
        <v>0</v>
      </c>
      <c r="L1733" s="1328">
        <f>+SUM(L1722:L1732)</f>
        <v>5204.1000000000004</v>
      </c>
      <c r="M1733" s="889">
        <f>IFERROR(R1733/$S$2,"")</f>
        <v>248.14666666666668</v>
      </c>
      <c r="N1733" s="366">
        <f>(L1733/M1733)</f>
        <v>20.971871473859547</v>
      </c>
      <c r="O1733" s="889">
        <f>IFERROR(SUMIF(ETM!$A:$A,$Q1733,ETM!$E:$E),"")</f>
        <v>234.5</v>
      </c>
      <c r="P1733" s="855">
        <f>IFERROR(L1733/O1733,0)</f>
        <v>22.192324093816634</v>
      </c>
      <c r="Q1733" s="814" t="s">
        <v>646</v>
      </c>
      <c r="R1733" s="785">
        <f>IFERROR(VLOOKUP($Q1733,'391'!$S:$Z,8,0),"")</f>
        <v>1116.6600000000001</v>
      </c>
      <c r="S1733" s="786"/>
      <c r="T1733" s="787"/>
      <c r="U1733" s="787"/>
      <c r="V1733" s="787"/>
      <c r="W1733" s="785">
        <f>IFERROR(VLOOKUP($Q1733,'391'!$S:$AG,15,0),0)</f>
        <v>4749.6400000000003</v>
      </c>
      <c r="X1733" s="1090">
        <f t="shared" ref="X1733:X1796" si="1061">G1733-W1733</f>
        <v>634.22000000000025</v>
      </c>
      <c r="Y1733" s="787"/>
      <c r="Z1733" s="791"/>
      <c r="AA1733" s="787"/>
      <c r="AB1733" s="787"/>
      <c r="AC1733" s="550"/>
      <c r="AD1733" s="550"/>
      <c r="AE1733" s="550"/>
      <c r="AF1733" s="550"/>
      <c r="AG1733" s="550"/>
      <c r="AH1733" s="550"/>
      <c r="AI1733" s="559"/>
      <c r="AJ1733" s="559"/>
      <c r="AK1733" s="559"/>
      <c r="AL1733" s="559"/>
      <c r="AM1733" s="559"/>
      <c r="AN1733" s="559"/>
      <c r="AO1733" s="559"/>
      <c r="AP1733" s="559"/>
      <c r="AQ1733" s="559"/>
      <c r="AR1733" s="559"/>
      <c r="AS1733" s="559"/>
    </row>
    <row r="1734" spans="1:45" s="6" customFormat="1" ht="30" hidden="1" customHeight="1" x14ac:dyDescent="0.25">
      <c r="A1734" s="2018" t="str">
        <f>IF(L1740=0,"",MAX($A$16:A1733)+1)</f>
        <v/>
      </c>
      <c r="B1734" s="2016" t="s">
        <v>215</v>
      </c>
      <c r="C1734" s="164" t="s">
        <v>249</v>
      </c>
      <c r="D1734" s="1111" t="s">
        <v>10</v>
      </c>
      <c r="E1734" s="1119">
        <v>44421</v>
      </c>
      <c r="F1734" s="71">
        <f t="shared" ref="F1734:F1739" si="1062">$L$7-E1734</f>
        <v>1855</v>
      </c>
      <c r="G1734" s="63">
        <v>0</v>
      </c>
      <c r="H1734" s="63"/>
      <c r="I1734" s="63"/>
      <c r="J1734" s="1369"/>
      <c r="K1734" s="56"/>
      <c r="L1734" s="1534">
        <f t="shared" ref="L1734:L1764" si="1063">+G1734+H1734+I1734-J1734-K1734</f>
        <v>0</v>
      </c>
      <c r="M1734" s="147"/>
      <c r="N1734" s="248"/>
      <c r="O1734" s="147"/>
      <c r="P1734" s="857"/>
      <c r="Q1734" s="795"/>
      <c r="R1734" s="785">
        <f>IFERROR(VLOOKUP($Q1734,'391'!$S:$Z,8,0),"")</f>
        <v>0</v>
      </c>
      <c r="S1734" s="786"/>
      <c r="T1734" s="787"/>
      <c r="U1734" s="787"/>
      <c r="V1734" s="787"/>
      <c r="W1734" s="785">
        <f>IFERROR(VLOOKUP($Q1734,'391'!$S:$AG,15,0),0)</f>
        <v>0</v>
      </c>
      <c r="X1734" s="1090">
        <f t="shared" si="1061"/>
        <v>0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6" customFormat="1" ht="30" hidden="1" customHeight="1" x14ac:dyDescent="0.25">
      <c r="A1735" s="2010"/>
      <c r="B1735" s="2017"/>
      <c r="C1735" s="164" t="s">
        <v>249</v>
      </c>
      <c r="D1735" s="866" t="s">
        <v>10</v>
      </c>
      <c r="E1735" s="1119">
        <v>44422</v>
      </c>
      <c r="F1735" s="71">
        <f t="shared" si="1062"/>
        <v>1854</v>
      </c>
      <c r="G1735" s="63">
        <v>0</v>
      </c>
      <c r="H1735" s="63"/>
      <c r="I1735" s="63"/>
      <c r="J1735" s="1369"/>
      <c r="K1735" s="56"/>
      <c r="L1735" s="1534">
        <f t="shared" si="1063"/>
        <v>0</v>
      </c>
      <c r="M1735" s="101"/>
      <c r="N1735" s="249"/>
      <c r="O1735" s="101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61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6" customFormat="1" ht="30" hidden="1" customHeight="1" x14ac:dyDescent="0.25">
      <c r="A1736" s="2010"/>
      <c r="B1736" s="2017"/>
      <c r="C1736" s="164" t="s">
        <v>249</v>
      </c>
      <c r="D1736" s="866" t="s">
        <v>10</v>
      </c>
      <c r="E1736" s="1119">
        <v>44423</v>
      </c>
      <c r="F1736" s="71">
        <f t="shared" si="1062"/>
        <v>1853</v>
      </c>
      <c r="G1736" s="63">
        <v>0</v>
      </c>
      <c r="H1736" s="63"/>
      <c r="I1736" s="63"/>
      <c r="J1736" s="1369"/>
      <c r="K1736" s="56"/>
      <c r="L1736" s="1534">
        <f t="shared" si="1063"/>
        <v>0</v>
      </c>
      <c r="M1736" s="101"/>
      <c r="N1736" s="249"/>
      <c r="O1736" s="101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61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10"/>
      <c r="B1737" s="2017"/>
      <c r="C1737" s="164" t="s">
        <v>249</v>
      </c>
      <c r="D1737" s="866" t="s">
        <v>10</v>
      </c>
      <c r="E1737" s="1119">
        <v>44424</v>
      </c>
      <c r="F1737" s="71">
        <f t="shared" si="1062"/>
        <v>1852</v>
      </c>
      <c r="G1737" s="63">
        <v>0</v>
      </c>
      <c r="H1737" s="63"/>
      <c r="I1737" s="63"/>
      <c r="J1737" s="1369"/>
      <c r="K1737" s="56"/>
      <c r="L1737" s="1534">
        <f t="shared" si="1063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61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10"/>
      <c r="B1738" s="2017"/>
      <c r="C1738" s="164" t="s">
        <v>243</v>
      </c>
      <c r="D1738" s="866" t="s">
        <v>10</v>
      </c>
      <c r="E1738" s="1119">
        <v>44425</v>
      </c>
      <c r="F1738" s="71">
        <f t="shared" si="1062"/>
        <v>1851</v>
      </c>
      <c r="G1738" s="63">
        <v>0</v>
      </c>
      <c r="H1738" s="63"/>
      <c r="I1738" s="63"/>
      <c r="J1738" s="1369"/>
      <c r="K1738" s="56"/>
      <c r="L1738" s="1534">
        <f t="shared" si="1063"/>
        <v>0</v>
      </c>
      <c r="M1738" s="23"/>
      <c r="N1738" s="920"/>
      <c r="O1738" s="23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61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406" customFormat="1" ht="30" hidden="1" customHeight="1" x14ac:dyDescent="0.25">
      <c r="A1739" s="2019"/>
      <c r="B1739" s="2198"/>
      <c r="C1739" s="144" t="s">
        <v>46</v>
      </c>
      <c r="D1739" s="884" t="s">
        <v>10</v>
      </c>
      <c r="E1739" s="1119">
        <v>44426</v>
      </c>
      <c r="F1739" s="71">
        <f t="shared" si="1062"/>
        <v>1850</v>
      </c>
      <c r="G1739" s="56">
        <v>0</v>
      </c>
      <c r="H1739" s="37"/>
      <c r="I1739" s="37"/>
      <c r="J1739" s="1385"/>
      <c r="K1739" s="37"/>
      <c r="L1739" s="1534">
        <f t="shared" si="1063"/>
        <v>0</v>
      </c>
      <c r="M1739" s="40"/>
      <c r="N1739" s="84"/>
      <c r="O1739" s="40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61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420" customFormat="1" ht="30" hidden="1" customHeight="1" x14ac:dyDescent="0.25">
      <c r="A1740" s="2011" t="s">
        <v>216</v>
      </c>
      <c r="B1740" s="2012"/>
      <c r="C1740" s="125"/>
      <c r="D1740" s="1027"/>
      <c r="E1740" s="1027"/>
      <c r="F1740" s="896"/>
      <c r="G1740" s="1328">
        <v>0</v>
      </c>
      <c r="H1740" s="1328">
        <f t="shared" ref="H1740:K1740" si="1064">+SUM(H1734:H1739)</f>
        <v>0</v>
      </c>
      <c r="I1740" s="1328">
        <f t="shared" si="1064"/>
        <v>0</v>
      </c>
      <c r="J1740" s="1328">
        <f t="shared" si="1064"/>
        <v>0</v>
      </c>
      <c r="K1740" s="1328">
        <f t="shared" si="1064"/>
        <v>0</v>
      </c>
      <c r="L1740" s="1534">
        <f t="shared" si="1063"/>
        <v>0</v>
      </c>
      <c r="M1740" s="889"/>
      <c r="N1740" s="366" t="e">
        <f>(L1740/M1740)</f>
        <v>#DIV/0!</v>
      </c>
      <c r="O1740" s="889"/>
      <c r="P1740" s="855">
        <f>IFERROR(L1740/O1740,0)</f>
        <v>0</v>
      </c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61"/>
        <v>0</v>
      </c>
      <c r="Y1740" s="787"/>
      <c r="Z1740" s="791"/>
      <c r="AA1740" s="787"/>
      <c r="AB1740" s="787"/>
      <c r="AC1740" s="550"/>
      <c r="AD1740" s="550"/>
      <c r="AE1740" s="550"/>
      <c r="AF1740" s="550"/>
      <c r="AG1740" s="550"/>
      <c r="AH1740" s="550"/>
      <c r="AI1740" s="559"/>
      <c r="AJ1740" s="559"/>
      <c r="AK1740" s="559"/>
      <c r="AL1740" s="559"/>
      <c r="AM1740" s="559"/>
      <c r="AN1740" s="559"/>
      <c r="AO1740" s="559"/>
      <c r="AP1740" s="559"/>
      <c r="AQ1740" s="559"/>
      <c r="AR1740" s="559"/>
      <c r="AS1740" s="559"/>
    </row>
    <row r="1741" spans="1:45" s="6" customFormat="1" ht="30" hidden="1" customHeight="1" x14ac:dyDescent="0.25">
      <c r="A1741" s="2018" t="str">
        <f>IF(L1749=0,"",MAX($A$16:A1740)+1)</f>
        <v/>
      </c>
      <c r="B1741" s="2016" t="s">
        <v>162</v>
      </c>
      <c r="C1741" s="190" t="s">
        <v>272</v>
      </c>
      <c r="D1741" s="1111" t="s">
        <v>10</v>
      </c>
      <c r="E1741" s="1119">
        <v>44425</v>
      </c>
      <c r="F1741" s="71">
        <f t="shared" ref="F1741:F1748" si="1065">$L$7-E1741</f>
        <v>1851</v>
      </c>
      <c r="G1741" s="12">
        <v>0</v>
      </c>
      <c r="H1741" s="12"/>
      <c r="I1741" s="12"/>
      <c r="J1741" s="1368"/>
      <c r="K1741" s="12"/>
      <c r="L1741" s="1534">
        <f t="shared" si="1063"/>
        <v>0</v>
      </c>
      <c r="M1741" s="147"/>
      <c r="N1741" s="248"/>
      <c r="O1741" s="147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61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6" customFormat="1" ht="30" hidden="1" customHeight="1" x14ac:dyDescent="0.25">
      <c r="A1742" s="2010"/>
      <c r="B1742" s="2017"/>
      <c r="C1742" s="190" t="s">
        <v>272</v>
      </c>
      <c r="D1742" s="866" t="s">
        <v>10</v>
      </c>
      <c r="E1742" s="1119">
        <v>44425</v>
      </c>
      <c r="F1742" s="71">
        <f t="shared" si="1065"/>
        <v>1851</v>
      </c>
      <c r="G1742" s="12">
        <v>0</v>
      </c>
      <c r="H1742" s="12"/>
      <c r="I1742" s="12"/>
      <c r="J1742" s="1368"/>
      <c r="K1742" s="12"/>
      <c r="L1742" s="1534">
        <f t="shared" si="1063"/>
        <v>0</v>
      </c>
      <c r="M1742" s="101"/>
      <c r="N1742" s="249"/>
      <c r="O1742" s="101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61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10"/>
      <c r="B1743" s="2017"/>
      <c r="C1743" s="190" t="s">
        <v>272</v>
      </c>
      <c r="D1743" s="866" t="s">
        <v>10</v>
      </c>
      <c r="E1743" s="1119">
        <v>44425</v>
      </c>
      <c r="F1743" s="71">
        <f t="shared" si="1065"/>
        <v>1851</v>
      </c>
      <c r="G1743" s="12">
        <v>0</v>
      </c>
      <c r="H1743" s="12"/>
      <c r="I1743" s="12"/>
      <c r="J1743" s="1368"/>
      <c r="K1743" s="12"/>
      <c r="L1743" s="1534">
        <f t="shared" si="1063"/>
        <v>0</v>
      </c>
      <c r="M1743" s="101"/>
      <c r="N1743" s="249"/>
      <c r="O1743" s="101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61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10"/>
      <c r="B1744" s="2017"/>
      <c r="C1744" s="190" t="s">
        <v>272</v>
      </c>
      <c r="D1744" s="866" t="s">
        <v>10</v>
      </c>
      <c r="E1744" s="1119">
        <v>44425</v>
      </c>
      <c r="F1744" s="71">
        <f t="shared" si="1065"/>
        <v>1851</v>
      </c>
      <c r="G1744" s="12">
        <v>0</v>
      </c>
      <c r="H1744" s="12"/>
      <c r="I1744" s="12"/>
      <c r="J1744" s="1368"/>
      <c r="K1744" s="12"/>
      <c r="L1744" s="1534">
        <f t="shared" si="1063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61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10"/>
      <c r="B1745" s="2017"/>
      <c r="C1745" s="190" t="s">
        <v>258</v>
      </c>
      <c r="D1745" s="866" t="s">
        <v>10</v>
      </c>
      <c r="E1745" s="1119">
        <v>44425</v>
      </c>
      <c r="F1745" s="71">
        <f t="shared" si="1065"/>
        <v>1851</v>
      </c>
      <c r="G1745" s="12">
        <v>0</v>
      </c>
      <c r="H1745" s="12"/>
      <c r="I1745" s="12"/>
      <c r="J1745" s="1368"/>
      <c r="K1745" s="12"/>
      <c r="L1745" s="1534">
        <f t="shared" si="1063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61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10"/>
      <c r="B1746" s="2017"/>
      <c r="C1746" s="190" t="s">
        <v>258</v>
      </c>
      <c r="D1746" s="866" t="s">
        <v>10</v>
      </c>
      <c r="E1746" s="1119">
        <v>44425</v>
      </c>
      <c r="F1746" s="71">
        <f t="shared" si="1065"/>
        <v>1851</v>
      </c>
      <c r="G1746" s="12">
        <v>0</v>
      </c>
      <c r="H1746" s="12"/>
      <c r="I1746" s="12"/>
      <c r="J1746" s="1368"/>
      <c r="K1746" s="12"/>
      <c r="L1746" s="1534">
        <f t="shared" si="1063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61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10"/>
      <c r="B1747" s="2017"/>
      <c r="C1747" s="262" t="s">
        <v>46</v>
      </c>
      <c r="D1747" s="866" t="s">
        <v>10</v>
      </c>
      <c r="E1747" s="1119">
        <v>44425</v>
      </c>
      <c r="F1747" s="71">
        <f t="shared" si="1065"/>
        <v>1851</v>
      </c>
      <c r="G1747" s="958">
        <v>0</v>
      </c>
      <c r="H1747" s="64"/>
      <c r="I1747" s="58"/>
      <c r="J1747" s="1365"/>
      <c r="K1747" s="64"/>
      <c r="L1747" s="1534">
        <f t="shared" si="1063"/>
        <v>0</v>
      </c>
      <c r="M1747" s="23"/>
      <c r="N1747" s="920"/>
      <c r="O1747" s="23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61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10"/>
      <c r="B1748" s="2017"/>
      <c r="C1748" s="261" t="s">
        <v>46</v>
      </c>
      <c r="D1748" s="1112" t="s">
        <v>10</v>
      </c>
      <c r="E1748" s="1119">
        <v>44425</v>
      </c>
      <c r="F1748" s="71">
        <f t="shared" si="1065"/>
        <v>1851</v>
      </c>
      <c r="G1748" s="958">
        <v>0</v>
      </c>
      <c r="H1748" s="64"/>
      <c r="I1748" s="58"/>
      <c r="J1748" s="1365"/>
      <c r="K1748" s="64"/>
      <c r="L1748" s="1534">
        <f t="shared" si="1063"/>
        <v>0</v>
      </c>
      <c r="M1748" s="23"/>
      <c r="N1748" s="920"/>
      <c r="O1748" s="23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61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420" customFormat="1" ht="30" hidden="1" customHeight="1" x14ac:dyDescent="0.25">
      <c r="A1749" s="2011" t="s">
        <v>163</v>
      </c>
      <c r="B1749" s="2012"/>
      <c r="C1749" s="125"/>
      <c r="D1749" s="1027"/>
      <c r="E1749" s="1027"/>
      <c r="F1749" s="896"/>
      <c r="G1749" s="1422">
        <v>0</v>
      </c>
      <c r="H1749" s="1422">
        <f>SUM(H1741:H1748)</f>
        <v>0</v>
      </c>
      <c r="I1749" s="1422">
        <f>SUM(I1741:I1748)</f>
        <v>0</v>
      </c>
      <c r="J1749" s="1422">
        <f>SUM(J1741:J1748)</f>
        <v>0</v>
      </c>
      <c r="K1749" s="1422"/>
      <c r="L1749" s="1534">
        <f t="shared" si="1063"/>
        <v>0</v>
      </c>
      <c r="M1749" s="889">
        <v>0</v>
      </c>
      <c r="N1749" s="366" t="e">
        <f>(L1749/M1749)/1000</f>
        <v>#DIV/0!</v>
      </c>
      <c r="O1749" s="889">
        <v>0</v>
      </c>
      <c r="P1749" s="857" t="e">
        <f>(L1749/O1749)/1000</f>
        <v>#DIV/0!</v>
      </c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61"/>
        <v>0</v>
      </c>
      <c r="Y1749" s="787"/>
      <c r="Z1749" s="791"/>
      <c r="AA1749" s="787"/>
      <c r="AB1749" s="787"/>
      <c r="AC1749" s="550"/>
      <c r="AD1749" s="550"/>
      <c r="AE1749" s="550"/>
      <c r="AF1749" s="550"/>
      <c r="AG1749" s="550"/>
      <c r="AH1749" s="550"/>
      <c r="AI1749" s="559"/>
      <c r="AJ1749" s="559"/>
      <c r="AK1749" s="559"/>
      <c r="AL1749" s="559"/>
      <c r="AM1749" s="559"/>
      <c r="AN1749" s="559"/>
      <c r="AO1749" s="559"/>
      <c r="AP1749" s="559"/>
      <c r="AQ1749" s="559"/>
      <c r="AR1749" s="559"/>
      <c r="AS1749" s="559"/>
    </row>
    <row r="1750" spans="1:45" s="6" customFormat="1" ht="30" hidden="1" customHeight="1" x14ac:dyDescent="0.25">
      <c r="A1750" s="2018" t="str">
        <f>IF(L1759=0,"",MAX($A$16:A1749)+1)</f>
        <v/>
      </c>
      <c r="B1750" s="2016" t="s">
        <v>164</v>
      </c>
      <c r="C1750" s="164" t="s">
        <v>259</v>
      </c>
      <c r="D1750" s="1111" t="s">
        <v>10</v>
      </c>
      <c r="E1750" s="1119">
        <v>44425</v>
      </c>
      <c r="F1750" s="71">
        <f t="shared" ref="F1750:F1758" si="1066">$L$7-E1750</f>
        <v>1851</v>
      </c>
      <c r="G1750" s="12">
        <v>0</v>
      </c>
      <c r="H1750" s="12"/>
      <c r="I1750" s="12"/>
      <c r="J1750" s="1368"/>
      <c r="K1750" s="12"/>
      <c r="L1750" s="1534">
        <f t="shared" si="1063"/>
        <v>0</v>
      </c>
      <c r="M1750" s="147"/>
      <c r="N1750" s="248"/>
      <c r="O1750" s="147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61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6" customFormat="1" ht="30" hidden="1" customHeight="1" x14ac:dyDescent="0.25">
      <c r="A1751" s="2010"/>
      <c r="B1751" s="2017"/>
      <c r="C1751" s="164" t="s">
        <v>259</v>
      </c>
      <c r="D1751" s="866" t="s">
        <v>10</v>
      </c>
      <c r="E1751" s="1119">
        <v>44425</v>
      </c>
      <c r="F1751" s="71">
        <f t="shared" si="1066"/>
        <v>1851</v>
      </c>
      <c r="G1751" s="12">
        <v>0</v>
      </c>
      <c r="H1751" s="12"/>
      <c r="I1751" s="12"/>
      <c r="J1751" s="1368"/>
      <c r="K1751" s="12"/>
      <c r="L1751" s="1534">
        <f t="shared" si="1063"/>
        <v>0</v>
      </c>
      <c r="M1751" s="101"/>
      <c r="N1751" s="249"/>
      <c r="O1751" s="101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61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10"/>
      <c r="B1752" s="2017"/>
      <c r="C1752" s="164" t="s">
        <v>259</v>
      </c>
      <c r="D1752" s="866" t="s">
        <v>10</v>
      </c>
      <c r="E1752" s="1119">
        <v>44425</v>
      </c>
      <c r="F1752" s="71">
        <f t="shared" si="1066"/>
        <v>1851</v>
      </c>
      <c r="G1752" s="12">
        <v>0</v>
      </c>
      <c r="H1752" s="12"/>
      <c r="I1752" s="12"/>
      <c r="J1752" s="1368"/>
      <c r="K1752" s="12"/>
      <c r="L1752" s="1534">
        <f t="shared" si="1063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61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10"/>
      <c r="B1753" s="2017"/>
      <c r="C1753" s="164" t="s">
        <v>259</v>
      </c>
      <c r="D1753" s="866" t="s">
        <v>10</v>
      </c>
      <c r="E1753" s="1119">
        <v>44425</v>
      </c>
      <c r="F1753" s="71">
        <f t="shared" si="1066"/>
        <v>1851</v>
      </c>
      <c r="G1753" s="12">
        <v>0</v>
      </c>
      <c r="H1753" s="12"/>
      <c r="I1753" s="12"/>
      <c r="J1753" s="1368"/>
      <c r="K1753" s="12"/>
      <c r="L1753" s="1534">
        <f t="shared" si="1063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61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10"/>
      <c r="B1754" s="2017"/>
      <c r="C1754" s="164" t="s">
        <v>250</v>
      </c>
      <c r="D1754" s="866" t="s">
        <v>10</v>
      </c>
      <c r="E1754" s="1119">
        <v>44425</v>
      </c>
      <c r="F1754" s="71">
        <f t="shared" si="1066"/>
        <v>1851</v>
      </c>
      <c r="G1754" s="12">
        <v>0</v>
      </c>
      <c r="H1754" s="12"/>
      <c r="I1754" s="12"/>
      <c r="J1754" s="1368"/>
      <c r="K1754" s="12"/>
      <c r="L1754" s="1534">
        <f t="shared" si="1063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61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10"/>
      <c r="B1755" s="2017"/>
      <c r="C1755" s="164" t="s">
        <v>250</v>
      </c>
      <c r="D1755" s="866" t="s">
        <v>10</v>
      </c>
      <c r="E1755" s="1119">
        <v>44425</v>
      </c>
      <c r="F1755" s="71">
        <f t="shared" si="1066"/>
        <v>1851</v>
      </c>
      <c r="G1755" s="12">
        <v>0</v>
      </c>
      <c r="H1755" s="12"/>
      <c r="I1755" s="12"/>
      <c r="J1755" s="1368"/>
      <c r="K1755" s="12"/>
      <c r="L1755" s="1534">
        <f t="shared" si="1063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61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10"/>
      <c r="B1756" s="2017"/>
      <c r="C1756" s="164" t="s">
        <v>250</v>
      </c>
      <c r="D1756" s="866" t="s">
        <v>10</v>
      </c>
      <c r="E1756" s="1119">
        <v>44425</v>
      </c>
      <c r="F1756" s="71">
        <f t="shared" si="1066"/>
        <v>1851</v>
      </c>
      <c r="G1756" s="12">
        <v>0</v>
      </c>
      <c r="H1756" s="12"/>
      <c r="I1756" s="12"/>
      <c r="J1756" s="1368"/>
      <c r="K1756" s="12"/>
      <c r="L1756" s="1534">
        <f t="shared" si="1063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61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10"/>
      <c r="B1757" s="2017"/>
      <c r="C1757" s="123" t="s">
        <v>46</v>
      </c>
      <c r="D1757" s="866" t="s">
        <v>10</v>
      </c>
      <c r="E1757" s="1119">
        <v>44425</v>
      </c>
      <c r="F1757" s="71">
        <f t="shared" si="1066"/>
        <v>1851</v>
      </c>
      <c r="G1757" s="958">
        <v>0</v>
      </c>
      <c r="H1757" s="958"/>
      <c r="I1757" s="958"/>
      <c r="J1757" s="1397"/>
      <c r="K1757" s="958"/>
      <c r="L1757" s="1534">
        <f t="shared" si="1063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61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406" customFormat="1" ht="30" hidden="1" customHeight="1" x14ac:dyDescent="0.25">
      <c r="A1758" s="2010"/>
      <c r="B1758" s="2017"/>
      <c r="C1758" s="123" t="s">
        <v>46</v>
      </c>
      <c r="D1758" s="1112" t="s">
        <v>10</v>
      </c>
      <c r="E1758" s="1119">
        <v>44425</v>
      </c>
      <c r="F1758" s="71">
        <f t="shared" si="1066"/>
        <v>1851</v>
      </c>
      <c r="G1758" s="56">
        <v>0</v>
      </c>
      <c r="H1758" s="37"/>
      <c r="I1758" s="37"/>
      <c r="J1758" s="1385"/>
      <c r="K1758" s="37"/>
      <c r="L1758" s="1534">
        <f t="shared" si="1063"/>
        <v>0</v>
      </c>
      <c r="M1758" s="40"/>
      <c r="N1758" s="84"/>
      <c r="O1758" s="40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61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420" customFormat="1" ht="30" hidden="1" customHeight="1" x14ac:dyDescent="0.25">
      <c r="A1759" s="2011" t="s">
        <v>165</v>
      </c>
      <c r="B1759" s="2012"/>
      <c r="C1759" s="125"/>
      <c r="D1759" s="1027"/>
      <c r="E1759" s="1027"/>
      <c r="F1759" s="896"/>
      <c r="G1759" s="1422">
        <v>0</v>
      </c>
      <c r="H1759" s="1422">
        <f>SUM(H1750:H1758)</f>
        <v>0</v>
      </c>
      <c r="I1759" s="1422">
        <f>SUM(I1750:I1758)</f>
        <v>0</v>
      </c>
      <c r="J1759" s="1422">
        <f>SUM(J1750:J1758)</f>
        <v>0</v>
      </c>
      <c r="K1759" s="1422"/>
      <c r="L1759" s="1534">
        <f t="shared" si="1063"/>
        <v>0</v>
      </c>
      <c r="M1759" s="889">
        <v>0</v>
      </c>
      <c r="N1759" s="366" t="e">
        <f>(L1759/M1759)/1000</f>
        <v>#DIV/0!</v>
      </c>
      <c r="O1759" s="889"/>
      <c r="P1759" s="857" t="e">
        <f>(L1759/O1759)/1000</f>
        <v>#DIV/0!</v>
      </c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61"/>
        <v>0</v>
      </c>
      <c r="Y1759" s="787"/>
      <c r="Z1759" s="791"/>
      <c r="AA1759" s="787"/>
      <c r="AB1759" s="787"/>
      <c r="AC1759" s="550"/>
      <c r="AD1759" s="550"/>
      <c r="AE1759" s="550"/>
      <c r="AF1759" s="550"/>
      <c r="AG1759" s="550"/>
      <c r="AH1759" s="550"/>
      <c r="AI1759" s="559"/>
      <c r="AJ1759" s="559"/>
      <c r="AK1759" s="559"/>
      <c r="AL1759" s="559"/>
      <c r="AM1759" s="559"/>
      <c r="AN1759" s="559"/>
      <c r="AO1759" s="559"/>
      <c r="AP1759" s="559"/>
      <c r="AQ1759" s="559"/>
      <c r="AR1759" s="559"/>
      <c r="AS1759" s="559"/>
    </row>
    <row r="1760" spans="1:45" s="6" customFormat="1" ht="30" customHeight="1" x14ac:dyDescent="0.25">
      <c r="A1760" s="2009">
        <f>IF(L1765=0,"",MAX($A$16:A1759)+1)</f>
        <v>122</v>
      </c>
      <c r="B1760" s="390" t="s">
        <v>1113</v>
      </c>
      <c r="C1760" s="246" t="s">
        <v>1976</v>
      </c>
      <c r="D1760" s="866" t="s">
        <v>10</v>
      </c>
      <c r="E1760" s="1124">
        <v>46270</v>
      </c>
      <c r="F1760" s="71">
        <f>$L$7-E1760</f>
        <v>6</v>
      </c>
      <c r="G1760" s="12">
        <v>30</v>
      </c>
      <c r="H1760" s="12"/>
      <c r="I1760" s="12"/>
      <c r="J1760" s="1368"/>
      <c r="K1760" s="64">
        <f>IFERROR(SUMIF(INTAKE!$A:$A,$T1760,INTAKE!$P:$P),0)</f>
        <v>0</v>
      </c>
      <c r="L1760" s="1703">
        <f t="shared" si="1063"/>
        <v>30</v>
      </c>
      <c r="M1760" s="66"/>
      <c r="N1760" s="66"/>
      <c r="O1760" s="66"/>
      <c r="P1760" s="744"/>
      <c r="Q1760" s="795"/>
      <c r="R1760" s="785">
        <f>IFERROR(VLOOKUP($Q1760,'391'!$S:$Z,8,0),"")</f>
        <v>0</v>
      </c>
      <c r="S1760" s="786"/>
      <c r="T1760" s="787" t="str">
        <f>$Q$1765&amp;C1760&amp;E1760</f>
        <v>Premix 62VV1.246270</v>
      </c>
      <c r="U1760" s="787"/>
      <c r="V1760" s="787"/>
      <c r="W1760" s="785">
        <f>IFERROR(VLOOKUP($Q1760,'391'!$S:$AG,15,0),0)</f>
        <v>0</v>
      </c>
      <c r="X1760" s="1090">
        <f t="shared" si="1061"/>
        <v>30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6" customFormat="1" ht="30" customHeight="1" x14ac:dyDescent="0.25">
      <c r="A1761" s="2010"/>
      <c r="B1761" s="390" t="s">
        <v>2245</v>
      </c>
      <c r="C1761" s="246" t="s">
        <v>1976</v>
      </c>
      <c r="D1761" s="866" t="s">
        <v>10</v>
      </c>
      <c r="E1761" s="1124">
        <v>46275</v>
      </c>
      <c r="F1761" s="71">
        <f>$L$7-E1761</f>
        <v>1</v>
      </c>
      <c r="G1761" s="12">
        <v>30</v>
      </c>
      <c r="H1761" s="12"/>
      <c r="I1761" s="12"/>
      <c r="J1761" s="1368"/>
      <c r="K1761" s="64">
        <f>IFERROR(SUMIF(INTAKE!$A:$A,$T1761,INTAKE!$P:$P),0)</f>
        <v>0</v>
      </c>
      <c r="L1761" s="1703">
        <f t="shared" si="1063"/>
        <v>30</v>
      </c>
      <c r="M1761" s="101"/>
      <c r="N1761" s="101"/>
      <c r="O1761" s="101"/>
      <c r="P1761" s="738"/>
      <c r="Q1761" s="795"/>
      <c r="R1761" s="785">
        <f>IFERROR(VLOOKUP($Q1761,'391'!$S:$Z,8,0),"")</f>
        <v>0</v>
      </c>
      <c r="S1761" s="786"/>
      <c r="T1761" s="787" t="str">
        <f>$Q$1765&amp;C1761&amp;E1761</f>
        <v>Premix 62VV1.246275</v>
      </c>
      <c r="U1761" s="787"/>
      <c r="V1761" s="787"/>
      <c r="W1761" s="785">
        <f>IFERROR(VLOOKUP($Q1761,'391'!$S:$AG,15,0),0)</f>
        <v>0</v>
      </c>
      <c r="X1761" s="1090">
        <f t="shared" si="1061"/>
        <v>30</v>
      </c>
      <c r="Y1761" s="787"/>
      <c r="Z1761" s="791"/>
      <c r="AA1761" s="787"/>
      <c r="AB1761" s="787"/>
      <c r="AC1761" s="679"/>
      <c r="AD1761" s="679"/>
      <c r="AE1761" s="679"/>
      <c r="AF1761" s="679"/>
      <c r="AG1761" s="679"/>
      <c r="AH1761" s="679"/>
      <c r="AI1761" s="682"/>
      <c r="AJ1761" s="682"/>
      <c r="AK1761" s="682"/>
      <c r="AL1761" s="682"/>
      <c r="AM1761" s="682"/>
      <c r="AN1761" s="682"/>
      <c r="AO1761" s="682"/>
      <c r="AP1761" s="682"/>
      <c r="AQ1761" s="682"/>
      <c r="AR1761" s="682"/>
      <c r="AS1761" s="682"/>
    </row>
    <row r="1762" spans="1:45" s="6" customFormat="1" ht="30" hidden="1" customHeight="1" x14ac:dyDescent="0.25">
      <c r="A1762" s="2010"/>
      <c r="B1762" s="390" t="s">
        <v>1861</v>
      </c>
      <c r="C1762" s="246"/>
      <c r="D1762" s="866" t="s">
        <v>10</v>
      </c>
      <c r="E1762" s="1124">
        <v>46213</v>
      </c>
      <c r="F1762" s="71">
        <f>$L$7-E1762</f>
        <v>63</v>
      </c>
      <c r="G1762" s="12">
        <v>0</v>
      </c>
      <c r="H1762" s="12"/>
      <c r="I1762" s="12"/>
      <c r="J1762" s="1368"/>
      <c r="K1762" s="64">
        <f>IFERROR(SUMIF(INTAKE!$A:$A,$T1762,INTAKE!$P:$P),0)</f>
        <v>0</v>
      </c>
      <c r="L1762" s="1703">
        <f t="shared" si="1063"/>
        <v>0</v>
      </c>
      <c r="M1762" s="101"/>
      <c r="N1762" s="101"/>
      <c r="O1762" s="101"/>
      <c r="P1762" s="738"/>
      <c r="Q1762" s="795"/>
      <c r="R1762" s="785">
        <f>IFERROR(VLOOKUP($Q1762,'391'!$S:$Z,8,0),"")</f>
        <v>0</v>
      </c>
      <c r="S1762" s="786"/>
      <c r="T1762" s="787" t="str">
        <f>$Q$1765&amp;C1762&amp;E1762</f>
        <v>Premix 62V46213</v>
      </c>
      <c r="U1762" s="787"/>
      <c r="V1762" s="787"/>
      <c r="W1762" s="785">
        <f>IFERROR(VLOOKUP($Q1762,'391'!$S:$AG,15,0),0)</f>
        <v>0</v>
      </c>
      <c r="X1762" s="1090">
        <f t="shared" si="1061"/>
        <v>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10"/>
      <c r="B1763" s="390" t="s">
        <v>1113</v>
      </c>
      <c r="C1763" s="246"/>
      <c r="D1763" s="866" t="s">
        <v>10</v>
      </c>
      <c r="E1763" s="1124">
        <v>44547</v>
      </c>
      <c r="F1763" s="71">
        <f>$L$7-E1763</f>
        <v>1729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534">
        <f t="shared" si="1063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$Q$1765&amp;C1763&amp;E1763</f>
        <v>Premix 62V44547</v>
      </c>
      <c r="U1763" s="787"/>
      <c r="V1763" s="787"/>
      <c r="W1763" s="785">
        <f>IFERROR(VLOOKUP($Q1763,'391'!$S:$AG,15,0),0)</f>
        <v>0</v>
      </c>
      <c r="X1763" s="1090">
        <f t="shared" si="1061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406" customFormat="1" ht="30" customHeight="1" x14ac:dyDescent="0.25">
      <c r="A1764" s="2010"/>
      <c r="B1764" s="1019" t="s">
        <v>1113</v>
      </c>
      <c r="C1764" s="119" t="s">
        <v>46</v>
      </c>
      <c r="D1764" s="884" t="s">
        <v>10</v>
      </c>
      <c r="E1764" s="1130">
        <v>46270</v>
      </c>
      <c r="F1764" s="71">
        <f>$L$7-E1764</f>
        <v>6</v>
      </c>
      <c r="G1764" s="37">
        <v>6.3000000000000007</v>
      </c>
      <c r="H1764" s="37"/>
      <c r="I1764" s="37">
        <f>+SUM(K1760:K1763)</f>
        <v>0</v>
      </c>
      <c r="J1764" s="1385">
        <f>+usage!I240</f>
        <v>0</v>
      </c>
      <c r="K1764" s="64">
        <f>IFERROR(SUMIF(INTAKE!$A:$A,$T1764,INTAKE!$P:$P),0)</f>
        <v>0</v>
      </c>
      <c r="L1764" s="1534">
        <f t="shared" si="1063"/>
        <v>6.3000000000000007</v>
      </c>
      <c r="M1764" s="35"/>
      <c r="N1764" s="35"/>
      <c r="O1764" s="35"/>
      <c r="P1764" s="740"/>
      <c r="Q1764" s="795"/>
      <c r="R1764" s="785">
        <f>IFERROR(VLOOKUP($Q1764,'391'!$S:$Z,8,0),"")</f>
        <v>0</v>
      </c>
      <c r="S1764" s="786"/>
      <c r="T1764" s="787" t="str">
        <f>$Q$1765&amp;C1764&amp;E1764</f>
        <v>Premix 62VFeedmill46270</v>
      </c>
      <c r="U1764" s="787"/>
      <c r="V1764" s="787"/>
      <c r="W1764" s="785">
        <f>IFERROR(VLOOKUP($Q1764,'391'!$S:$AG,15,0),0)</f>
        <v>0</v>
      </c>
      <c r="X1764" s="1090">
        <f t="shared" si="1061"/>
        <v>6.3000000000000007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420" customFormat="1" ht="30" customHeight="1" x14ac:dyDescent="0.25">
      <c r="A1765" s="2011" t="s">
        <v>27</v>
      </c>
      <c r="B1765" s="2012"/>
      <c r="C1765" s="125"/>
      <c r="D1765" s="1027"/>
      <c r="E1765" s="1027"/>
      <c r="F1765" s="896"/>
      <c r="G1765" s="1328">
        <v>66.3</v>
      </c>
      <c r="H1765" s="1328">
        <f>+SUM(H1760:H1764)</f>
        <v>0</v>
      </c>
      <c r="I1765" s="1328">
        <f t="shared" ref="I1765" si="1067">SUM(I1760:I1764)</f>
        <v>0</v>
      </c>
      <c r="J1765" s="1328">
        <f t="shared" ref="J1765:L1765" si="1068">SUM(J1760:J1764)</f>
        <v>0</v>
      </c>
      <c r="K1765" s="1328">
        <f t="shared" si="1068"/>
        <v>0</v>
      </c>
      <c r="L1765" s="1328">
        <f t="shared" si="1068"/>
        <v>66.3</v>
      </c>
      <c r="M1765" s="889">
        <f>IFERROR(R1765/$S$2,"")</f>
        <v>5.6</v>
      </c>
      <c r="N1765" s="366">
        <f>IFERROR(L1765/M1765,0)</f>
        <v>11.839285714285715</v>
      </c>
      <c r="O1765" s="889">
        <f>IFERROR(SUMIF(ETM!$A:$A,$Q1765,ETM!$E:$E),"")</f>
        <v>2.6666666666666665</v>
      </c>
      <c r="P1765" s="880">
        <f>IFERROR(L1765/O1765,0)</f>
        <v>24.862500000000001</v>
      </c>
      <c r="Q1765" s="814" t="s">
        <v>648</v>
      </c>
      <c r="R1765" s="785">
        <f>IFERROR(VLOOKUP($Q1765,'391'!$S:$Z,8,0),"")</f>
        <v>25.2</v>
      </c>
      <c r="S1765" s="786"/>
      <c r="T1765" s="787"/>
      <c r="U1765" s="787"/>
      <c r="V1765" s="787"/>
      <c r="W1765" s="785">
        <f>IFERROR(VLOOKUP($Q1765,'391'!$S:$AG,15,0),0)</f>
        <v>36.300000000000004</v>
      </c>
      <c r="X1765" s="1090">
        <f t="shared" si="1061"/>
        <v>29.999999999999993</v>
      </c>
      <c r="Y1765" s="787"/>
      <c r="Z1765" s="791"/>
      <c r="AA1765" s="787"/>
      <c r="AB1765" s="787"/>
      <c r="AC1765" s="550"/>
      <c r="AD1765" s="550"/>
      <c r="AE1765" s="550"/>
      <c r="AF1765" s="550"/>
      <c r="AG1765" s="550"/>
      <c r="AH1765" s="550"/>
      <c r="AI1765" s="559"/>
      <c r="AJ1765" s="559"/>
      <c r="AK1765" s="559"/>
      <c r="AL1765" s="559"/>
      <c r="AM1765" s="559"/>
      <c r="AN1765" s="559"/>
      <c r="AO1765" s="559"/>
      <c r="AP1765" s="559"/>
      <c r="AQ1765" s="559"/>
      <c r="AR1765" s="559"/>
      <c r="AS1765" s="559"/>
    </row>
    <row r="1766" spans="1:45" s="6" customFormat="1" ht="30" hidden="1" customHeight="1" x14ac:dyDescent="0.25">
      <c r="A1766" s="2009">
        <f>IF(L1772=0,"",MAX($A$16:A1765)+1)</f>
        <v>123</v>
      </c>
      <c r="B1766" s="390" t="s">
        <v>1194</v>
      </c>
      <c r="C1766" s="348"/>
      <c r="D1766" s="866" t="s">
        <v>10</v>
      </c>
      <c r="E1766" s="1120">
        <v>44805</v>
      </c>
      <c r="F1766" s="71">
        <f t="shared" ref="F1766:F1771" si="1069">$L$7-E1766</f>
        <v>1471</v>
      </c>
      <c r="G1766" s="12">
        <v>0</v>
      </c>
      <c r="H1766" s="12"/>
      <c r="I1766" s="12"/>
      <c r="J1766" s="1388"/>
      <c r="K1766" s="64"/>
      <c r="L1766" s="1534">
        <f t="shared" ref="L1766:L1771" si="1070">+G1766+H1766+I1766-J1766-K1766</f>
        <v>0</v>
      </c>
      <c r="M1766" s="1452"/>
      <c r="N1766" s="1468"/>
      <c r="O1766" s="1452"/>
      <c r="P1766" s="1479"/>
      <c r="Q1766" s="795"/>
      <c r="R1766" s="785">
        <f>IFERROR(VLOOKUP($Q1766,'391'!$S:$Z,8,0),"")</f>
        <v>0</v>
      </c>
      <c r="S1766" s="786"/>
      <c r="T1766" s="787" t="str">
        <f t="shared" ref="T1766:T1771" si="1071">$Q$1772&amp;C1766&amp;E1766</f>
        <v>Premix 62PV44805</v>
      </c>
      <c r="U1766" s="787"/>
      <c r="V1766" s="787"/>
      <c r="W1766" s="785">
        <f>IFERROR(VLOOKUP($Q1766,'391'!$S:$AG,15,0),0)</f>
        <v>0</v>
      </c>
      <c r="X1766" s="1090">
        <f t="shared" si="1061"/>
        <v>0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6" customFormat="1" ht="30" customHeight="1" x14ac:dyDescent="0.25">
      <c r="A1767" s="2010"/>
      <c r="B1767" s="390" t="s">
        <v>1994</v>
      </c>
      <c r="C1767" s="348" t="s">
        <v>233</v>
      </c>
      <c r="D1767" s="866" t="s">
        <v>10</v>
      </c>
      <c r="E1767" s="1120">
        <v>46270</v>
      </c>
      <c r="F1767" s="71">
        <f t="shared" ref="F1767" si="1072">$L$7-E1767</f>
        <v>6</v>
      </c>
      <c r="G1767" s="12">
        <v>360</v>
      </c>
      <c r="H1767" s="12"/>
      <c r="I1767" s="12"/>
      <c r="J1767" s="1388"/>
      <c r="K1767" s="64">
        <f>IFERROR(SUMIF(INTAKE!$A:$A,$T1767,INTAKE!$P:$P),0)</f>
        <v>60</v>
      </c>
      <c r="L1767" s="1703">
        <f t="shared" si="1070"/>
        <v>300</v>
      </c>
      <c r="M1767" s="101"/>
      <c r="N1767" s="1460"/>
      <c r="O1767" s="101"/>
      <c r="P1767" s="738"/>
      <c r="Q1767" s="795"/>
      <c r="R1767" s="785">
        <f>IFERROR(VLOOKUP($Q1767,'391'!$S:$Z,8,0),"")</f>
        <v>0</v>
      </c>
      <c r="S1767" s="786"/>
      <c r="T1767" s="787" t="str">
        <f t="shared" si="1071"/>
        <v>Premix 62PVX5.146270</v>
      </c>
      <c r="U1767" s="787"/>
      <c r="V1767" s="787"/>
      <c r="W1767" s="785">
        <f>IFERROR(VLOOKUP($Q1767,'391'!$S:$AG,15,0),0)</f>
        <v>0</v>
      </c>
      <c r="X1767" s="1090">
        <f t="shared" si="1061"/>
        <v>360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6" customFormat="1" ht="30" customHeight="1" x14ac:dyDescent="0.25">
      <c r="A1768" s="2010"/>
      <c r="B1768" s="390" t="s">
        <v>2244</v>
      </c>
      <c r="C1768" s="348" t="s">
        <v>233</v>
      </c>
      <c r="D1768" s="866" t="s">
        <v>10</v>
      </c>
      <c r="E1768" s="1120">
        <v>46275</v>
      </c>
      <c r="F1768" s="71">
        <f t="shared" si="1069"/>
        <v>1</v>
      </c>
      <c r="G1768" s="12">
        <v>180</v>
      </c>
      <c r="H1768" s="12"/>
      <c r="I1768" s="12"/>
      <c r="J1768" s="1388"/>
      <c r="K1768" s="64">
        <f>IFERROR(SUMIF(INTAKE!$A:$A,$T1768,INTAKE!$P:$P),0)</f>
        <v>0</v>
      </c>
      <c r="L1768" s="1703">
        <f t="shared" si="1070"/>
        <v>180</v>
      </c>
      <c r="M1768" s="101"/>
      <c r="N1768" s="1460"/>
      <c r="O1768" s="101"/>
      <c r="P1768" s="738"/>
      <c r="Q1768" s="795"/>
      <c r="R1768" s="785">
        <f>IFERROR(VLOOKUP($Q1768,'391'!$S:$Z,8,0),"")</f>
        <v>0</v>
      </c>
      <c r="S1768" s="786"/>
      <c r="T1768" s="787" t="str">
        <f t="shared" si="1071"/>
        <v>Premix 62PVX5.146275</v>
      </c>
      <c r="U1768" s="787"/>
      <c r="V1768" s="787"/>
      <c r="W1768" s="785">
        <f>IFERROR(VLOOKUP($Q1768,'391'!$S:$AG,15,0),0)</f>
        <v>0</v>
      </c>
      <c r="X1768" s="1090">
        <f t="shared" si="1061"/>
        <v>180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hidden="1" customHeight="1" x14ac:dyDescent="0.25">
      <c r="A1769" s="2010"/>
      <c r="B1769" s="390" t="s">
        <v>1856</v>
      </c>
      <c r="C1769" s="348"/>
      <c r="D1769" s="866" t="s">
        <v>10</v>
      </c>
      <c r="E1769" s="1120">
        <v>46206</v>
      </c>
      <c r="F1769" s="71">
        <f t="shared" ref="F1769" si="1073">$L$7-E1769</f>
        <v>70</v>
      </c>
      <c r="G1769" s="12">
        <v>0</v>
      </c>
      <c r="H1769" s="12"/>
      <c r="I1769" s="12"/>
      <c r="J1769" s="1388"/>
      <c r="K1769" s="64">
        <f>IFERROR(SUMIF(INTAKE!$A:$A,$T1769,INTAKE!$P:$P),0)</f>
        <v>0</v>
      </c>
      <c r="L1769" s="1703">
        <f t="shared" si="1070"/>
        <v>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71"/>
        <v>Premix 62PV46206</v>
      </c>
      <c r="U1769" s="787"/>
      <c r="V1769" s="787"/>
      <c r="W1769" s="785">
        <f>IFERROR(VLOOKUP($Q1769,'391'!$S:$AG,15,0),0)</f>
        <v>0</v>
      </c>
      <c r="X1769" s="1090">
        <f t="shared" si="1061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10"/>
      <c r="B1770" s="390" t="s">
        <v>1541</v>
      </c>
      <c r="C1770" s="348"/>
      <c r="D1770" s="866" t="s">
        <v>10</v>
      </c>
      <c r="E1770" s="1120">
        <v>45680</v>
      </c>
      <c r="F1770" s="71">
        <f t="shared" si="1069"/>
        <v>596</v>
      </c>
      <c r="G1770" s="12">
        <v>0</v>
      </c>
      <c r="H1770" s="12"/>
      <c r="I1770" s="12"/>
      <c r="J1770" s="1388"/>
      <c r="K1770" s="64">
        <f>IFERROR(SUMIF(INTAKE!$A:$A,$T1770,INTAKE!$P:$P),0)</f>
        <v>0</v>
      </c>
      <c r="L1770" s="1703">
        <f t="shared" si="1070"/>
        <v>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71"/>
        <v>Premix 62PV45680</v>
      </c>
      <c r="U1770" s="787"/>
      <c r="V1770" s="787"/>
      <c r="W1770" s="785">
        <f>IFERROR(VLOOKUP($Q1770,'391'!$S:$AG,15,0),0)</f>
        <v>0</v>
      </c>
      <c r="X1770" s="1090">
        <f t="shared" si="1061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customHeight="1" x14ac:dyDescent="0.25">
      <c r="A1771" s="2010"/>
      <c r="B1771" s="1020" t="s">
        <v>1994</v>
      </c>
      <c r="C1771" s="123" t="s">
        <v>46</v>
      </c>
      <c r="D1771" s="884" t="s">
        <v>10</v>
      </c>
      <c r="E1771" s="1117">
        <v>46270</v>
      </c>
      <c r="F1771" s="71">
        <f t="shared" si="1069"/>
        <v>6</v>
      </c>
      <c r="G1771" s="56">
        <v>26.439999999999998</v>
      </c>
      <c r="H1771" s="56"/>
      <c r="I1771" s="12">
        <f>+SUM(K1766:K1769)</f>
        <v>60</v>
      </c>
      <c r="J1771" s="1369">
        <f>+usage!I241</f>
        <v>16.63</v>
      </c>
      <c r="K1771" s="64">
        <f>IFERROR(SUMIF(INTAKE!$A:$A,$T1771,INTAKE!$P:$P),0)</f>
        <v>0</v>
      </c>
      <c r="L1771" s="1534">
        <f t="shared" si="1070"/>
        <v>69.81</v>
      </c>
      <c r="M1771" s="23"/>
      <c r="N1771" s="920"/>
      <c r="O1771" s="23"/>
      <c r="P1771" s="736"/>
      <c r="Q1771" s="795"/>
      <c r="R1771" s="785">
        <f>IFERROR(VLOOKUP($Q1771,'391'!$S:$Z,8,0),"")</f>
        <v>0</v>
      </c>
      <c r="S1771" s="786"/>
      <c r="T1771" s="787" t="str">
        <f t="shared" si="1071"/>
        <v>Premix 62PVFeedmill46270</v>
      </c>
      <c r="U1771" s="787"/>
      <c r="V1771" s="787"/>
      <c r="W1771" s="785">
        <f>IFERROR(VLOOKUP($Q1771,'391'!$S:$AG,15,0),0)</f>
        <v>0</v>
      </c>
      <c r="X1771" s="1090">
        <f t="shared" si="1061"/>
        <v>26.439999999999998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420" customFormat="1" ht="30" customHeight="1" x14ac:dyDescent="0.25">
      <c r="A1772" s="2011" t="s">
        <v>125</v>
      </c>
      <c r="B1772" s="2012"/>
      <c r="C1772" s="125"/>
      <c r="D1772" s="1027"/>
      <c r="E1772" s="1027"/>
      <c r="F1772" s="896"/>
      <c r="G1772" s="1328">
        <v>566.44000000000005</v>
      </c>
      <c r="H1772" s="1328">
        <f>SUM(H1766:H1771)</f>
        <v>0</v>
      </c>
      <c r="I1772" s="1328">
        <f t="shared" ref="I1772" si="1074">SUM(I1766:I1771)</f>
        <v>60</v>
      </c>
      <c r="J1772" s="1328">
        <f t="shared" ref="J1772:L1772" si="1075">SUM(J1766:J1771)</f>
        <v>16.63</v>
      </c>
      <c r="K1772" s="1328">
        <f t="shared" si="1075"/>
        <v>60</v>
      </c>
      <c r="L1772" s="1328">
        <f t="shared" si="1075"/>
        <v>549.80999999999995</v>
      </c>
      <c r="M1772" s="889">
        <f>IFERROR(R1772/$S$2,"")</f>
        <v>24.997777777777781</v>
      </c>
      <c r="N1772" s="854">
        <f>(L1772/M1772)</f>
        <v>21.994355053782552</v>
      </c>
      <c r="O1772" s="889">
        <f>IFERROR(SUMIF(ETM!$A:$A,$Q1772,ETM!$E:$E),"")</f>
        <v>23.333333333333336</v>
      </c>
      <c r="P1772" s="855">
        <f>IFERROR(L1772/O1772,0)</f>
        <v>23.563285714285708</v>
      </c>
      <c r="Q1772" s="814" t="s">
        <v>647</v>
      </c>
      <c r="R1772" s="785">
        <f>IFERROR(VLOOKUP($Q1772,'391'!$S:$Z,8,0),"")</f>
        <v>112.49000000000001</v>
      </c>
      <c r="S1772" s="786"/>
      <c r="T1772" s="787"/>
      <c r="U1772" s="787"/>
      <c r="V1772" s="787"/>
      <c r="W1772" s="785">
        <f>IFERROR(VLOOKUP($Q1772,'391'!$S:$AG,15,0),0)</f>
        <v>503.01</v>
      </c>
      <c r="X1772" s="1090">
        <f t="shared" si="1061"/>
        <v>63.430000000000064</v>
      </c>
      <c r="Y1772" s="787"/>
      <c r="Z1772" s="791"/>
      <c r="AA1772" s="787"/>
      <c r="AB1772" s="787"/>
      <c r="AC1772" s="550"/>
      <c r="AD1772" s="550"/>
      <c r="AE1772" s="550"/>
      <c r="AF1772" s="550"/>
      <c r="AG1772" s="550"/>
      <c r="AH1772" s="550"/>
      <c r="AI1772" s="559"/>
      <c r="AJ1772" s="559"/>
      <c r="AK1772" s="559"/>
      <c r="AL1772" s="559"/>
      <c r="AM1772" s="559"/>
      <c r="AN1772" s="559"/>
      <c r="AO1772" s="559"/>
      <c r="AP1772" s="559"/>
      <c r="AQ1772" s="559"/>
      <c r="AR1772" s="559"/>
      <c r="AS1772" s="559"/>
    </row>
    <row r="1773" spans="1:45" s="6" customFormat="1" ht="30" hidden="1" customHeight="1" x14ac:dyDescent="0.25">
      <c r="A1773" s="2018" t="str">
        <f>IF(L1779=0,"",MAX($A$16:A1772)+1)</f>
        <v/>
      </c>
      <c r="B1773" s="2016" t="s">
        <v>168</v>
      </c>
      <c r="C1773" s="246" t="s">
        <v>233</v>
      </c>
      <c r="D1773" s="1111" t="s">
        <v>10</v>
      </c>
      <c r="E1773" s="1120">
        <v>43090</v>
      </c>
      <c r="F1773" s="71">
        <f t="shared" ref="F1773:F1778" si="1076">$L$7-E1773</f>
        <v>3186</v>
      </c>
      <c r="G1773" s="12">
        <v>0</v>
      </c>
      <c r="H1773" s="1315"/>
      <c r="I1773" s="1315"/>
      <c r="J1773" s="1439"/>
      <c r="K1773" s="1315"/>
      <c r="L1773" s="1534">
        <f t="shared" ref="L1773:L1785" si="1077">+G1773+H1773+I1773-J1773-K1773</f>
        <v>0</v>
      </c>
      <c r="M1773" s="66"/>
      <c r="N1773" s="920"/>
      <c r="O1773" s="66"/>
      <c r="P1773" s="857"/>
      <c r="Q1773" s="795"/>
      <c r="R1773" s="785">
        <f>IFERROR(VLOOKUP($Q1773,'391'!$S:$Z,8,0),"")</f>
        <v>0</v>
      </c>
      <c r="S1773" s="786"/>
      <c r="T1773" s="787"/>
      <c r="U1773" s="787"/>
      <c r="V1773" s="787"/>
      <c r="W1773" s="785">
        <f>IFERROR(VLOOKUP($Q1773,'391'!$S:$AG,15,0),0)</f>
        <v>0</v>
      </c>
      <c r="X1773" s="1090">
        <f t="shared" si="1061"/>
        <v>0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6" customFormat="1" ht="30" hidden="1" customHeight="1" x14ac:dyDescent="0.25">
      <c r="A1774" s="2010"/>
      <c r="B1774" s="2017"/>
      <c r="C1774" s="246" t="s">
        <v>233</v>
      </c>
      <c r="D1774" s="866" t="s">
        <v>10</v>
      </c>
      <c r="E1774" s="1120">
        <v>43091</v>
      </c>
      <c r="F1774" s="71">
        <f t="shared" si="1076"/>
        <v>3185</v>
      </c>
      <c r="G1774" s="12">
        <v>0</v>
      </c>
      <c r="H1774" s="1362"/>
      <c r="I1774" s="1362"/>
      <c r="J1774" s="1440"/>
      <c r="K1774" s="1362"/>
      <c r="L1774" s="1534">
        <f t="shared" si="1077"/>
        <v>0</v>
      </c>
      <c r="M1774" s="147"/>
      <c r="N1774" s="248"/>
      <c r="O1774" s="147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61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6" customFormat="1" ht="30" hidden="1" customHeight="1" x14ac:dyDescent="0.25">
      <c r="A1775" s="2010"/>
      <c r="B1775" s="2017"/>
      <c r="C1775" s="246" t="s">
        <v>233</v>
      </c>
      <c r="D1775" s="866" t="s">
        <v>10</v>
      </c>
      <c r="E1775" s="1120">
        <v>43092</v>
      </c>
      <c r="F1775" s="71">
        <f t="shared" si="1076"/>
        <v>3184</v>
      </c>
      <c r="G1775" s="12">
        <v>0</v>
      </c>
      <c r="H1775" s="12"/>
      <c r="I1775" s="12"/>
      <c r="J1775" s="1368"/>
      <c r="K1775" s="12"/>
      <c r="L1775" s="1534">
        <f t="shared" si="1077"/>
        <v>0</v>
      </c>
      <c r="M1775" s="101"/>
      <c r="N1775" s="249"/>
      <c r="O1775" s="101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61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10"/>
      <c r="B1776" s="2017"/>
      <c r="C1776" s="246" t="s">
        <v>233</v>
      </c>
      <c r="D1776" s="866" t="s">
        <v>10</v>
      </c>
      <c r="E1776" s="1120">
        <v>43093</v>
      </c>
      <c r="F1776" s="71">
        <f t="shared" si="1076"/>
        <v>3183</v>
      </c>
      <c r="G1776" s="12">
        <v>0</v>
      </c>
      <c r="H1776" s="12"/>
      <c r="I1776" s="12"/>
      <c r="J1776" s="1368"/>
      <c r="K1776" s="12"/>
      <c r="L1776" s="1534">
        <f t="shared" si="1077"/>
        <v>0</v>
      </c>
      <c r="M1776" s="101"/>
      <c r="N1776" s="249"/>
      <c r="O1776" s="101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61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10"/>
      <c r="B1777" s="2017"/>
      <c r="C1777" s="104" t="s">
        <v>233</v>
      </c>
      <c r="D1777" s="866" t="s">
        <v>10</v>
      </c>
      <c r="E1777" s="1120">
        <v>43094</v>
      </c>
      <c r="F1777" s="71">
        <f t="shared" si="1076"/>
        <v>3182</v>
      </c>
      <c r="G1777" s="12">
        <v>0</v>
      </c>
      <c r="H1777" s="12"/>
      <c r="I1777" s="12"/>
      <c r="J1777" s="1368"/>
      <c r="K1777" s="12"/>
      <c r="L1777" s="1534">
        <f t="shared" si="1077"/>
        <v>0</v>
      </c>
      <c r="M1777" s="23"/>
      <c r="N1777" s="920"/>
      <c r="O1777" s="23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61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406" customFormat="1" ht="30" hidden="1" customHeight="1" x14ac:dyDescent="0.25">
      <c r="A1778" s="2010"/>
      <c r="B1778" s="2017"/>
      <c r="C1778" s="123" t="s">
        <v>46</v>
      </c>
      <c r="D1778" s="884" t="s">
        <v>10</v>
      </c>
      <c r="E1778" s="1120">
        <v>43097</v>
      </c>
      <c r="F1778" s="71">
        <f t="shared" si="1076"/>
        <v>3179</v>
      </c>
      <c r="G1778" s="56">
        <v>0</v>
      </c>
      <c r="H1778" s="56"/>
      <c r="I1778" s="56"/>
      <c r="J1778" s="1369"/>
      <c r="K1778" s="56"/>
      <c r="L1778" s="1534">
        <f t="shared" si="1077"/>
        <v>0</v>
      </c>
      <c r="M1778" s="40"/>
      <c r="N1778" s="84"/>
      <c r="O1778" s="40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61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420" customFormat="1" ht="30" hidden="1" customHeight="1" x14ac:dyDescent="0.25">
      <c r="A1779" s="2011" t="s">
        <v>169</v>
      </c>
      <c r="B1779" s="2012"/>
      <c r="C1779" s="125"/>
      <c r="D1779" s="1027"/>
      <c r="E1779" s="1027"/>
      <c r="F1779" s="896"/>
      <c r="G1779" s="1422">
        <v>0</v>
      </c>
      <c r="H1779" s="1422">
        <f>SUM(H1773:H1778)</f>
        <v>0</v>
      </c>
      <c r="I1779" s="1422">
        <f>SUM(I1773:I1778)</f>
        <v>0</v>
      </c>
      <c r="J1779" s="1422">
        <f>SUM(J1773:J1778)</f>
        <v>0</v>
      </c>
      <c r="K1779" s="1422"/>
      <c r="L1779" s="1534">
        <f t="shared" si="1077"/>
        <v>0</v>
      </c>
      <c r="M1779" s="889"/>
      <c r="N1779" s="366" t="e">
        <f>(L1779/M1779)/1000</f>
        <v>#DIV/0!</v>
      </c>
      <c r="O1779" s="889"/>
      <c r="P1779" s="857" t="e">
        <f>(L1779/O1779)/1000</f>
        <v>#DIV/0!</v>
      </c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61"/>
        <v>0</v>
      </c>
      <c r="Y1779" s="787"/>
      <c r="Z1779" s="791"/>
      <c r="AA1779" s="787"/>
      <c r="AB1779" s="787"/>
      <c r="AC1779" s="550"/>
      <c r="AD1779" s="550"/>
      <c r="AE1779" s="550"/>
      <c r="AF1779" s="550"/>
      <c r="AG1779" s="550"/>
      <c r="AH1779" s="550"/>
      <c r="AI1779" s="559"/>
      <c r="AJ1779" s="559"/>
      <c r="AK1779" s="559"/>
      <c r="AL1779" s="559"/>
      <c r="AM1779" s="559"/>
      <c r="AN1779" s="559"/>
      <c r="AO1779" s="559"/>
      <c r="AP1779" s="559"/>
      <c r="AQ1779" s="559"/>
      <c r="AR1779" s="559"/>
      <c r="AS1779" s="559"/>
    </row>
    <row r="1780" spans="1:45" s="6" customFormat="1" ht="30" customHeight="1" x14ac:dyDescent="0.25">
      <c r="A1780" s="2197">
        <f>IF(L1786=0,"",MAX($A$16:A1779)+1)</f>
        <v>124</v>
      </c>
      <c r="B1780" s="507" t="s">
        <v>1995</v>
      </c>
      <c r="C1780" s="240" t="s">
        <v>243</v>
      </c>
      <c r="D1780" s="866" t="s">
        <v>10</v>
      </c>
      <c r="E1780" s="1121">
        <v>46270</v>
      </c>
      <c r="F1780" s="71">
        <f t="shared" ref="F1780" si="1078">$L$7-E1780</f>
        <v>6</v>
      </c>
      <c r="G1780" s="12">
        <v>720</v>
      </c>
      <c r="H1780" s="58"/>
      <c r="I1780" s="11"/>
      <c r="J1780" s="1388"/>
      <c r="K1780" s="64">
        <f>IFERROR(SUMIF(INTAKE!$A:$A,$T1780,INTAKE!$P:$P),0)</f>
        <v>0</v>
      </c>
      <c r="L1780" s="1703">
        <f t="shared" si="1077"/>
        <v>720</v>
      </c>
      <c r="M1780" s="101"/>
      <c r="N1780" s="249"/>
      <c r="O1780" s="101"/>
      <c r="P1780" s="750"/>
      <c r="Q1780" s="795"/>
      <c r="R1780" s="785">
        <f>IFERROR(VLOOKUP($Q1780,'391'!$S:$Z,8,0),"")</f>
        <v>0</v>
      </c>
      <c r="S1780" s="786"/>
      <c r="T1780" s="787" t="str">
        <f t="shared" ref="T1780:T1785" si="1079">$Q$1786&amp;C1780&amp;E1780</f>
        <v>Premix 66VX1.146270</v>
      </c>
      <c r="U1780" s="787"/>
      <c r="V1780" s="787"/>
      <c r="W1780" s="785">
        <f>IFERROR(VLOOKUP($Q1780,'391'!$S:$AG,15,0),0)</f>
        <v>0</v>
      </c>
      <c r="X1780" s="1090">
        <f t="shared" si="1061"/>
        <v>720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6" customFormat="1" ht="30" customHeight="1" x14ac:dyDescent="0.25">
      <c r="A1781" s="2010"/>
      <c r="B1781" s="507" t="s">
        <v>2246</v>
      </c>
      <c r="C1781" s="240" t="s">
        <v>243</v>
      </c>
      <c r="D1781" s="866" t="s">
        <v>10</v>
      </c>
      <c r="E1781" s="1121">
        <v>46275</v>
      </c>
      <c r="F1781" s="71">
        <f t="shared" ref="F1781" si="1080">$L$7-E1781</f>
        <v>1</v>
      </c>
      <c r="G1781" s="12">
        <v>360</v>
      </c>
      <c r="H1781" s="58"/>
      <c r="I1781" s="11"/>
      <c r="J1781" s="1388"/>
      <c r="K1781" s="64">
        <f>IFERROR(SUMIF(INTAKE!$A:$A,$T1781,INTAKE!$P:$P),0)</f>
        <v>0</v>
      </c>
      <c r="L1781" s="1703">
        <f t="shared" si="1077"/>
        <v>360</v>
      </c>
      <c r="M1781" s="101"/>
      <c r="N1781" s="249"/>
      <c r="O1781" s="101"/>
      <c r="P1781" s="750"/>
      <c r="Q1781" s="795"/>
      <c r="R1781" s="785">
        <f>IFERROR(VLOOKUP($Q1781,'391'!$S:$Z,8,0),"")</f>
        <v>0</v>
      </c>
      <c r="S1781" s="786"/>
      <c r="T1781" s="787" t="str">
        <f t="shared" si="1079"/>
        <v>Premix 66VX1.146275</v>
      </c>
      <c r="U1781" s="787"/>
      <c r="V1781" s="787"/>
      <c r="W1781" s="785">
        <f>IFERROR(VLOOKUP($Q1781,'391'!$S:$AG,15,0),0)</f>
        <v>0</v>
      </c>
      <c r="X1781" s="1090">
        <f t="shared" si="1061"/>
        <v>360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6" customFormat="1" ht="30" hidden="1" customHeight="1" x14ac:dyDescent="0.25">
      <c r="A1782" s="2010"/>
      <c r="B1782" s="507" t="s">
        <v>1995</v>
      </c>
      <c r="C1782" s="240"/>
      <c r="D1782" s="866" t="s">
        <v>10</v>
      </c>
      <c r="E1782" s="1121">
        <v>46270</v>
      </c>
      <c r="F1782" s="71">
        <f t="shared" ref="F1782" si="1081">$L$7-E1782</f>
        <v>6</v>
      </c>
      <c r="G1782" s="12">
        <v>0</v>
      </c>
      <c r="H1782" s="58"/>
      <c r="I1782" s="11"/>
      <c r="J1782" s="1388"/>
      <c r="K1782" s="64">
        <f>IFERROR(SUMIF(INTAKE!$A:$A,$T1782,INTAKE!$P:$P),0)</f>
        <v>0</v>
      </c>
      <c r="L1782" s="1703">
        <f t="shared" si="1077"/>
        <v>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si="1079"/>
        <v>Premix 66V46270</v>
      </c>
      <c r="U1782" s="787"/>
      <c r="V1782" s="787"/>
      <c r="W1782" s="785">
        <f>IFERROR(VLOOKUP($Q1782,'391'!$S:$AG,15,0),0)</f>
        <v>0</v>
      </c>
      <c r="X1782" s="1090">
        <f t="shared" si="1061"/>
        <v>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hidden="1" customHeight="1" x14ac:dyDescent="0.25">
      <c r="A1783" s="2010"/>
      <c r="B1783" s="507" t="s">
        <v>1929</v>
      </c>
      <c r="C1783" s="240"/>
      <c r="D1783" s="866" t="s">
        <v>10</v>
      </c>
      <c r="E1783" s="1121">
        <v>46247</v>
      </c>
      <c r="F1783" s="71">
        <f t="shared" ref="F1783" si="1082">$L$7-E1783</f>
        <v>29</v>
      </c>
      <c r="G1783" s="12">
        <v>0</v>
      </c>
      <c r="H1783" s="58"/>
      <c r="I1783" s="11"/>
      <c r="J1783" s="1388"/>
      <c r="K1783" s="64">
        <f>IFERROR(SUMIF(INTAKE!$A:$A,$T1783,INTAKE!$P:$P),0)</f>
        <v>0</v>
      </c>
      <c r="L1783" s="1703">
        <f t="shared" si="1077"/>
        <v>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79"/>
        <v>Premix 66V46247</v>
      </c>
      <c r="U1783" s="787"/>
      <c r="V1783" s="787"/>
      <c r="W1783" s="785">
        <f>IFERROR(VLOOKUP($Q1783,'391'!$S:$AG,15,0),0)</f>
        <v>0</v>
      </c>
      <c r="X1783" s="1090">
        <f t="shared" si="1061"/>
        <v>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hidden="1" customHeight="1" x14ac:dyDescent="0.25">
      <c r="A1784" s="2010"/>
      <c r="B1784" s="507" t="s">
        <v>1561</v>
      </c>
      <c r="C1784" s="240"/>
      <c r="D1784" s="866" t="s">
        <v>10</v>
      </c>
      <c r="E1784" s="1121">
        <v>45716</v>
      </c>
      <c r="F1784" s="71">
        <f t="shared" ref="F1784:F1785" si="1083">$L$7-E1784</f>
        <v>560</v>
      </c>
      <c r="G1784" s="12">
        <v>0</v>
      </c>
      <c r="H1784" s="58"/>
      <c r="I1784" s="11"/>
      <c r="J1784" s="1388"/>
      <c r="K1784" s="64">
        <f>IFERROR(SUMIF(INTAKE!$A:$A,$T1784,INTAKE!$P:$P),0)</f>
        <v>0</v>
      </c>
      <c r="L1784" s="1534">
        <f t="shared" si="1077"/>
        <v>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79"/>
        <v>Premix 66V45716</v>
      </c>
      <c r="U1784" s="787"/>
      <c r="V1784" s="787"/>
      <c r="W1784" s="785">
        <f>IFERROR(VLOOKUP($Q1784,'391'!$S:$AG,15,0),0)</f>
        <v>0</v>
      </c>
      <c r="X1784" s="1090">
        <f t="shared" si="1061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406" customFormat="1" ht="30" customHeight="1" x14ac:dyDescent="0.25">
      <c r="A1785" s="2019"/>
      <c r="B1785" s="1020" t="s">
        <v>1960</v>
      </c>
      <c r="C1785" s="123" t="s">
        <v>46</v>
      </c>
      <c r="D1785" s="884" t="s">
        <v>10</v>
      </c>
      <c r="E1785" s="1114">
        <v>46262</v>
      </c>
      <c r="F1785" s="71">
        <f t="shared" si="1083"/>
        <v>14</v>
      </c>
      <c r="G1785" s="56">
        <v>94.289999999999907</v>
      </c>
      <c r="H1785" s="37"/>
      <c r="I1785" s="37">
        <f>+SUM(K1780:K1784)</f>
        <v>0</v>
      </c>
      <c r="J1785" s="1385">
        <f>+usage!I239</f>
        <v>49.99</v>
      </c>
      <c r="K1785" s="64">
        <f>IFERROR(SUMIF(INTAKE!$A:$A,$T1785,INTAKE!$P:$P),0)</f>
        <v>0</v>
      </c>
      <c r="L1785" s="1534">
        <f t="shared" si="1077"/>
        <v>44.299999999999905</v>
      </c>
      <c r="M1785" s="35"/>
      <c r="N1785" s="87"/>
      <c r="O1785" s="35"/>
      <c r="P1785" s="751"/>
      <c r="Q1785" s="795"/>
      <c r="R1785" s="785">
        <f>IFERROR(VLOOKUP($Q1785,'391'!$S:$Z,8,0),"")</f>
        <v>0</v>
      </c>
      <c r="S1785" s="786"/>
      <c r="T1785" s="787" t="str">
        <f t="shared" si="1079"/>
        <v>Premix 66VFeedmill46262</v>
      </c>
      <c r="U1785" s="787"/>
      <c r="V1785" s="787"/>
      <c r="W1785" s="785">
        <f>IFERROR(VLOOKUP($Q1785,'391'!$S:$AG,15,0),0)</f>
        <v>0</v>
      </c>
      <c r="X1785" s="1090">
        <f t="shared" si="1061"/>
        <v>94.289999999999907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420" customFormat="1" ht="30" customHeight="1" x14ac:dyDescent="0.25">
      <c r="A1786" s="2011" t="s">
        <v>28</v>
      </c>
      <c r="B1786" s="2012"/>
      <c r="C1786" s="854"/>
      <c r="D1786" s="2096"/>
      <c r="E1786" s="2097"/>
      <c r="F1786" s="1032"/>
      <c r="G1786" s="1328">
        <v>1174.29</v>
      </c>
      <c r="H1786" s="1328">
        <f t="shared" ref="H1786:I1786" si="1084">SUM(H1780:H1785)</f>
        <v>0</v>
      </c>
      <c r="I1786" s="1328">
        <f t="shared" si="1084"/>
        <v>0</v>
      </c>
      <c r="J1786" s="1328">
        <f t="shared" ref="J1786:L1786" si="1085">SUM(J1780:J1785)</f>
        <v>49.99</v>
      </c>
      <c r="K1786" s="1328">
        <f t="shared" si="1085"/>
        <v>0</v>
      </c>
      <c r="L1786" s="1328">
        <f t="shared" si="1085"/>
        <v>1124.3</v>
      </c>
      <c r="M1786" s="889">
        <f>IFERROR(R1786/$S$2,"")</f>
        <v>59.344444444444449</v>
      </c>
      <c r="N1786" s="366">
        <f>(L1786/M1786)</f>
        <v>18.945328590151654</v>
      </c>
      <c r="O1786" s="889">
        <f>IFERROR(SUMIF(ETM!$A:$A,$Q1786,ETM!$E:$E),"")</f>
        <v>56.5</v>
      </c>
      <c r="P1786" s="880">
        <f>IFERROR(L1786/O1786,0)</f>
        <v>19.899115044247786</v>
      </c>
      <c r="Q1786" s="814" t="s">
        <v>649</v>
      </c>
      <c r="R1786" s="785">
        <f>IFERROR(VLOOKUP($Q1786,'391'!$S:$Z,8,0),"")</f>
        <v>267.05</v>
      </c>
      <c r="S1786" s="786"/>
      <c r="T1786" s="787"/>
      <c r="U1786" s="787"/>
      <c r="V1786" s="787"/>
      <c r="W1786" s="785">
        <f>IFERROR(VLOOKUP($Q1786,'391'!$S:$AG,15,0),0)</f>
        <v>1069.3900000000001</v>
      </c>
      <c r="X1786" s="1090">
        <f t="shared" si="1061"/>
        <v>104.89999999999986</v>
      </c>
      <c r="Y1786" s="787"/>
      <c r="Z1786" s="791"/>
      <c r="AA1786" s="787"/>
      <c r="AB1786" s="787"/>
      <c r="AC1786" s="550"/>
      <c r="AD1786" s="550"/>
      <c r="AE1786" s="550"/>
      <c r="AF1786" s="550"/>
      <c r="AG1786" s="550"/>
      <c r="AH1786" s="550"/>
      <c r="AI1786" s="559"/>
      <c r="AJ1786" s="559"/>
      <c r="AK1786" s="559"/>
      <c r="AL1786" s="559"/>
      <c r="AM1786" s="559"/>
      <c r="AN1786" s="559"/>
      <c r="AO1786" s="559"/>
      <c r="AP1786" s="559"/>
      <c r="AQ1786" s="559"/>
      <c r="AR1786" s="559"/>
      <c r="AS1786" s="559"/>
    </row>
    <row r="1787" spans="1:45" s="344" customFormat="1" ht="30" hidden="1" customHeight="1" x14ac:dyDescent="0.25">
      <c r="A1787" s="2013">
        <f>IF(L1793=0,"",MAX($A$16:A1786)+1)</f>
        <v>125</v>
      </c>
      <c r="B1787" s="391" t="s">
        <v>1214</v>
      </c>
      <c r="C1787" s="249"/>
      <c r="D1787" s="866" t="s">
        <v>10</v>
      </c>
      <c r="E1787" s="1126">
        <v>44847</v>
      </c>
      <c r="F1787" s="71">
        <f t="shared" ref="F1787:F1792" si="1086">$L$7-E1787</f>
        <v>1429</v>
      </c>
      <c r="G1787" s="1435">
        <v>0</v>
      </c>
      <c r="H1787" s="63"/>
      <c r="I1787" s="63"/>
      <c r="J1787" s="1378"/>
      <c r="K1787" s="64">
        <f>IFERROR(SUMIF(INTAKE!$A:$A,$T1787,INTAKE!$P:$P),0)</f>
        <v>0</v>
      </c>
      <c r="L1787" s="1534">
        <f t="shared" ref="L1787:L1792" si="1087">+G1787+H1787+I1787-J1787-K1787</f>
        <v>0</v>
      </c>
      <c r="M1787" s="1452"/>
      <c r="N1787" s="1468"/>
      <c r="O1787" s="1452"/>
      <c r="P1787" s="1479"/>
      <c r="Q1787" s="795"/>
      <c r="R1787" s="785">
        <f>IFERROR(VLOOKUP($Q1787,'391'!$S:$Z,8,0),"")</f>
        <v>0</v>
      </c>
      <c r="S1787" s="786"/>
      <c r="T1787" s="787" t="str">
        <f t="shared" ref="T1787:T1792" si="1088">$Q$1793&amp;C1787&amp;E1787</f>
        <v>Premix 67V44847</v>
      </c>
      <c r="U1787" s="787"/>
      <c r="V1787" s="787"/>
      <c r="W1787" s="785">
        <f>IFERROR(VLOOKUP($Q1787,'391'!$S:$AG,15,0),0)</f>
        <v>0</v>
      </c>
      <c r="X1787" s="1090">
        <f t="shared" si="1061"/>
        <v>0</v>
      </c>
      <c r="Y1787" s="787"/>
      <c r="Z1787" s="791"/>
      <c r="AA1787" s="787"/>
      <c r="AB1787" s="787"/>
      <c r="AC1787" s="687"/>
      <c r="AD1787" s="687"/>
      <c r="AE1787" s="687"/>
      <c r="AF1787" s="687"/>
      <c r="AG1787" s="687"/>
      <c r="AH1787" s="687"/>
      <c r="AI1787" s="709"/>
      <c r="AJ1787" s="709"/>
      <c r="AK1787" s="709"/>
      <c r="AL1787" s="709"/>
      <c r="AM1787" s="709"/>
      <c r="AN1787" s="709"/>
      <c r="AO1787" s="709"/>
      <c r="AP1787" s="709"/>
      <c r="AQ1787" s="709"/>
      <c r="AR1787" s="709"/>
      <c r="AS1787" s="709"/>
    </row>
    <row r="1788" spans="1:45" s="344" customFormat="1" ht="30" hidden="1" customHeight="1" x14ac:dyDescent="0.25">
      <c r="A1788" s="2014"/>
      <c r="B1788" s="391" t="s">
        <v>1894</v>
      </c>
      <c r="C1788" s="249"/>
      <c r="D1788" s="866" t="s">
        <v>10</v>
      </c>
      <c r="E1788" s="1126">
        <v>46233</v>
      </c>
      <c r="F1788" s="71">
        <f t="shared" ref="F1788" si="1089">$L$7-E1788</f>
        <v>43</v>
      </c>
      <c r="G1788" s="1435">
        <v>0</v>
      </c>
      <c r="H1788" s="63"/>
      <c r="I1788" s="63"/>
      <c r="J1788" s="1378"/>
      <c r="K1788" s="64">
        <f>IFERROR(SUMIF(INTAKE!$A:$A,$T1788,INTAKE!$P:$P),0)</f>
        <v>0</v>
      </c>
      <c r="L1788" s="1703">
        <f t="shared" si="1087"/>
        <v>0</v>
      </c>
      <c r="M1788" s="1453"/>
      <c r="N1788" s="1460"/>
      <c r="O1788" s="1453"/>
      <c r="P1788" s="1480"/>
      <c r="Q1788" s="795"/>
      <c r="R1788" s="785">
        <f>IFERROR(VLOOKUP($Q1788,'391'!$S:$Z,8,0),"")</f>
        <v>0</v>
      </c>
      <c r="S1788" s="786"/>
      <c r="T1788" s="787" t="str">
        <f t="shared" si="1088"/>
        <v>Premix 67V46233</v>
      </c>
      <c r="U1788" s="787"/>
      <c r="V1788" s="787"/>
      <c r="W1788" s="785">
        <f>IFERROR(VLOOKUP($Q1788,'391'!$S:$AG,15,0),0)</f>
        <v>0</v>
      </c>
      <c r="X1788" s="1090">
        <f t="shared" si="1061"/>
        <v>0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344" customFormat="1" ht="30" customHeight="1" x14ac:dyDescent="0.25">
      <c r="A1789" s="2014"/>
      <c r="B1789" s="391" t="s">
        <v>1961</v>
      </c>
      <c r="C1789" s="249" t="s">
        <v>248</v>
      </c>
      <c r="D1789" s="866" t="s">
        <v>10</v>
      </c>
      <c r="E1789" s="1126">
        <v>46262</v>
      </c>
      <c r="F1789" s="71">
        <f t="shared" si="1086"/>
        <v>14</v>
      </c>
      <c r="G1789" s="1435">
        <v>60</v>
      </c>
      <c r="H1789" s="63"/>
      <c r="I1789" s="63"/>
      <c r="J1789" s="1378"/>
      <c r="K1789" s="64">
        <f>IFERROR(SUMIF(INTAKE!$A:$A,$T1789,INTAKE!$P:$P),0)</f>
        <v>0</v>
      </c>
      <c r="L1789" s="1703">
        <f t="shared" si="1087"/>
        <v>60</v>
      </c>
      <c r="M1789" s="101"/>
      <c r="N1789" s="249"/>
      <c r="O1789" s="101"/>
      <c r="P1789" s="738"/>
      <c r="Q1789" s="795"/>
      <c r="R1789" s="785">
        <f>IFERROR(VLOOKUP($Q1789,'391'!$S:$Z,8,0),"")</f>
        <v>0</v>
      </c>
      <c r="S1789" s="786"/>
      <c r="T1789" s="787" t="str">
        <f t="shared" si="1088"/>
        <v>Premix 67VY4.146262</v>
      </c>
      <c r="U1789" s="787"/>
      <c r="V1789" s="787"/>
      <c r="W1789" s="785">
        <f>IFERROR(VLOOKUP($Q1789,'391'!$S:$AG,15,0),0)</f>
        <v>0</v>
      </c>
      <c r="X1789" s="1090">
        <f t="shared" si="1061"/>
        <v>60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customHeight="1" x14ac:dyDescent="0.25">
      <c r="A1790" s="2014"/>
      <c r="B1790" s="391" t="s">
        <v>2247</v>
      </c>
      <c r="C1790" s="249" t="s">
        <v>248</v>
      </c>
      <c r="D1790" s="866" t="s">
        <v>10</v>
      </c>
      <c r="E1790" s="1126">
        <v>46275</v>
      </c>
      <c r="F1790" s="71">
        <f t="shared" ref="F1790" si="1090">$L$7-E1790</f>
        <v>1</v>
      </c>
      <c r="G1790" s="1435">
        <v>60</v>
      </c>
      <c r="H1790" s="63"/>
      <c r="I1790" s="63"/>
      <c r="J1790" s="1378"/>
      <c r="K1790" s="64">
        <f>IFERROR(SUMIF(INTAKE!$A:$A,$T1790,INTAKE!$P:$P),0)</f>
        <v>0</v>
      </c>
      <c r="L1790" s="1703">
        <f t="shared" si="1087"/>
        <v>60</v>
      </c>
      <c r="M1790" s="101"/>
      <c r="N1790" s="249"/>
      <c r="O1790" s="101"/>
      <c r="P1790" s="738"/>
      <c r="Q1790" s="795"/>
      <c r="R1790" s="785">
        <f>IFERROR(VLOOKUP($Q1790,'391'!$S:$Z,8,0),"")</f>
        <v>0</v>
      </c>
      <c r="S1790" s="786"/>
      <c r="T1790" s="787" t="str">
        <f t="shared" si="1088"/>
        <v>Premix 67VY4.146275</v>
      </c>
      <c r="U1790" s="787"/>
      <c r="V1790" s="787"/>
      <c r="W1790" s="785">
        <f>IFERROR(VLOOKUP($Q1790,'391'!$S:$AG,15,0),0)</f>
        <v>0</v>
      </c>
      <c r="X1790" s="1090">
        <f t="shared" si="1061"/>
        <v>60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hidden="1" customHeight="1" x14ac:dyDescent="0.25">
      <c r="A1791" s="2014"/>
      <c r="B1791" s="391" t="s">
        <v>1528</v>
      </c>
      <c r="C1791" s="249"/>
      <c r="D1791" s="866" t="s">
        <v>10</v>
      </c>
      <c r="E1791" s="1126">
        <v>45626</v>
      </c>
      <c r="F1791" s="71">
        <f t="shared" si="1086"/>
        <v>650</v>
      </c>
      <c r="G1791" s="1435">
        <v>0</v>
      </c>
      <c r="H1791" s="63"/>
      <c r="I1791" s="63"/>
      <c r="J1791" s="1378"/>
      <c r="K1791" s="64">
        <f>IFERROR(SUMIF(INTAKE!$A:$A,$T1791,INTAKE!$P:$P),0)</f>
        <v>0</v>
      </c>
      <c r="L1791" s="1534">
        <f t="shared" si="1087"/>
        <v>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88"/>
        <v>Premix 67V45626</v>
      </c>
      <c r="U1791" s="787"/>
      <c r="V1791" s="787"/>
      <c r="W1791" s="785">
        <f>IFERROR(VLOOKUP($Q1791,'391'!$S:$AG,15,0),0)</f>
        <v>0</v>
      </c>
      <c r="X1791" s="1090">
        <f t="shared" si="1061"/>
        <v>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customHeight="1" x14ac:dyDescent="0.25">
      <c r="A1792" s="2014"/>
      <c r="B1792" s="1021" t="s">
        <v>1908</v>
      </c>
      <c r="C1792" s="848" t="s">
        <v>46</v>
      </c>
      <c r="D1792" s="884" t="s">
        <v>10</v>
      </c>
      <c r="E1792" s="1123">
        <v>46241</v>
      </c>
      <c r="F1792" s="71">
        <f t="shared" si="1086"/>
        <v>35</v>
      </c>
      <c r="G1792" s="1324">
        <v>53.32</v>
      </c>
      <c r="H1792" s="56"/>
      <c r="I1792" s="56">
        <f>+SUM(K1787:K1791)</f>
        <v>0</v>
      </c>
      <c r="J1792" s="1369">
        <f>+usage!I242</f>
        <v>0</v>
      </c>
      <c r="K1792" s="64">
        <f>IFERROR(SUMIF(INTAKE!$A:$A,$T1792,INTAKE!$P:$P),0)</f>
        <v>0</v>
      </c>
      <c r="L1792" s="1534">
        <f t="shared" si="1087"/>
        <v>53.32</v>
      </c>
      <c r="M1792" s="24"/>
      <c r="N1792" s="920"/>
      <c r="O1792" s="24"/>
      <c r="P1792" s="740"/>
      <c r="Q1792" s="795"/>
      <c r="R1792" s="785">
        <f>IFERROR(VLOOKUP($Q1792,'391'!$S:$Z,8,0),"")</f>
        <v>0</v>
      </c>
      <c r="S1792" s="786"/>
      <c r="T1792" s="787" t="str">
        <f t="shared" si="1088"/>
        <v>Premix 67VFeedmill46241</v>
      </c>
      <c r="U1792" s="787"/>
      <c r="V1792" s="787"/>
      <c r="W1792" s="785">
        <f>IFERROR(VLOOKUP($Q1792,'391'!$S:$AG,15,0),0)</f>
        <v>0</v>
      </c>
      <c r="X1792" s="1090">
        <f t="shared" si="1061"/>
        <v>53.32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420" customFormat="1" ht="30" customHeight="1" x14ac:dyDescent="0.25">
      <c r="A1793" s="2011" t="s">
        <v>58</v>
      </c>
      <c r="B1793" s="2012"/>
      <c r="C1793" s="125"/>
      <c r="D1793" s="1027"/>
      <c r="E1793" s="1131"/>
      <c r="F1793" s="896"/>
      <c r="G1793" s="1422">
        <v>173.32</v>
      </c>
      <c r="H1793" s="1422">
        <f t="shared" ref="H1793:I1793" si="1091">SUM(H1787:H1792)</f>
        <v>0</v>
      </c>
      <c r="I1793" s="1422">
        <f t="shared" si="1091"/>
        <v>0</v>
      </c>
      <c r="J1793" s="1422">
        <f t="shared" ref="J1793:L1793" si="1092">SUM(J1787:J1792)</f>
        <v>0</v>
      </c>
      <c r="K1793" s="1422">
        <f t="shared" si="1092"/>
        <v>0</v>
      </c>
      <c r="L1793" s="1422">
        <f t="shared" si="1092"/>
        <v>173.32</v>
      </c>
      <c r="M1793" s="889">
        <f>IFERROR(R1793/$S$2,"")</f>
        <v>7.4777777777777779</v>
      </c>
      <c r="N1793" s="366">
        <f>IFERROR(L1793/M1793,0)</f>
        <v>23.178008915304606</v>
      </c>
      <c r="O1793" s="889">
        <f>IFERROR(SUMIF(ETM!$A:$A,$Q1793,ETM!$E:$E),"")</f>
        <v>6.666666666666667</v>
      </c>
      <c r="P1793" s="880">
        <f>IFERROR(L1793/O1793,0)</f>
        <v>25.997999999999998</v>
      </c>
      <c r="Q1793" s="814" t="s">
        <v>651</v>
      </c>
      <c r="R1793" s="785">
        <f>IFERROR(VLOOKUP($Q1793,'391'!$S:$Z,8,0),"")</f>
        <v>33.65</v>
      </c>
      <c r="S1793" s="786"/>
      <c r="T1793" s="787"/>
      <c r="U1793" s="787"/>
      <c r="V1793" s="787"/>
      <c r="W1793" s="785">
        <f>IFERROR(VLOOKUP($Q1793,'391'!$S:$AG,15,0),0)</f>
        <v>113.32000000000001</v>
      </c>
      <c r="X1793" s="1090">
        <f t="shared" si="1061"/>
        <v>59.999999999999986</v>
      </c>
      <c r="Y1793" s="787"/>
      <c r="Z1793" s="791"/>
      <c r="AA1793" s="787"/>
      <c r="AB1793" s="787"/>
      <c r="AC1793" s="550"/>
      <c r="AD1793" s="550"/>
      <c r="AE1793" s="550"/>
      <c r="AF1793" s="550"/>
      <c r="AG1793" s="550"/>
      <c r="AH1793" s="550"/>
      <c r="AI1793" s="559"/>
      <c r="AJ1793" s="559"/>
      <c r="AK1793" s="559"/>
      <c r="AL1793" s="559"/>
      <c r="AM1793" s="559"/>
      <c r="AN1793" s="559"/>
      <c r="AO1793" s="559"/>
      <c r="AP1793" s="559"/>
      <c r="AQ1793" s="559"/>
      <c r="AR1793" s="559"/>
      <c r="AS1793" s="559"/>
    </row>
    <row r="1794" spans="1:45" s="6" customFormat="1" ht="30" customHeight="1" x14ac:dyDescent="0.25">
      <c r="A1794" s="2009">
        <f>IF(L1803=0,"",MAX($A$16:A1793)+1)</f>
        <v>126</v>
      </c>
      <c r="B1794" s="390" t="s">
        <v>1992</v>
      </c>
      <c r="C1794" s="246" t="s">
        <v>513</v>
      </c>
      <c r="D1794" s="866" t="s">
        <v>10</v>
      </c>
      <c r="E1794" s="1122">
        <v>46270</v>
      </c>
      <c r="F1794" s="71">
        <f t="shared" ref="F1794:F1796" si="1093">$L$7-E1794</f>
        <v>6</v>
      </c>
      <c r="G1794" s="12">
        <v>1050</v>
      </c>
      <c r="H1794" s="12"/>
      <c r="I1794" s="12"/>
      <c r="J1794" s="1368"/>
      <c r="K1794" s="64">
        <f>IFERROR(SUMIF(INTAKE!$A:$A,$T1794,INTAKE!$P:$P),0)</f>
        <v>0</v>
      </c>
      <c r="L1794" s="1703">
        <f t="shared" ref="L1794:L1802" si="1094">+G1794+H1794+I1794-J1794-K1794</f>
        <v>1050</v>
      </c>
      <c r="M1794" s="66"/>
      <c r="N1794" s="66"/>
      <c r="O1794" s="66"/>
      <c r="P1794" s="744"/>
      <c r="Q1794" s="795"/>
      <c r="R1794" s="785">
        <f>IFERROR(VLOOKUP($Q1794,'391'!$S:$Z,8,0),"")</f>
        <v>0</v>
      </c>
      <c r="S1794" s="786"/>
      <c r="T1794" s="787" t="str">
        <f t="shared" ref="T1794:T1802" si="1095">$Q$1803&amp;C1794&amp;E1794</f>
        <v>Premix 52SVY3.346270</v>
      </c>
      <c r="U1794" s="787"/>
      <c r="V1794" s="787"/>
      <c r="W1794" s="785">
        <f>IFERROR(VLOOKUP($Q1794,'391'!$S:$AG,15,0),0)</f>
        <v>0</v>
      </c>
      <c r="X1794" s="1090">
        <f t="shared" si="1061"/>
        <v>1050</v>
      </c>
      <c r="Y1794" s="787"/>
      <c r="Z1794" s="791"/>
      <c r="AA1794" s="787"/>
      <c r="AB1794" s="787"/>
      <c r="AC1794" s="679"/>
      <c r="AD1794" s="679"/>
      <c r="AE1794" s="679"/>
      <c r="AF1794" s="679"/>
      <c r="AG1794" s="679"/>
      <c r="AH1794" s="679"/>
      <c r="AI1794" s="682"/>
      <c r="AJ1794" s="682"/>
      <c r="AK1794" s="682"/>
      <c r="AL1794" s="682"/>
      <c r="AM1794" s="682"/>
      <c r="AN1794" s="682"/>
      <c r="AO1794" s="682"/>
      <c r="AP1794" s="682"/>
      <c r="AQ1794" s="682"/>
      <c r="AR1794" s="682"/>
      <c r="AS1794" s="682"/>
    </row>
    <row r="1795" spans="1:45" s="6" customFormat="1" ht="30" customHeight="1" x14ac:dyDescent="0.25">
      <c r="A1795" s="2010"/>
      <c r="B1795" s="390" t="s">
        <v>1992</v>
      </c>
      <c r="C1795" s="246" t="s">
        <v>272</v>
      </c>
      <c r="D1795" s="866" t="s">
        <v>10</v>
      </c>
      <c r="E1795" s="1122">
        <v>46270</v>
      </c>
      <c r="F1795" s="71">
        <f t="shared" si="1093"/>
        <v>6</v>
      </c>
      <c r="G1795" s="12">
        <v>1050</v>
      </c>
      <c r="H1795" s="12"/>
      <c r="I1795" s="12"/>
      <c r="J1795" s="1368"/>
      <c r="K1795" s="64">
        <f>IFERROR(SUMIF(INTAKE!$A:$A,$T1795,INTAKE!$P:$P),0)</f>
        <v>0</v>
      </c>
      <c r="L1795" s="1703">
        <f t="shared" si="1094"/>
        <v>1050</v>
      </c>
      <c r="M1795" s="101"/>
      <c r="N1795" s="101"/>
      <c r="O1795" s="101"/>
      <c r="P1795" s="738"/>
      <c r="Q1795" s="795"/>
      <c r="R1795" s="785">
        <f>IFERROR(VLOOKUP($Q1795,'391'!$S:$Z,8,0),"")</f>
        <v>0</v>
      </c>
      <c r="S1795" s="786"/>
      <c r="T1795" s="787" t="str">
        <f t="shared" si="1095"/>
        <v>Premix 52SVY2.346270</v>
      </c>
      <c r="U1795" s="787"/>
      <c r="V1795" s="787"/>
      <c r="W1795" s="785">
        <f>IFERROR(VLOOKUP($Q1795,'391'!$S:$AG,15,0),0)</f>
        <v>0</v>
      </c>
      <c r="X1795" s="1090">
        <f t="shared" si="1061"/>
        <v>1050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customHeight="1" x14ac:dyDescent="0.25">
      <c r="A1796" s="2010"/>
      <c r="B1796" s="390" t="s">
        <v>1992</v>
      </c>
      <c r="C1796" s="246" t="s">
        <v>258</v>
      </c>
      <c r="D1796" s="866" t="s">
        <v>10</v>
      </c>
      <c r="E1796" s="1122">
        <v>46270</v>
      </c>
      <c r="F1796" s="71">
        <f t="shared" si="1093"/>
        <v>6</v>
      </c>
      <c r="G1796" s="12">
        <v>600</v>
      </c>
      <c r="H1796" s="12"/>
      <c r="I1796" s="12"/>
      <c r="J1796" s="1368"/>
      <c r="K1796" s="64">
        <f>IFERROR(SUMIF(INTAKE!$A:$A,$T1796,INTAKE!$P:$P),0)</f>
        <v>0</v>
      </c>
      <c r="L1796" s="1703">
        <f t="shared" si="1094"/>
        <v>600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095"/>
        <v>Premix 52SVY4.346270</v>
      </c>
      <c r="U1796" s="787"/>
      <c r="V1796" s="787"/>
      <c r="W1796" s="785">
        <f>IFERROR(VLOOKUP($Q1796,'391'!$S:$AG,15,0),0)</f>
        <v>0</v>
      </c>
      <c r="X1796" s="1090">
        <f t="shared" si="1061"/>
        <v>600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28.5" customHeight="1" x14ac:dyDescent="0.25">
      <c r="A1797" s="2010"/>
      <c r="B1797" s="390" t="s">
        <v>2242</v>
      </c>
      <c r="C1797" s="246" t="s">
        <v>1957</v>
      </c>
      <c r="D1797" s="866" t="s">
        <v>10</v>
      </c>
      <c r="E1797" s="1122">
        <v>46275</v>
      </c>
      <c r="F1797" s="71">
        <f t="shared" ref="F1797" si="1096">$L$7-E1797</f>
        <v>1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3">
        <f t="shared" si="1094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095"/>
        <v>Premix 52SVY1.346275</v>
      </c>
      <c r="U1797" s="787"/>
      <c r="V1797" s="787"/>
      <c r="W1797" s="785">
        <f>IFERROR(VLOOKUP($Q1797,'391'!$S:$AG,15,0),0)</f>
        <v>0</v>
      </c>
      <c r="X1797" s="1090">
        <f t="shared" ref="X1797:X1861" si="1097">G1797-W1797</f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10"/>
      <c r="B1798" s="390" t="s">
        <v>2242</v>
      </c>
      <c r="C1798" s="246" t="s">
        <v>513</v>
      </c>
      <c r="D1798" s="866" t="s">
        <v>10</v>
      </c>
      <c r="E1798" s="1122">
        <v>46275</v>
      </c>
      <c r="F1798" s="71">
        <f t="shared" ref="F1798" si="1098">$L$7-E1798</f>
        <v>1</v>
      </c>
      <c r="G1798" s="12">
        <v>1050</v>
      </c>
      <c r="H1798" s="12"/>
      <c r="I1798" s="12"/>
      <c r="J1798" s="1368"/>
      <c r="K1798" s="64">
        <f>IFERROR(SUMIF(INTAKE!$A:$A,$T1798,INTAKE!$P:$P),0)</f>
        <v>0</v>
      </c>
      <c r="L1798" s="1703">
        <f t="shared" si="1094"/>
        <v>1050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095"/>
        <v>Premix 52SVY3.346275</v>
      </c>
      <c r="U1798" s="787"/>
      <c r="V1798" s="787"/>
      <c r="W1798" s="785">
        <f>IFERROR(VLOOKUP($Q1798,'391'!$S:$AG,15,0),0)</f>
        <v>0</v>
      </c>
      <c r="X1798" s="1090">
        <f t="shared" si="1097"/>
        <v>1050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30" hidden="1" customHeight="1" x14ac:dyDescent="0.25">
      <c r="A1799" s="2010"/>
      <c r="B1799" s="390" t="s">
        <v>1881</v>
      </c>
      <c r="C1799" s="246"/>
      <c r="D1799" s="866" t="s">
        <v>10</v>
      </c>
      <c r="E1799" s="1122">
        <v>46227</v>
      </c>
      <c r="F1799" s="71">
        <f t="shared" ref="F1799" si="1099">$L$7-E1799</f>
        <v>49</v>
      </c>
      <c r="G1799" s="12">
        <v>0</v>
      </c>
      <c r="H1799" s="12"/>
      <c r="I1799" s="12"/>
      <c r="J1799" s="1368"/>
      <c r="K1799" s="64">
        <f>IFERROR(SUMIF(INTAKE!$A:$A,$T1799,INTAKE!$P:$P),0)</f>
        <v>0</v>
      </c>
      <c r="L1799" s="1703">
        <f t="shared" si="1094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095"/>
        <v>Premix 52SV46227</v>
      </c>
      <c r="U1799" s="787"/>
      <c r="V1799" s="787"/>
      <c r="W1799" s="785">
        <f>IFERROR(VLOOKUP($Q1799,'391'!$S:$AG,15,0),0)</f>
        <v>0</v>
      </c>
      <c r="X1799" s="1090">
        <f t="shared" si="1097"/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10"/>
      <c r="B1800" s="390" t="s">
        <v>1811</v>
      </c>
      <c r="C1800" s="246"/>
      <c r="D1800" s="866" t="s">
        <v>10</v>
      </c>
      <c r="E1800" s="1122">
        <v>46135</v>
      </c>
      <c r="F1800" s="71">
        <f t="shared" ref="F1800" si="1100">$L$7-E1800</f>
        <v>141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3">
        <f t="shared" si="1094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095"/>
        <v>Premix 52SV46135</v>
      </c>
      <c r="U1800" s="787"/>
      <c r="V1800" s="787"/>
      <c r="W1800" s="785">
        <f>IFERROR(VLOOKUP($Q1800,'391'!$S:$AG,15,0),0)</f>
        <v>0</v>
      </c>
      <c r="X1800" s="1090">
        <f t="shared" si="1097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10"/>
      <c r="B1801" s="390" t="s">
        <v>1544</v>
      </c>
      <c r="C1801" s="246"/>
      <c r="D1801" s="866" t="s">
        <v>10</v>
      </c>
      <c r="E1801" s="1122">
        <v>45695</v>
      </c>
      <c r="F1801" s="71">
        <f t="shared" ref="F1801:F1802" si="1101">$L$7-E1801</f>
        <v>581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534">
        <f t="shared" si="1094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095"/>
        <v>Premix 52SV45695</v>
      </c>
      <c r="U1801" s="787"/>
      <c r="V1801" s="787"/>
      <c r="W1801" s="785">
        <f>IFERROR(VLOOKUP($Q1801,'391'!$S:$AG,15,0),0)</f>
        <v>0</v>
      </c>
      <c r="X1801" s="1090">
        <f t="shared" si="1097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customHeight="1" x14ac:dyDescent="0.25">
      <c r="A1802" s="2010"/>
      <c r="B1802" s="1020" t="s">
        <v>1959</v>
      </c>
      <c r="C1802" s="123" t="s">
        <v>46</v>
      </c>
      <c r="D1802" s="884" t="s">
        <v>10</v>
      </c>
      <c r="E1802" s="1132">
        <v>46262</v>
      </c>
      <c r="F1802" s="71">
        <f t="shared" si="1101"/>
        <v>14</v>
      </c>
      <c r="G1802" s="56">
        <v>673.87999999999965</v>
      </c>
      <c r="H1802" s="12"/>
      <c r="I1802" s="56">
        <f>+SUM(K1794:K1798)</f>
        <v>0</v>
      </c>
      <c r="J1802" s="1365">
        <f>+usage!I237</f>
        <v>266.62</v>
      </c>
      <c r="K1802" s="64">
        <f>IFERROR(SUMIF(INTAKE!$A:$A,$T1802,INTAKE!$P:$P),0)</f>
        <v>0</v>
      </c>
      <c r="L1802" s="1534">
        <f t="shared" si="1094"/>
        <v>407.25999999999965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095"/>
        <v>Premix 52SVFeedmill46262</v>
      </c>
      <c r="U1802" s="787"/>
      <c r="V1802" s="787"/>
      <c r="W1802" s="785">
        <f>IFERROR(VLOOKUP($Q1802,'391'!$S:$AG,15,0),0)</f>
        <v>0</v>
      </c>
      <c r="X1802" s="1090">
        <f t="shared" si="1097"/>
        <v>673.87999999999965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420" customFormat="1" ht="30" customHeight="1" x14ac:dyDescent="0.25">
      <c r="A1803" s="2011" t="s">
        <v>25</v>
      </c>
      <c r="B1803" s="2012"/>
      <c r="C1803" s="125"/>
      <c r="D1803" s="1027"/>
      <c r="E1803" s="1131"/>
      <c r="F1803" s="896"/>
      <c r="G1803" s="1422">
        <v>5473.8799999999992</v>
      </c>
      <c r="H1803" s="1422">
        <f t="shared" ref="H1803:I1803" si="1102">SUM(H1794:H1802)</f>
        <v>0</v>
      </c>
      <c r="I1803" s="1422">
        <f t="shared" si="1102"/>
        <v>0</v>
      </c>
      <c r="J1803" s="1422">
        <f t="shared" ref="J1803:L1803" si="1103">SUM(J1794:J1802)</f>
        <v>266.62</v>
      </c>
      <c r="K1803" s="1422">
        <f t="shared" si="1103"/>
        <v>0</v>
      </c>
      <c r="L1803" s="1422">
        <f t="shared" si="1103"/>
        <v>5207.2599999999993</v>
      </c>
      <c r="M1803" s="889">
        <f>IFERROR(R1803/$S$2,"")</f>
        <v>262.08000000000004</v>
      </c>
      <c r="N1803" s="366">
        <f>(L1803/M1803)</f>
        <v>19.868971306471302</v>
      </c>
      <c r="O1803" s="889">
        <f>IFERROR(SUMIF(ETM!$A:$A,$Q1803,ETM!$E:$E),"")</f>
        <v>265.66666666666669</v>
      </c>
      <c r="P1803" s="855">
        <f>IFERROR(L1803/O1803,0)</f>
        <v>19.600727728983685</v>
      </c>
      <c r="Q1803" s="814" t="s">
        <v>645</v>
      </c>
      <c r="R1803" s="785">
        <f>IFERROR(VLOOKUP($Q1803,'391'!$S:$Z,8,0),"")</f>
        <v>1179.3600000000001</v>
      </c>
      <c r="S1803" s="786"/>
      <c r="T1803" s="787"/>
      <c r="U1803" s="787"/>
      <c r="V1803" s="787"/>
      <c r="W1803" s="785">
        <f>IFERROR(VLOOKUP($Q1803,'391'!$S:$AG,15,0),0)</f>
        <v>4460.9400000000005</v>
      </c>
      <c r="X1803" s="1090">
        <f t="shared" si="1097"/>
        <v>1012.9399999999987</v>
      </c>
      <c r="Y1803" s="787"/>
      <c r="Z1803" s="791"/>
      <c r="AA1803" s="787"/>
      <c r="AB1803" s="787"/>
      <c r="AC1803" s="550"/>
      <c r="AD1803" s="550"/>
      <c r="AE1803" s="550"/>
      <c r="AF1803" s="550"/>
      <c r="AG1803" s="550"/>
      <c r="AH1803" s="550"/>
      <c r="AI1803" s="559"/>
      <c r="AJ1803" s="559"/>
      <c r="AK1803" s="559"/>
      <c r="AL1803" s="559"/>
      <c r="AM1803" s="559"/>
      <c r="AN1803" s="559"/>
      <c r="AO1803" s="559"/>
      <c r="AP1803" s="559"/>
      <c r="AQ1803" s="559"/>
      <c r="AR1803" s="559"/>
      <c r="AS1803" s="559"/>
    </row>
    <row r="1804" spans="1:45" s="6" customFormat="1" ht="30" hidden="1" customHeight="1" x14ac:dyDescent="0.25">
      <c r="A1804" s="2018" t="str">
        <f>IF(L1813=0,"",MAX($A$16:A1803)+1)</f>
        <v/>
      </c>
      <c r="B1804" s="2020" t="s">
        <v>154</v>
      </c>
      <c r="C1804" s="249" t="s">
        <v>244</v>
      </c>
      <c r="D1804" s="1111" t="s">
        <v>10</v>
      </c>
      <c r="E1804" s="1122">
        <v>44421</v>
      </c>
      <c r="F1804" s="71">
        <f t="shared" ref="F1804:F1812" si="1104">$L$7-E1804</f>
        <v>1855</v>
      </c>
      <c r="G1804" s="1433">
        <v>0</v>
      </c>
      <c r="H1804" s="12"/>
      <c r="I1804" s="12"/>
      <c r="J1804" s="1368"/>
      <c r="K1804" s="1422"/>
      <c r="L1804" s="1534">
        <f t="shared" ref="L1804:L1820" si="1105">+G1804+H1804+I1804-J1804-K1804</f>
        <v>0</v>
      </c>
      <c r="M1804" s="66"/>
      <c r="N1804" s="920"/>
      <c r="O1804" s="66"/>
      <c r="P1804" s="857"/>
      <c r="Q1804" s="795"/>
      <c r="R1804" s="785">
        <f>IFERROR(VLOOKUP($Q1804,'391'!$S:$Z,8,0),"")</f>
        <v>0</v>
      </c>
      <c r="S1804" s="786"/>
      <c r="T1804" s="787"/>
      <c r="U1804" s="787"/>
      <c r="V1804" s="787"/>
      <c r="W1804" s="785">
        <f>IFERROR(VLOOKUP($Q1804,'391'!$S:$AG,15,0),0)</f>
        <v>0</v>
      </c>
      <c r="X1804" s="1090">
        <f t="shared" si="1097"/>
        <v>0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6" customFormat="1" ht="30" hidden="1" customHeight="1" x14ac:dyDescent="0.25">
      <c r="A1805" s="2010"/>
      <c r="B1805" s="2021"/>
      <c r="C1805" s="249" t="s">
        <v>244</v>
      </c>
      <c r="D1805" s="866" t="s">
        <v>10</v>
      </c>
      <c r="E1805" s="1122">
        <v>44421</v>
      </c>
      <c r="F1805" s="71">
        <f t="shared" si="1104"/>
        <v>1855</v>
      </c>
      <c r="G1805" s="1433">
        <v>0</v>
      </c>
      <c r="H1805" s="12"/>
      <c r="I1805" s="12"/>
      <c r="J1805" s="1368"/>
      <c r="K1805" s="1422"/>
      <c r="L1805" s="1534">
        <f t="shared" si="1105"/>
        <v>0</v>
      </c>
      <c r="M1805" s="101"/>
      <c r="N1805" s="249"/>
      <c r="O1805" s="101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097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10"/>
      <c r="B1806" s="2021"/>
      <c r="C1806" s="249" t="s">
        <v>148</v>
      </c>
      <c r="D1806" s="866" t="s">
        <v>10</v>
      </c>
      <c r="E1806" s="1122">
        <v>44421</v>
      </c>
      <c r="F1806" s="71">
        <f t="shared" si="1104"/>
        <v>1855</v>
      </c>
      <c r="G1806" s="1433">
        <v>0</v>
      </c>
      <c r="H1806" s="12"/>
      <c r="I1806" s="12"/>
      <c r="J1806" s="1368"/>
      <c r="K1806" s="1422"/>
      <c r="L1806" s="1534">
        <f t="shared" si="1105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97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10"/>
      <c r="B1807" s="2021"/>
      <c r="C1807" s="249" t="s">
        <v>148</v>
      </c>
      <c r="D1807" s="866" t="s">
        <v>10</v>
      </c>
      <c r="E1807" s="1122">
        <v>44421</v>
      </c>
      <c r="F1807" s="71">
        <f t="shared" si="1104"/>
        <v>1855</v>
      </c>
      <c r="G1807" s="1433">
        <v>0</v>
      </c>
      <c r="H1807" s="12"/>
      <c r="I1807" s="12"/>
      <c r="J1807" s="1368"/>
      <c r="K1807" s="1422"/>
      <c r="L1807" s="1534">
        <f t="shared" si="1105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97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10"/>
      <c r="B1808" s="2021"/>
      <c r="C1808" s="249" t="s">
        <v>244</v>
      </c>
      <c r="D1808" s="866" t="s">
        <v>10</v>
      </c>
      <c r="E1808" s="1122">
        <v>44421</v>
      </c>
      <c r="F1808" s="71">
        <f t="shared" si="1104"/>
        <v>1855</v>
      </c>
      <c r="G1808" s="1433">
        <v>0</v>
      </c>
      <c r="H1808" s="12"/>
      <c r="I1808" s="12"/>
      <c r="J1808" s="1368"/>
      <c r="K1808" s="1422"/>
      <c r="L1808" s="1534">
        <f t="shared" si="1105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097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10"/>
      <c r="B1809" s="2021"/>
      <c r="C1809" s="249" t="s">
        <v>244</v>
      </c>
      <c r="D1809" s="866" t="s">
        <v>10</v>
      </c>
      <c r="E1809" s="1122">
        <v>44421</v>
      </c>
      <c r="F1809" s="71">
        <f t="shared" si="1104"/>
        <v>1855</v>
      </c>
      <c r="G1809" s="1433">
        <v>0</v>
      </c>
      <c r="H1809" s="12"/>
      <c r="I1809" s="12"/>
      <c r="J1809" s="1397"/>
      <c r="K1809" s="1422"/>
      <c r="L1809" s="1534">
        <f t="shared" si="1105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097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10"/>
      <c r="B1810" s="2021"/>
      <c r="C1810" s="249" t="s">
        <v>244</v>
      </c>
      <c r="D1810" s="866" t="s">
        <v>10</v>
      </c>
      <c r="E1810" s="1122">
        <v>44421</v>
      </c>
      <c r="F1810" s="71">
        <f t="shared" si="1104"/>
        <v>1855</v>
      </c>
      <c r="G1810" s="1441">
        <v>0</v>
      </c>
      <c r="H1810" s="12"/>
      <c r="I1810" s="958"/>
      <c r="J1810" s="1397"/>
      <c r="K1810" s="1422"/>
      <c r="L1810" s="1534">
        <f t="shared" si="1105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097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10"/>
      <c r="B1811" s="2021"/>
      <c r="C1811" s="149" t="s">
        <v>46</v>
      </c>
      <c r="D1811" s="866" t="s">
        <v>10</v>
      </c>
      <c r="E1811" s="1122">
        <v>44421</v>
      </c>
      <c r="F1811" s="71">
        <f t="shared" si="1104"/>
        <v>1855</v>
      </c>
      <c r="G1811" s="1441">
        <v>0</v>
      </c>
      <c r="H1811" s="12"/>
      <c r="I1811" s="958"/>
      <c r="J1811" s="1397"/>
      <c r="K1811" s="1422"/>
      <c r="L1811" s="1534">
        <f t="shared" si="1105"/>
        <v>0</v>
      </c>
      <c r="M1811" s="22"/>
      <c r="N1811" s="920"/>
      <c r="O1811" s="22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097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19"/>
      <c r="B1812" s="2022"/>
      <c r="C1812" s="144" t="s">
        <v>46</v>
      </c>
      <c r="D1812" s="1112" t="s">
        <v>10</v>
      </c>
      <c r="E1812" s="1122">
        <v>44421</v>
      </c>
      <c r="F1812" s="71">
        <f t="shared" si="1104"/>
        <v>1855</v>
      </c>
      <c r="G1812" s="37">
        <v>0</v>
      </c>
      <c r="H1812" s="1415"/>
      <c r="I1812" s="1308"/>
      <c r="J1812" s="1417"/>
      <c r="K1812" s="1422"/>
      <c r="L1812" s="1534">
        <f t="shared" si="1105"/>
        <v>0</v>
      </c>
      <c r="M1812" s="22"/>
      <c r="N1812" s="920"/>
      <c r="O1812" s="22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097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420" customFormat="1" ht="30" hidden="1" customHeight="1" x14ac:dyDescent="0.25">
      <c r="A1813" s="2011" t="s">
        <v>153</v>
      </c>
      <c r="B1813" s="2012"/>
      <c r="C1813" s="125"/>
      <c r="D1813" s="1027"/>
      <c r="E1813" s="1131"/>
      <c r="F1813" s="896"/>
      <c r="G1813" s="1422">
        <v>0</v>
      </c>
      <c r="H1813" s="1422">
        <f>SUM(H1804:H1812)</f>
        <v>0</v>
      </c>
      <c r="I1813" s="1422">
        <f>SUM(I1804:I1812)</f>
        <v>0</v>
      </c>
      <c r="J1813" s="1422">
        <f>SUM(J1804:J1812)</f>
        <v>0</v>
      </c>
      <c r="K1813" s="1422"/>
      <c r="L1813" s="1534">
        <f t="shared" si="1105"/>
        <v>0</v>
      </c>
      <c r="M1813" s="889">
        <v>0</v>
      </c>
      <c r="N1813" s="366" t="e">
        <f>(L1813/M1813)/1000</f>
        <v>#DIV/0!</v>
      </c>
      <c r="O1813" s="889"/>
      <c r="P1813" s="857" t="e">
        <f>(L1813/O1813)/1000</f>
        <v>#DIV/0!</v>
      </c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097"/>
        <v>0</v>
      </c>
      <c r="Y1813" s="787"/>
      <c r="Z1813" s="791"/>
      <c r="AA1813" s="787"/>
      <c r="AB1813" s="787"/>
      <c r="AC1813" s="550"/>
      <c r="AD1813" s="550"/>
      <c r="AE1813" s="550"/>
      <c r="AF1813" s="550"/>
      <c r="AG1813" s="550"/>
      <c r="AH1813" s="550"/>
      <c r="AI1813" s="559"/>
      <c r="AJ1813" s="559"/>
      <c r="AK1813" s="559"/>
      <c r="AL1813" s="559"/>
      <c r="AM1813" s="559"/>
      <c r="AN1813" s="559"/>
      <c r="AO1813" s="559"/>
      <c r="AP1813" s="559"/>
      <c r="AQ1813" s="559"/>
      <c r="AR1813" s="559"/>
      <c r="AS1813" s="559"/>
    </row>
    <row r="1814" spans="1:45" s="6" customFormat="1" ht="30" hidden="1" customHeight="1" x14ac:dyDescent="0.25">
      <c r="A1814" s="2009">
        <f>IF(L1822=0,"",MAX($A$16:A1813)+1)</f>
        <v>127</v>
      </c>
      <c r="B1814" s="390" t="s">
        <v>1256</v>
      </c>
      <c r="C1814" s="186"/>
      <c r="D1814" s="866" t="s">
        <v>10</v>
      </c>
      <c r="E1814" s="1124">
        <v>44960</v>
      </c>
      <c r="F1814" s="71">
        <f t="shared" ref="F1814:F1821" si="1106">$L$7-E1814</f>
        <v>1316</v>
      </c>
      <c r="G1814" s="12">
        <v>0</v>
      </c>
      <c r="H1814" s="12"/>
      <c r="I1814" s="12"/>
      <c r="J1814" s="1368"/>
      <c r="K1814" s="1422"/>
      <c r="L1814" s="1534">
        <f t="shared" si="1105"/>
        <v>0</v>
      </c>
      <c r="M1814" s="66"/>
      <c r="N1814" s="66"/>
      <c r="O1814" s="66"/>
      <c r="P1814" s="744"/>
      <c r="Q1814" s="795"/>
      <c r="R1814" s="785">
        <f>IFERROR(VLOOKUP($Q1814,'391'!$S:$Z,8,0),"")</f>
        <v>0</v>
      </c>
      <c r="S1814" s="786"/>
      <c r="T1814" s="787" t="str">
        <f t="shared" ref="T1814:T1821" si="1107">$Q$1822&amp;C1814&amp;E1814</f>
        <v>Premix 67SV44960</v>
      </c>
      <c r="U1814" s="787"/>
      <c r="V1814" s="787"/>
      <c r="W1814" s="785">
        <f>IFERROR(VLOOKUP($Q1814,'391'!$S:$AG,15,0),0)</f>
        <v>0</v>
      </c>
      <c r="X1814" s="1090">
        <f t="shared" si="1097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6" customFormat="1" ht="30" hidden="1" customHeight="1" x14ac:dyDescent="0.25">
      <c r="A1815" s="2010"/>
      <c r="B1815" s="390" t="s">
        <v>1339</v>
      </c>
      <c r="C1815" s="246"/>
      <c r="D1815" s="866" t="s">
        <v>10</v>
      </c>
      <c r="E1815" s="1124">
        <v>45169</v>
      </c>
      <c r="F1815" s="71">
        <f t="shared" si="1106"/>
        <v>1107</v>
      </c>
      <c r="G1815" s="12">
        <v>0</v>
      </c>
      <c r="H1815" s="12"/>
      <c r="I1815" s="12"/>
      <c r="J1815" s="1368"/>
      <c r="K1815" s="1422"/>
      <c r="L1815" s="1534">
        <f t="shared" si="1105"/>
        <v>0</v>
      </c>
      <c r="M1815" s="101"/>
      <c r="N1815" s="101"/>
      <c r="O1815" s="101"/>
      <c r="P1815" s="738"/>
      <c r="Q1815" s="795"/>
      <c r="R1815" s="785">
        <f>IFERROR(VLOOKUP($Q1815,'391'!$S:$Z,8,0),"")</f>
        <v>0</v>
      </c>
      <c r="S1815" s="786"/>
      <c r="T1815" s="787" t="str">
        <f t="shared" si="1107"/>
        <v>Premix 67SV45169</v>
      </c>
      <c r="U1815" s="787"/>
      <c r="V1815" s="787"/>
      <c r="W1815" s="785">
        <f>IFERROR(VLOOKUP($Q1815,'391'!$S:$AG,15,0),0)</f>
        <v>0</v>
      </c>
      <c r="X1815" s="1090">
        <f t="shared" si="1097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customHeight="1" x14ac:dyDescent="0.25">
      <c r="A1816" s="2010"/>
      <c r="B1816" s="390" t="s">
        <v>1996</v>
      </c>
      <c r="C1816" s="186" t="s">
        <v>142</v>
      </c>
      <c r="D1816" s="866" t="s">
        <v>10</v>
      </c>
      <c r="E1816" s="1124">
        <v>46270</v>
      </c>
      <c r="F1816" s="71">
        <f t="shared" si="1106"/>
        <v>6</v>
      </c>
      <c r="G1816" s="12">
        <v>1050</v>
      </c>
      <c r="H1816" s="12"/>
      <c r="I1816" s="12"/>
      <c r="J1816" s="1368"/>
      <c r="K1816" s="64">
        <f>IFERROR(SUMIF(INTAKE!$A:$A,$T1816,INTAKE!$P:$P),0)</f>
        <v>0</v>
      </c>
      <c r="L1816" s="1703">
        <f t="shared" si="1105"/>
        <v>1050</v>
      </c>
      <c r="M1816" s="101"/>
      <c r="N1816" s="101"/>
      <c r="O1816" s="101"/>
      <c r="P1816" s="738"/>
      <c r="Q1816" s="795"/>
      <c r="R1816" s="785">
        <f>IFERROR(VLOOKUP($Q1816,'391'!$S:$Z,8,0),"")</f>
        <v>0</v>
      </c>
      <c r="S1816" s="786"/>
      <c r="T1816" s="787" t="str">
        <f t="shared" si="1107"/>
        <v>Premix 67SVY7.346270</v>
      </c>
      <c r="U1816" s="787"/>
      <c r="V1816" s="787"/>
      <c r="W1816" s="785">
        <f>IFERROR(VLOOKUP($Q1816,'391'!$S:$AG,15,0),0)</f>
        <v>0</v>
      </c>
      <c r="X1816" s="1090">
        <f t="shared" si="1097"/>
        <v>1050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customHeight="1" x14ac:dyDescent="0.25">
      <c r="A1817" s="2010"/>
      <c r="B1817" s="390" t="s">
        <v>1339</v>
      </c>
      <c r="C1817" s="186" t="s">
        <v>147</v>
      </c>
      <c r="D1817" s="866" t="s">
        <v>10</v>
      </c>
      <c r="E1817" s="1124">
        <v>46275</v>
      </c>
      <c r="F1817" s="71">
        <f t="shared" si="1106"/>
        <v>1</v>
      </c>
      <c r="G1817" s="12">
        <v>600</v>
      </c>
      <c r="H1817" s="12"/>
      <c r="I1817" s="12"/>
      <c r="J1817" s="1368"/>
      <c r="K1817" s="64">
        <f>IFERROR(SUMIF(INTAKE!$A:$A,$T1817,INTAKE!$P:$P),0)</f>
        <v>0</v>
      </c>
      <c r="L1817" s="1703">
        <f t="shared" si="1105"/>
        <v>600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07"/>
        <v>Premix 67SVY7.246275</v>
      </c>
      <c r="U1817" s="787"/>
      <c r="V1817" s="787"/>
      <c r="W1817" s="785">
        <f>IFERROR(VLOOKUP($Q1817,'391'!$S:$AG,15,0),0)</f>
        <v>0</v>
      </c>
      <c r="X1817" s="1090">
        <f t="shared" si="1097"/>
        <v>600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hidden="1" customHeight="1" x14ac:dyDescent="0.25">
      <c r="A1818" s="2010"/>
      <c r="B1818" s="390" t="s">
        <v>1996</v>
      </c>
      <c r="C1818" s="186"/>
      <c r="D1818" s="866" t="s">
        <v>10</v>
      </c>
      <c r="E1818" s="1124">
        <v>46270</v>
      </c>
      <c r="F1818" s="71">
        <f t="shared" ref="F1818" si="1108">$L$7-E1818</f>
        <v>6</v>
      </c>
      <c r="G1818" s="12">
        <v>0</v>
      </c>
      <c r="H1818" s="12"/>
      <c r="I1818" s="12"/>
      <c r="J1818" s="1368"/>
      <c r="K1818" s="64">
        <f>IFERROR(SUMIF(INTAKE!$A:$A,$T1818,INTAKE!$P:$P),0)</f>
        <v>0</v>
      </c>
      <c r="L1818" s="1703">
        <f t="shared" si="1105"/>
        <v>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07"/>
        <v>Premix 67SV46270</v>
      </c>
      <c r="U1818" s="787"/>
      <c r="V1818" s="787"/>
      <c r="W1818" s="785">
        <f>IFERROR(VLOOKUP($Q1818,'391'!$S:$AG,15,0),0)</f>
        <v>0</v>
      </c>
      <c r="X1818" s="1090">
        <f t="shared" si="1097"/>
        <v>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10"/>
      <c r="B1819" s="390" t="s">
        <v>1823</v>
      </c>
      <c r="C1819" s="186"/>
      <c r="D1819" s="866" t="s">
        <v>10</v>
      </c>
      <c r="E1819" s="1124">
        <v>46150</v>
      </c>
      <c r="F1819" s="71">
        <f t="shared" ref="F1819" si="1109">$L$7-E1819</f>
        <v>126</v>
      </c>
      <c r="G1819" s="12">
        <v>0</v>
      </c>
      <c r="H1819" s="12"/>
      <c r="I1819" s="12"/>
      <c r="J1819" s="1368"/>
      <c r="K1819" s="64">
        <f>IFERROR(SUMIF(INTAKE!$A:$A,$T1819,INTAKE!$P:$P),0)</f>
        <v>0</v>
      </c>
      <c r="L1819" s="1703">
        <f t="shared" si="1105"/>
        <v>0</v>
      </c>
      <c r="M1819" s="23"/>
      <c r="N1819" s="23"/>
      <c r="O1819" s="23"/>
      <c r="P1819" s="736"/>
      <c r="Q1819" s="795"/>
      <c r="R1819" s="785">
        <f>IFERROR(VLOOKUP($Q1819,'391'!$S:$Z,8,0),"")</f>
        <v>0</v>
      </c>
      <c r="S1819" s="786"/>
      <c r="T1819" s="787" t="str">
        <f t="shared" si="1107"/>
        <v>Premix 67SV46150</v>
      </c>
      <c r="U1819" s="787"/>
      <c r="V1819" s="787"/>
      <c r="W1819" s="785">
        <f>IFERROR(VLOOKUP($Q1819,'391'!$S:$AG,15,0),0)</f>
        <v>0</v>
      </c>
      <c r="X1819" s="1090">
        <f t="shared" si="1097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10"/>
      <c r="B1820" s="390" t="s">
        <v>1545</v>
      </c>
      <c r="C1820" s="186"/>
      <c r="D1820" s="866" t="s">
        <v>10</v>
      </c>
      <c r="E1820" s="1124">
        <v>45695</v>
      </c>
      <c r="F1820" s="71">
        <f t="shared" si="1106"/>
        <v>581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3">
        <f t="shared" si="1105"/>
        <v>0</v>
      </c>
      <c r="M1820" s="23"/>
      <c r="N1820" s="23"/>
      <c r="O1820" s="23"/>
      <c r="P1820" s="736"/>
      <c r="Q1820" s="795"/>
      <c r="R1820" s="785">
        <f>IFERROR(VLOOKUP($Q1820,'391'!$S:$Z,8,0),"")</f>
        <v>0</v>
      </c>
      <c r="S1820" s="786"/>
      <c r="T1820" s="787" t="str">
        <f t="shared" si="1107"/>
        <v>Premix 67SV45695</v>
      </c>
      <c r="U1820" s="787"/>
      <c r="V1820" s="787"/>
      <c r="W1820" s="785">
        <f>IFERROR(VLOOKUP($Q1820,'391'!$S:$AG,15,0),0)</f>
        <v>0</v>
      </c>
      <c r="X1820" s="1090">
        <f t="shared" si="1097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406" customFormat="1" ht="30" customHeight="1" x14ac:dyDescent="0.25">
      <c r="A1821" s="2010"/>
      <c r="B1821" s="1016" t="s">
        <v>1996</v>
      </c>
      <c r="C1821" s="144" t="s">
        <v>46</v>
      </c>
      <c r="D1821" s="884" t="s">
        <v>10</v>
      </c>
      <c r="E1821" s="1125">
        <v>46270</v>
      </c>
      <c r="F1821" s="71">
        <f t="shared" si="1106"/>
        <v>6</v>
      </c>
      <c r="G1821" s="207">
        <v>1034.18</v>
      </c>
      <c r="H1821" s="1308"/>
      <c r="I1821" s="1308">
        <f>+SUM(K1814:K1820)</f>
        <v>0</v>
      </c>
      <c r="J1821" s="1417">
        <f>+usage!I243</f>
        <v>49.92</v>
      </c>
      <c r="K1821" s="64">
        <f>IFERROR(SUMIF(INTAKE!$A:$A,$T1821,INTAKE!$P:$P),0)</f>
        <v>0</v>
      </c>
      <c r="L1821" s="1534">
        <f>+G1821+H1821+I1821-J1821-K1821</f>
        <v>984.2600000000001</v>
      </c>
      <c r="M1821" s="35"/>
      <c r="N1821" s="35"/>
      <c r="O1821" s="35"/>
      <c r="P1821" s="740"/>
      <c r="Q1821" s="795"/>
      <c r="R1821" s="785">
        <f>IFERROR(VLOOKUP($Q1821,'391'!$S:$Z,8,0),"")</f>
        <v>0</v>
      </c>
      <c r="S1821" s="786"/>
      <c r="T1821" s="787" t="str">
        <f t="shared" si="1107"/>
        <v>Premix 67SVFeedmill46270</v>
      </c>
      <c r="U1821" s="787"/>
      <c r="V1821" s="787"/>
      <c r="W1821" s="785">
        <f>IFERROR(VLOOKUP($Q1821,'391'!$S:$AG,15,0),0)</f>
        <v>0</v>
      </c>
      <c r="X1821" s="1090">
        <f t="shared" si="1097"/>
        <v>1034.18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420" customFormat="1" ht="30" customHeight="1" x14ac:dyDescent="0.25">
      <c r="A1822" s="2011" t="s">
        <v>29</v>
      </c>
      <c r="B1822" s="2012"/>
      <c r="C1822" s="125"/>
      <c r="D1822" s="1027"/>
      <c r="E1822" s="1131"/>
      <c r="F1822" s="896"/>
      <c r="G1822" s="1422">
        <v>2684.1800000000003</v>
      </c>
      <c r="H1822" s="1422">
        <f t="shared" ref="H1822:L1822" si="1110">SUM(H1814:H1821)</f>
        <v>0</v>
      </c>
      <c r="I1822" s="1422">
        <f t="shared" si="1110"/>
        <v>0</v>
      </c>
      <c r="J1822" s="1422">
        <f t="shared" si="1110"/>
        <v>49.92</v>
      </c>
      <c r="K1822" s="1422">
        <f>SUM(K1814:K1821)</f>
        <v>0</v>
      </c>
      <c r="L1822" s="1422">
        <f t="shared" si="1110"/>
        <v>2634.26</v>
      </c>
      <c r="M1822" s="889">
        <f>IFERROR(R1822/$S$2,"")</f>
        <v>131.10666666666668</v>
      </c>
      <c r="N1822" s="366">
        <f>(L1822/M1822)</f>
        <v>20.09249466083596</v>
      </c>
      <c r="O1822" s="889">
        <f>IFERROR(SUMIF(ETM!$A:$A,$Q1822,ETM!$E:$E),"")</f>
        <v>106.33333333333333</v>
      </c>
      <c r="P1822" s="880">
        <f>IFERROR(L1822/O1822,0)</f>
        <v>24.773605015673983</v>
      </c>
      <c r="Q1822" s="814" t="s">
        <v>650</v>
      </c>
      <c r="R1822" s="785">
        <f>IFERROR(VLOOKUP($Q1822,'391'!$S:$Z,8,0),"")</f>
        <v>589.98</v>
      </c>
      <c r="S1822" s="786"/>
      <c r="T1822" s="787"/>
      <c r="U1822" s="787"/>
      <c r="V1822" s="787"/>
      <c r="W1822" s="785">
        <f>IFERROR(VLOOKUP($Q1822,'391'!$S:$AG,15,0),0)</f>
        <v>2599.64</v>
      </c>
      <c r="X1822" s="1090">
        <f t="shared" si="1097"/>
        <v>84.540000000000418</v>
      </c>
      <c r="Y1822" s="787"/>
      <c r="Z1822" s="791"/>
      <c r="AA1822" s="787"/>
      <c r="AB1822" s="787"/>
      <c r="AC1822" s="550"/>
      <c r="AD1822" s="550"/>
      <c r="AE1822" s="550"/>
      <c r="AF1822" s="550"/>
      <c r="AG1822" s="550"/>
      <c r="AH1822" s="550"/>
      <c r="AI1822" s="559"/>
      <c r="AJ1822" s="559"/>
      <c r="AK1822" s="559"/>
      <c r="AL1822" s="559"/>
      <c r="AM1822" s="559"/>
      <c r="AN1822" s="559"/>
      <c r="AO1822" s="559"/>
      <c r="AP1822" s="559"/>
      <c r="AQ1822" s="559"/>
      <c r="AR1822" s="559"/>
      <c r="AS1822" s="559"/>
    </row>
    <row r="1823" spans="1:45" s="6" customFormat="1" ht="30" hidden="1" customHeight="1" x14ac:dyDescent="0.25">
      <c r="A1823" s="2018" t="str">
        <f>IF(L1831=0,"",MAX($A$16:A1822)+1)</f>
        <v/>
      </c>
      <c r="B1823" s="2016" t="s">
        <v>166</v>
      </c>
      <c r="C1823" s="246" t="s">
        <v>232</v>
      </c>
      <c r="D1823" s="1111" t="s">
        <v>10</v>
      </c>
      <c r="E1823" s="1124">
        <v>43826</v>
      </c>
      <c r="F1823" s="71">
        <f t="shared" ref="F1823:F1830" si="1111">$L$7-E1823</f>
        <v>2450</v>
      </c>
      <c r="G1823" s="12">
        <v>0</v>
      </c>
      <c r="H1823" s="12"/>
      <c r="I1823" s="12"/>
      <c r="J1823" s="1368"/>
      <c r="K1823" s="12"/>
      <c r="L1823" s="1534">
        <f t="shared" ref="L1823:L1838" si="1112">+G1823+H1823+I1823-J1823-K1823</f>
        <v>0</v>
      </c>
      <c r="M1823" s="147"/>
      <c r="N1823" s="248"/>
      <c r="O1823" s="147"/>
      <c r="P1823" s="857"/>
      <c r="Q1823" s="795"/>
      <c r="R1823" s="785">
        <f>IFERROR(VLOOKUP($Q1823,'391'!$S:$Z,8,0),"")</f>
        <v>0</v>
      </c>
      <c r="S1823" s="786"/>
      <c r="T1823" s="787"/>
      <c r="U1823" s="787"/>
      <c r="V1823" s="787"/>
      <c r="W1823" s="785">
        <f>IFERROR(VLOOKUP($Q1823,'391'!$S:$AG,15,0),0)</f>
        <v>0</v>
      </c>
      <c r="X1823" s="1090">
        <f t="shared" si="1097"/>
        <v>0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6" customFormat="1" ht="30" hidden="1" customHeight="1" x14ac:dyDescent="0.25">
      <c r="A1824" s="2010"/>
      <c r="B1824" s="2017"/>
      <c r="C1824" s="246" t="s">
        <v>232</v>
      </c>
      <c r="D1824" s="866" t="s">
        <v>10</v>
      </c>
      <c r="E1824" s="1124">
        <v>43827</v>
      </c>
      <c r="F1824" s="71">
        <f t="shared" si="1111"/>
        <v>2449</v>
      </c>
      <c r="G1824" s="12">
        <v>0</v>
      </c>
      <c r="H1824" s="12"/>
      <c r="I1824" s="12"/>
      <c r="J1824" s="1368"/>
      <c r="K1824" s="12"/>
      <c r="L1824" s="1534">
        <f t="shared" si="1112"/>
        <v>0</v>
      </c>
      <c r="M1824" s="101"/>
      <c r="N1824" s="249"/>
      <c r="O1824" s="101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097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10"/>
      <c r="B1825" s="2017"/>
      <c r="C1825" s="246" t="s">
        <v>232</v>
      </c>
      <c r="D1825" s="866" t="s">
        <v>10</v>
      </c>
      <c r="E1825" s="1124">
        <v>43828</v>
      </c>
      <c r="F1825" s="71">
        <f t="shared" si="1111"/>
        <v>2448</v>
      </c>
      <c r="G1825" s="12">
        <v>0</v>
      </c>
      <c r="H1825" s="12"/>
      <c r="I1825" s="12"/>
      <c r="J1825" s="1368"/>
      <c r="K1825" s="12"/>
      <c r="L1825" s="1534">
        <f t="shared" si="1112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97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10"/>
      <c r="B1826" s="2017"/>
      <c r="C1826" s="246" t="s">
        <v>253</v>
      </c>
      <c r="D1826" s="866" t="s">
        <v>10</v>
      </c>
      <c r="E1826" s="1124">
        <v>43829</v>
      </c>
      <c r="F1826" s="71">
        <f t="shared" si="1111"/>
        <v>2447</v>
      </c>
      <c r="G1826" s="12">
        <v>0</v>
      </c>
      <c r="H1826" s="12"/>
      <c r="I1826" s="12"/>
      <c r="J1826" s="1369"/>
      <c r="K1826" s="56"/>
      <c r="L1826" s="1534">
        <f t="shared" si="1112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097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10"/>
      <c r="B1827" s="2017"/>
      <c r="C1827" s="246" t="s">
        <v>232</v>
      </c>
      <c r="D1827" s="866" t="s">
        <v>10</v>
      </c>
      <c r="E1827" s="1124">
        <v>43830</v>
      </c>
      <c r="F1827" s="71">
        <f t="shared" si="1111"/>
        <v>2446</v>
      </c>
      <c r="G1827" s="12">
        <v>0</v>
      </c>
      <c r="H1827" s="12"/>
      <c r="I1827" s="12"/>
      <c r="J1827" s="1368"/>
      <c r="K1827" s="12"/>
      <c r="L1827" s="1534">
        <f t="shared" si="1112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097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10"/>
      <c r="B1828" s="2017"/>
      <c r="C1828" s="246" t="s">
        <v>232</v>
      </c>
      <c r="D1828" s="866" t="s">
        <v>10</v>
      </c>
      <c r="E1828" s="1124">
        <v>43831</v>
      </c>
      <c r="F1828" s="71">
        <f t="shared" si="1111"/>
        <v>2445</v>
      </c>
      <c r="G1828" s="12">
        <v>0</v>
      </c>
      <c r="H1828" s="12"/>
      <c r="I1828" s="12"/>
      <c r="J1828" s="1368"/>
      <c r="K1828" s="12"/>
      <c r="L1828" s="1534">
        <f t="shared" si="1112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097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10"/>
      <c r="B1829" s="2017"/>
      <c r="C1829" s="123" t="s">
        <v>46</v>
      </c>
      <c r="D1829" s="866" t="s">
        <v>10</v>
      </c>
      <c r="E1829" s="1124">
        <v>43832</v>
      </c>
      <c r="F1829" s="71">
        <f t="shared" si="1111"/>
        <v>2444</v>
      </c>
      <c r="G1829" s="56">
        <v>0</v>
      </c>
      <c r="H1829" s="56"/>
      <c r="I1829" s="56"/>
      <c r="J1829" s="1369"/>
      <c r="K1829" s="56"/>
      <c r="L1829" s="1534">
        <f t="shared" si="1112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097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406" customFormat="1" ht="30" hidden="1" customHeight="1" x14ac:dyDescent="0.25">
      <c r="A1830" s="2010"/>
      <c r="B1830" s="2017"/>
      <c r="C1830" s="123" t="s">
        <v>46</v>
      </c>
      <c r="D1830" s="1112" t="s">
        <v>10</v>
      </c>
      <c r="E1830" s="1124">
        <v>43833</v>
      </c>
      <c r="F1830" s="71">
        <f t="shared" si="1111"/>
        <v>2443</v>
      </c>
      <c r="G1830" s="37">
        <v>0</v>
      </c>
      <c r="H1830" s="37"/>
      <c r="I1830" s="37"/>
      <c r="J1830" s="1385"/>
      <c r="K1830" s="37"/>
      <c r="L1830" s="1534">
        <f t="shared" si="1112"/>
        <v>0</v>
      </c>
      <c r="M1830" s="40"/>
      <c r="N1830" s="84"/>
      <c r="O1830" s="40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097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420" customFormat="1" ht="30" hidden="1" customHeight="1" x14ac:dyDescent="0.25">
      <c r="A1831" s="2011" t="s">
        <v>167</v>
      </c>
      <c r="B1831" s="2012"/>
      <c r="C1831" s="125"/>
      <c r="D1831" s="1027"/>
      <c r="E1831" s="1131"/>
      <c r="F1831" s="896"/>
      <c r="G1831" s="1422">
        <v>0</v>
      </c>
      <c r="H1831" s="1422">
        <f>SUM(H1823:H1830)</f>
        <v>0</v>
      </c>
      <c r="I1831" s="1422">
        <f>SUM(I1823:I1830)</f>
        <v>0</v>
      </c>
      <c r="J1831" s="1422">
        <f>SUM(J1823:J1830)</f>
        <v>0</v>
      </c>
      <c r="K1831" s="1422"/>
      <c r="L1831" s="1534">
        <f t="shared" si="1112"/>
        <v>0</v>
      </c>
      <c r="M1831" s="889"/>
      <c r="N1831" s="366" t="e">
        <f>(L1831/M1831)/1000</f>
        <v>#DIV/0!</v>
      </c>
      <c r="O1831" s="889"/>
      <c r="P1831" s="857" t="e">
        <f>(L1831/O1831)/1000</f>
        <v>#DIV/0!</v>
      </c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097"/>
        <v>0</v>
      </c>
      <c r="Y1831" s="787"/>
      <c r="Z1831" s="791"/>
      <c r="AA1831" s="787"/>
      <c r="AB1831" s="787"/>
      <c r="AC1831" s="550"/>
      <c r="AD1831" s="550"/>
      <c r="AE1831" s="550"/>
      <c r="AF1831" s="550"/>
      <c r="AG1831" s="550"/>
      <c r="AH1831" s="550"/>
      <c r="AI1831" s="559"/>
      <c r="AJ1831" s="559"/>
      <c r="AK1831" s="559"/>
      <c r="AL1831" s="559"/>
      <c r="AM1831" s="559"/>
      <c r="AN1831" s="559"/>
      <c r="AO1831" s="559"/>
      <c r="AP1831" s="559"/>
      <c r="AQ1831" s="559"/>
      <c r="AR1831" s="559"/>
      <c r="AS1831" s="559"/>
    </row>
    <row r="1832" spans="1:45" s="6" customFormat="1" ht="30" customHeight="1" x14ac:dyDescent="0.25">
      <c r="A1832" s="2009">
        <f>IF(L1839=0,"",MAX($A$16:A1831)+1)</f>
        <v>128</v>
      </c>
      <c r="B1832" s="507" t="s">
        <v>984</v>
      </c>
      <c r="C1832" s="1760" t="s">
        <v>1835</v>
      </c>
      <c r="D1832" s="866" t="s">
        <v>10</v>
      </c>
      <c r="E1832" s="1124">
        <v>46262</v>
      </c>
      <c r="F1832" s="71">
        <f t="shared" ref="F1832" si="1113">$L$7-E1832</f>
        <v>14</v>
      </c>
      <c r="G1832" s="12">
        <v>150</v>
      </c>
      <c r="H1832" s="12"/>
      <c r="I1832" s="12"/>
      <c r="J1832" s="1388"/>
      <c r="K1832" s="64">
        <f>IFERROR(SUMIF(INTAKE!$A:$A,$T1832,INTAKE!$P:$P),0)</f>
        <v>60</v>
      </c>
      <c r="L1832" s="1703">
        <f t="shared" si="1112"/>
        <v>90</v>
      </c>
      <c r="M1832" s="147"/>
      <c r="N1832" s="248"/>
      <c r="O1832" s="147"/>
      <c r="P1832" s="748"/>
      <c r="Q1832" s="795"/>
      <c r="R1832" s="785">
        <f>IFERROR(VLOOKUP($Q1832,'391'!$S:$Z,8,0),"")</f>
        <v>0</v>
      </c>
      <c r="S1832" s="786"/>
      <c r="T1832" s="787" t="str">
        <f t="shared" ref="T1832:T1838" si="1114">$Q$1839&amp;C1832&amp;E1832</f>
        <v>Premix 572SX8.246262</v>
      </c>
      <c r="U1832" s="787"/>
      <c r="V1832" s="787"/>
      <c r="W1832" s="785">
        <f>IFERROR(VLOOKUP($Q1832,'391'!$S:$AG,15,0),0)</f>
        <v>0</v>
      </c>
      <c r="X1832" s="1090">
        <f t="shared" si="1097"/>
        <v>150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6" customFormat="1" ht="30" customHeight="1" x14ac:dyDescent="0.25">
      <c r="A1833" s="2010"/>
      <c r="B1833" s="507" t="s">
        <v>2232</v>
      </c>
      <c r="C1833" s="1760" t="s">
        <v>1835</v>
      </c>
      <c r="D1833" s="866" t="s">
        <v>10</v>
      </c>
      <c r="E1833" s="1124">
        <v>46275</v>
      </c>
      <c r="F1833" s="71">
        <f t="shared" ref="F1833" si="1115">$L$7-E1833</f>
        <v>1</v>
      </c>
      <c r="G1833" s="12">
        <v>240</v>
      </c>
      <c r="H1833" s="12"/>
      <c r="I1833" s="12"/>
      <c r="J1833" s="1388"/>
      <c r="K1833" s="64">
        <f>IFERROR(SUMIF(INTAKE!$A:$A,$T1833,INTAKE!$P:$P),0)</f>
        <v>0</v>
      </c>
      <c r="L1833" s="1703">
        <f t="shared" si="1112"/>
        <v>240</v>
      </c>
      <c r="M1833" s="101"/>
      <c r="N1833" s="249"/>
      <c r="O1833" s="101"/>
      <c r="P1833" s="750"/>
      <c r="Q1833" s="795"/>
      <c r="R1833" s="785">
        <f>IFERROR(VLOOKUP($Q1833,'391'!$S:$Z,8,0),"")</f>
        <v>0</v>
      </c>
      <c r="S1833" s="786"/>
      <c r="T1833" s="787" t="str">
        <f t="shared" si="1114"/>
        <v>Premix 572SX8.246275</v>
      </c>
      <c r="U1833" s="787"/>
      <c r="V1833" s="787"/>
      <c r="W1833" s="785">
        <f>IFERROR(VLOOKUP($Q1833,'391'!$S:$AG,15,0),0)</f>
        <v>0</v>
      </c>
      <c r="X1833" s="1090">
        <f t="shared" si="1097"/>
        <v>240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6" customFormat="1" ht="30" hidden="1" customHeight="1" x14ac:dyDescent="0.25">
      <c r="A1834" s="2010"/>
      <c r="B1834" s="507" t="s">
        <v>984</v>
      </c>
      <c r="C1834" s="1760"/>
      <c r="D1834" s="866" t="s">
        <v>10</v>
      </c>
      <c r="E1834" s="1124">
        <v>46262</v>
      </c>
      <c r="F1834" s="71">
        <f t="shared" ref="F1834" si="1116">$L$7-E1834</f>
        <v>14</v>
      </c>
      <c r="G1834" s="12">
        <v>0</v>
      </c>
      <c r="H1834" s="12"/>
      <c r="I1834" s="12"/>
      <c r="J1834" s="1388"/>
      <c r="K1834" s="64">
        <f>IFERROR(SUMIF(INTAKE!$A:$A,$T1834,INTAKE!$P:$P),0)</f>
        <v>0</v>
      </c>
      <c r="L1834" s="1703">
        <f t="shared" si="1112"/>
        <v>0</v>
      </c>
      <c r="M1834" s="101"/>
      <c r="N1834" s="249"/>
      <c r="O1834" s="101"/>
      <c r="P1834" s="750"/>
      <c r="Q1834" s="795"/>
      <c r="R1834" s="785">
        <f>IFERROR(VLOOKUP($Q1834,'391'!$S:$Z,8,0),"")</f>
        <v>0</v>
      </c>
      <c r="S1834" s="786"/>
      <c r="T1834" s="787" t="str">
        <f t="shared" si="1114"/>
        <v>Premix 572S46262</v>
      </c>
      <c r="U1834" s="787"/>
      <c r="V1834" s="787"/>
      <c r="W1834" s="785">
        <f>IFERROR(VLOOKUP($Q1834,'391'!$S:$AG,15,0),0)</f>
        <v>0</v>
      </c>
      <c r="X1834" s="1090">
        <f t="shared" si="1097"/>
        <v>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hidden="1" customHeight="1" x14ac:dyDescent="0.25">
      <c r="A1835" s="2010"/>
      <c r="B1835" s="507" t="s">
        <v>1784</v>
      </c>
      <c r="C1835" s="1760"/>
      <c r="D1835" s="866" t="s">
        <v>10</v>
      </c>
      <c r="E1835" s="1124">
        <v>46101</v>
      </c>
      <c r="F1835" s="71">
        <f t="shared" ref="F1835:F1838" si="1117">$L$7-E1835</f>
        <v>175</v>
      </c>
      <c r="G1835" s="12">
        <v>0</v>
      </c>
      <c r="H1835" s="12"/>
      <c r="I1835" s="12"/>
      <c r="J1835" s="1388"/>
      <c r="K1835" s="64">
        <f>IFERROR(SUMIF(INTAKE!$A:$A,$T1835,INTAKE!$P:$P),0)</f>
        <v>0</v>
      </c>
      <c r="L1835" s="1703">
        <f t="shared" si="1112"/>
        <v>0</v>
      </c>
      <c r="M1835" s="23"/>
      <c r="N1835" s="249"/>
      <c r="O1835" s="1451"/>
      <c r="P1835" s="1480"/>
      <c r="Q1835" s="795"/>
      <c r="R1835" s="785">
        <f>IFERROR(VLOOKUP($Q1835,'391'!$S:$Z,8,0),"")</f>
        <v>0</v>
      </c>
      <c r="S1835" s="786"/>
      <c r="T1835" s="787" t="str">
        <f t="shared" si="1114"/>
        <v>Premix 572S46101</v>
      </c>
      <c r="U1835" s="787"/>
      <c r="V1835" s="787"/>
      <c r="W1835" s="785">
        <f>IFERROR(VLOOKUP($Q1835,'391'!$S:$AG,15,0),0)</f>
        <v>0</v>
      </c>
      <c r="X1835" s="1090">
        <f t="shared" si="1097"/>
        <v>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10"/>
      <c r="B1836" s="507" t="s">
        <v>984</v>
      </c>
      <c r="C1836" s="246"/>
      <c r="D1836" s="866" t="s">
        <v>10</v>
      </c>
      <c r="E1836" s="1124">
        <v>44440</v>
      </c>
      <c r="F1836" s="71">
        <f t="shared" si="1117"/>
        <v>1836</v>
      </c>
      <c r="G1836" s="12">
        <v>0</v>
      </c>
      <c r="H1836" s="12"/>
      <c r="I1836" s="12"/>
      <c r="J1836" s="1368"/>
      <c r="K1836" s="64">
        <f>IFERROR(SUMIF(INTAKE!$A:$A,$T1836,INTAKE!$P:$P),0)</f>
        <v>0</v>
      </c>
      <c r="L1836" s="1534">
        <f t="shared" si="1112"/>
        <v>0</v>
      </c>
      <c r="M1836" s="23"/>
      <c r="N1836" s="1460"/>
      <c r="O1836" s="1453"/>
      <c r="P1836" s="1480"/>
      <c r="Q1836" s="795"/>
      <c r="R1836" s="785">
        <f>IFERROR(VLOOKUP($Q1836,'391'!$S:$Z,8,0),"")</f>
        <v>0</v>
      </c>
      <c r="S1836" s="786"/>
      <c r="T1836" s="787" t="str">
        <f t="shared" si="1114"/>
        <v>Premix 572S44440</v>
      </c>
      <c r="U1836" s="787"/>
      <c r="V1836" s="787"/>
      <c r="W1836" s="785">
        <f>IFERROR(VLOOKUP($Q1836,'391'!$S:$AG,15,0),0)</f>
        <v>0</v>
      </c>
      <c r="X1836" s="1090">
        <f t="shared" si="1097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10"/>
      <c r="B1837" s="507" t="s">
        <v>623</v>
      </c>
      <c r="C1837" s="246"/>
      <c r="D1837" s="866" t="s">
        <v>10</v>
      </c>
      <c r="E1837" s="1124">
        <v>44232</v>
      </c>
      <c r="F1837" s="71">
        <f t="shared" si="1117"/>
        <v>2044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534">
        <f t="shared" si="1112"/>
        <v>0</v>
      </c>
      <c r="M1837" s="23"/>
      <c r="N1837" s="1466"/>
      <c r="O1837" s="1456"/>
      <c r="P1837" s="1478"/>
      <c r="Q1837" s="795"/>
      <c r="R1837" s="785">
        <f>IFERROR(VLOOKUP($Q1837,'391'!$S:$Z,8,0),"")</f>
        <v>0</v>
      </c>
      <c r="S1837" s="786"/>
      <c r="T1837" s="787" t="str">
        <f t="shared" si="1114"/>
        <v>Premix 572S44232</v>
      </c>
      <c r="U1837" s="787"/>
      <c r="V1837" s="787"/>
      <c r="W1837" s="785">
        <f>IFERROR(VLOOKUP($Q1837,'391'!$S:$AG,15,0),0)</f>
        <v>0</v>
      </c>
      <c r="X1837" s="1090">
        <f t="shared" si="1097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406" customFormat="1" ht="30" customHeight="1" x14ac:dyDescent="0.25">
      <c r="A1838" s="2019"/>
      <c r="B1838" s="1022" t="s">
        <v>984</v>
      </c>
      <c r="C1838" s="148" t="s">
        <v>46</v>
      </c>
      <c r="D1838" s="884" t="s">
        <v>10</v>
      </c>
      <c r="E1838" s="1123">
        <v>46262</v>
      </c>
      <c r="F1838" s="71">
        <f t="shared" si="1117"/>
        <v>14</v>
      </c>
      <c r="G1838" s="56">
        <v>29.370000000000005</v>
      </c>
      <c r="H1838" s="56"/>
      <c r="I1838" s="56">
        <f>+SUM(K1832:K1837)</f>
        <v>60</v>
      </c>
      <c r="J1838" s="1369">
        <f>+usage!I246</f>
        <v>8.3699999999999992</v>
      </c>
      <c r="K1838" s="64">
        <f>IFERROR(SUMIF(INTAKE!$A:$A,$T1838,INTAKE!$P:$P),0)</f>
        <v>0</v>
      </c>
      <c r="L1838" s="1534">
        <f t="shared" si="1112"/>
        <v>81</v>
      </c>
      <c r="M1838" s="40"/>
      <c r="N1838" s="87"/>
      <c r="O1838" s="35"/>
      <c r="P1838" s="751"/>
      <c r="Q1838" s="795"/>
      <c r="R1838" s="785">
        <f>IFERROR(VLOOKUP($Q1838,'391'!$S:$Z,8,0),"")</f>
        <v>0</v>
      </c>
      <c r="S1838" s="786"/>
      <c r="T1838" s="787" t="str">
        <f t="shared" si="1114"/>
        <v>Premix 572SFeedmill46262</v>
      </c>
      <c r="U1838" s="787"/>
      <c r="V1838" s="787"/>
      <c r="W1838" s="785">
        <f>IFERROR(VLOOKUP($Q1838,'391'!$S:$AG,15,0),0)</f>
        <v>0</v>
      </c>
      <c r="X1838" s="1090">
        <f t="shared" si="1097"/>
        <v>29.370000000000005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420" customFormat="1" ht="30" customHeight="1" x14ac:dyDescent="0.25">
      <c r="A1839" s="2011" t="s">
        <v>48</v>
      </c>
      <c r="B1839" s="2012"/>
      <c r="C1839" s="1038"/>
      <c r="D1839" s="1034"/>
      <c r="E1839" s="1127"/>
      <c r="F1839" s="1034"/>
      <c r="G1839" s="1422">
        <v>419.37</v>
      </c>
      <c r="H1839" s="1422">
        <f t="shared" ref="H1839:L1839" si="1118">+SUM(H1832:H1838)</f>
        <v>0</v>
      </c>
      <c r="I1839" s="1422">
        <f t="shared" si="1118"/>
        <v>60</v>
      </c>
      <c r="J1839" s="1422">
        <f t="shared" si="1118"/>
        <v>8.3699999999999992</v>
      </c>
      <c r="K1839" s="1422">
        <f t="shared" si="1118"/>
        <v>60</v>
      </c>
      <c r="L1839" s="1422">
        <f t="shared" si="1118"/>
        <v>411</v>
      </c>
      <c r="M1839" s="889">
        <f>IFERROR(R1839/$S$2,"")</f>
        <v>14.844444444444443</v>
      </c>
      <c r="N1839" s="854">
        <f>IFERROR(L1839/M1839,0)</f>
        <v>27.687125748502996</v>
      </c>
      <c r="O1839" s="889">
        <f>IFERROR(SUMIF(ETM!$A:$A,$Q1839,ETM!$E:$E),"")</f>
        <v>19.666666666666664</v>
      </c>
      <c r="P1839" s="880">
        <f>IFERROR(L1839/O1839,0)</f>
        <v>20.898305084745765</v>
      </c>
      <c r="Q1839" s="814" t="s">
        <v>636</v>
      </c>
      <c r="R1839" s="785">
        <f>IFERROR(VLOOKUP($Q1839,'391'!$S:$Z,8,0),"")</f>
        <v>66.8</v>
      </c>
      <c r="S1839" s="786"/>
      <c r="T1839" s="787"/>
      <c r="U1839" s="787"/>
      <c r="V1839" s="787"/>
      <c r="W1839" s="821">
        <f>IFERROR(VLOOKUP($Q1839,'391'!$S:$AG,15,0),0)</f>
        <v>221.09</v>
      </c>
      <c r="X1839" s="1090">
        <f t="shared" si="1097"/>
        <v>198.28</v>
      </c>
      <c r="Y1839" s="787"/>
      <c r="Z1839" s="791"/>
      <c r="AA1839" s="787"/>
      <c r="AB1839" s="787"/>
      <c r="AC1839" s="550"/>
      <c r="AD1839" s="550"/>
      <c r="AE1839" s="550"/>
      <c r="AF1839" s="550"/>
      <c r="AG1839" s="550"/>
      <c r="AH1839" s="550"/>
      <c r="AI1839" s="559"/>
      <c r="AJ1839" s="559"/>
      <c r="AK1839" s="559"/>
      <c r="AL1839" s="559"/>
      <c r="AM1839" s="559"/>
      <c r="AN1839" s="559"/>
      <c r="AO1839" s="559"/>
      <c r="AP1839" s="559"/>
      <c r="AQ1839" s="559"/>
      <c r="AR1839" s="559"/>
      <c r="AS1839" s="559"/>
    </row>
    <row r="1840" spans="1:45" s="420" customFormat="1" ht="30" customHeight="1" x14ac:dyDescent="0.25">
      <c r="A1840" s="2013">
        <f>IF(L1844=0,"",MAX($A$16:A1839)+1)</f>
        <v>129</v>
      </c>
      <c r="B1840" s="507" t="s">
        <v>2231</v>
      </c>
      <c r="C1840" s="246" t="s">
        <v>2230</v>
      </c>
      <c r="D1840" s="866" t="s">
        <v>10</v>
      </c>
      <c r="E1840" s="1124">
        <v>46275</v>
      </c>
      <c r="F1840" s="71">
        <f>$L$7-E1840</f>
        <v>1</v>
      </c>
      <c r="G1840" s="12">
        <v>30</v>
      </c>
      <c r="H1840" s="12"/>
      <c r="I1840" s="12"/>
      <c r="J1840" s="1368"/>
      <c r="K1840" s="64">
        <f>IFERROR(SUMIF(INTAKE!$A:$A,$T1840,INTAKE!$P:$P),0)</f>
        <v>0</v>
      </c>
      <c r="L1840" s="1703">
        <f>+G1840+H1840+I1840-J1840-K1840</f>
        <v>30</v>
      </c>
      <c r="M1840" s="23"/>
      <c r="N1840" s="130"/>
      <c r="O1840" s="130"/>
      <c r="P1840" s="760"/>
      <c r="Q1840" s="795"/>
      <c r="R1840" s="785">
        <f>IFERROR(VLOOKUP($Q1840,'391'!$S:$Z,8,0),"")</f>
        <v>0</v>
      </c>
      <c r="S1840" s="786"/>
      <c r="T1840" s="787" t="str">
        <f>$Q$1844&amp;C1840&amp;E1840</f>
        <v>Premix 572GY1.246275</v>
      </c>
      <c r="U1840" s="787"/>
      <c r="V1840" s="787"/>
      <c r="W1840" s="785">
        <f>IFERROR(VLOOKUP($Q1840,'391'!$S:$AG,15,0),0)</f>
        <v>0</v>
      </c>
      <c r="X1840" s="1090">
        <f t="shared" si="1097"/>
        <v>30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hidden="1" customHeight="1" x14ac:dyDescent="0.25">
      <c r="A1841" s="2014"/>
      <c r="B1841" s="507" t="s">
        <v>1892</v>
      </c>
      <c r="C1841" s="246"/>
      <c r="D1841" s="866" t="s">
        <v>10</v>
      </c>
      <c r="E1841" s="1124">
        <v>46233</v>
      </c>
      <c r="F1841" s="71">
        <f>$L$7-E1841</f>
        <v>43</v>
      </c>
      <c r="G1841" s="12">
        <v>0</v>
      </c>
      <c r="H1841" s="12"/>
      <c r="I1841" s="12"/>
      <c r="J1841" s="1368"/>
      <c r="K1841" s="64">
        <f>IFERROR(SUMIF(INTAKE!$A:$A,$T1841,INTAKE!$P:$P),0)</f>
        <v>0</v>
      </c>
      <c r="L1841" s="1703">
        <f>+G1841+H1841+I1841-J1841-K1841</f>
        <v>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$Q$1844&amp;C1841&amp;E1841</f>
        <v>Premix 572G46233</v>
      </c>
      <c r="U1841" s="787"/>
      <c r="V1841" s="787"/>
      <c r="W1841" s="785">
        <f>IFERROR(VLOOKUP($Q1841,'391'!$S:$AG,15,0),0)</f>
        <v>0</v>
      </c>
      <c r="X1841" s="1090">
        <f t="shared" si="1097"/>
        <v>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14"/>
      <c r="B1842" s="507" t="s">
        <v>1828</v>
      </c>
      <c r="C1842" s="246"/>
      <c r="D1842" s="866" t="s">
        <v>10</v>
      </c>
      <c r="E1842" s="1124">
        <v>46164</v>
      </c>
      <c r="F1842" s="71">
        <f>$L$7-E1842</f>
        <v>112</v>
      </c>
      <c r="G1842" s="12">
        <v>0</v>
      </c>
      <c r="H1842" s="12"/>
      <c r="I1842" s="12"/>
      <c r="J1842" s="1368"/>
      <c r="K1842" s="64">
        <f>IFERROR(SUMIF(INTAKE!$A:$A,$T1842,INTAKE!$P:$P),0)</f>
        <v>0</v>
      </c>
      <c r="L1842" s="1703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$Q$1844&amp;C1842&amp;E1842</f>
        <v>Premix 572G46164</v>
      </c>
      <c r="U1842" s="787"/>
      <c r="V1842" s="787"/>
      <c r="W1842" s="785">
        <f>IFERROR(VLOOKUP($Q1842,'391'!$S:$AG,15,0),0)</f>
        <v>0</v>
      </c>
      <c r="X1842" s="1090">
        <f t="shared" si="1097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customHeight="1" x14ac:dyDescent="0.25">
      <c r="A1843" s="2015"/>
      <c r="B1843" s="1022" t="s">
        <v>1892</v>
      </c>
      <c r="C1843" s="148" t="s">
        <v>46</v>
      </c>
      <c r="D1843" s="884" t="s">
        <v>10</v>
      </c>
      <c r="E1843" s="1123">
        <v>46233</v>
      </c>
      <c r="F1843" s="71">
        <f>$L$7-E1843</f>
        <v>43</v>
      </c>
      <c r="G1843" s="56">
        <v>43.3</v>
      </c>
      <c r="H1843" s="56"/>
      <c r="I1843" s="56">
        <f>+SUM(K1840:K1842)</f>
        <v>0</v>
      </c>
      <c r="J1843" s="1369">
        <f>+usage!I248</f>
        <v>0</v>
      </c>
      <c r="K1843" s="64">
        <f>IFERROR(SUMIF(INTAKE!$A:$A,$T1843,INTAKE!$P:$P),0)</f>
        <v>0</v>
      </c>
      <c r="L1843" s="1534">
        <f>+G1843+H1843+I1843-J1843-K1843</f>
        <v>43.3</v>
      </c>
      <c r="M1843" s="40"/>
      <c r="N1843" s="84"/>
      <c r="O1843" s="40"/>
      <c r="P1843" s="756"/>
      <c r="Q1843" s="795"/>
      <c r="R1843" s="785">
        <f>IFERROR(VLOOKUP($Q1843,'391'!$S:$Z,8,0),"")</f>
        <v>0</v>
      </c>
      <c r="S1843" s="786"/>
      <c r="T1843" s="787" t="str">
        <f>$Q$1844&amp;C1843&amp;E1843</f>
        <v>Premix 572GFeedmill46233</v>
      </c>
      <c r="U1843" s="787"/>
      <c r="V1843" s="787"/>
      <c r="W1843" s="785">
        <f>IFERROR(VLOOKUP($Q1843,'391'!$S:$AG,15,0),0)</f>
        <v>0</v>
      </c>
      <c r="X1843" s="1090">
        <f t="shared" si="1097"/>
        <v>43.3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customHeight="1" x14ac:dyDescent="0.25">
      <c r="A1844" s="2011" t="s">
        <v>354</v>
      </c>
      <c r="B1844" s="2012"/>
      <c r="C1844" s="1038"/>
      <c r="D1844" s="1034"/>
      <c r="E1844" s="1127"/>
      <c r="F1844" s="1034"/>
      <c r="G1844" s="1422">
        <v>73.3</v>
      </c>
      <c r="H1844" s="1422">
        <f>+SUM(H1840:H1843)</f>
        <v>0</v>
      </c>
      <c r="I1844" s="1422">
        <f t="shared" ref="I1844:L1844" si="1119">+SUM(I1840:I1843)</f>
        <v>0</v>
      </c>
      <c r="J1844" s="1422">
        <f t="shared" si="1119"/>
        <v>0</v>
      </c>
      <c r="K1844" s="1422">
        <f t="shared" si="1119"/>
        <v>0</v>
      </c>
      <c r="L1844" s="1422">
        <f t="shared" si="1119"/>
        <v>73.3</v>
      </c>
      <c r="M1844" s="889">
        <f>IFERROR(R1844/$S$2,"")</f>
        <v>0</v>
      </c>
      <c r="N1844" s="854">
        <f>IFERROR(L1844/M1844,0)</f>
        <v>0</v>
      </c>
      <c r="O1844" s="889">
        <f>IFERROR(SUMIF(ETM!$A:$A,$Q1844,ETM!$E:$E),"")</f>
        <v>2.6666666666666665</v>
      </c>
      <c r="P1844" s="880">
        <f>IFERROR(L1844/O1844,0)</f>
        <v>27.487500000000001</v>
      </c>
      <c r="Q1844" s="814" t="s">
        <v>635</v>
      </c>
      <c r="R1844" s="785">
        <f>IFERROR(VLOOKUP($Q1844,'391'!$S:$Z,8,0),"")</f>
        <v>0</v>
      </c>
      <c r="S1844" s="786"/>
      <c r="T1844" s="787"/>
      <c r="U1844" s="787"/>
      <c r="V1844" s="787"/>
      <c r="W1844" s="785">
        <f>IFERROR(VLOOKUP($Q1844,'391'!$S:$AG,15,0),0)</f>
        <v>43.300000000000004</v>
      </c>
      <c r="X1844" s="1090">
        <f t="shared" si="1097"/>
        <v>29.999999999999993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13">
        <f>IF(L1850=0,"",MAX($A$16:A1844)+1)</f>
        <v>130</v>
      </c>
      <c r="B1845" s="507" t="s">
        <v>1983</v>
      </c>
      <c r="C1845" s="1760" t="s">
        <v>1832</v>
      </c>
      <c r="D1845" s="866" t="s">
        <v>10</v>
      </c>
      <c r="E1845" s="1124">
        <v>46270</v>
      </c>
      <c r="F1845" s="71">
        <f>$L$7-E1845</f>
        <v>6</v>
      </c>
      <c r="G1845" s="12">
        <v>30</v>
      </c>
      <c r="H1845" s="12"/>
      <c r="I1845" s="12"/>
      <c r="J1845" s="1368"/>
      <c r="K1845" s="64">
        <f>IFERROR(SUMIF(INTAKE!$A:$A,$T1845,INTAKE!$P:$P),0)</f>
        <v>30</v>
      </c>
      <c r="L1845" s="1703">
        <f>+G1845+H1845+I1845-J1845-K1845</f>
        <v>0</v>
      </c>
      <c r="M1845" s="23"/>
      <c r="N1845" s="130"/>
      <c r="O1845" s="130"/>
      <c r="P1845" s="760"/>
      <c r="Q1845" s="795"/>
      <c r="R1845" s="785">
        <f>IFERROR(VLOOKUP($Q1845,'391'!$S:$Z,8,0),"")</f>
        <v>0</v>
      </c>
      <c r="S1845" s="786"/>
      <c r="T1845" s="787" t="str">
        <f>$Q$1850&amp;C1845&amp;E1845</f>
        <v>Premix 571X6.146270</v>
      </c>
      <c r="U1845" s="787"/>
      <c r="V1845" s="787"/>
      <c r="W1845" s="785">
        <f>IFERROR(VLOOKUP($Q1845,'391'!$S:$AG,15,0),0)</f>
        <v>0</v>
      </c>
      <c r="X1845" s="1090">
        <f t="shared" si="1097"/>
        <v>30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14"/>
      <c r="B1846" s="507" t="s">
        <v>2229</v>
      </c>
      <c r="C1846" s="1760" t="s">
        <v>1832</v>
      </c>
      <c r="D1846" s="866" t="s">
        <v>10</v>
      </c>
      <c r="E1846" s="1124">
        <v>46275</v>
      </c>
      <c r="F1846" s="71">
        <f>$L$7-E1846</f>
        <v>1</v>
      </c>
      <c r="G1846" s="12">
        <v>30</v>
      </c>
      <c r="H1846" s="12"/>
      <c r="I1846" s="12"/>
      <c r="J1846" s="1368"/>
      <c r="K1846" s="64">
        <f>IFERROR(SUMIF(INTAKE!$A:$A,$T1846,INTAKE!$P:$P),0)</f>
        <v>30</v>
      </c>
      <c r="L1846" s="1703">
        <f>+G1846+H1846+I1846-J1846-K1846</f>
        <v>0</v>
      </c>
      <c r="M1846" s="23"/>
      <c r="N1846" s="130"/>
      <c r="O1846" s="130"/>
      <c r="P1846" s="760"/>
      <c r="Q1846" s="795"/>
      <c r="R1846" s="785">
        <f>IFERROR(VLOOKUP($Q1846,'391'!$S:$Z,8,0),"")</f>
        <v>0</v>
      </c>
      <c r="S1846" s="786"/>
      <c r="T1846" s="787" t="str">
        <f>$Q$1850&amp;C1846&amp;E1846</f>
        <v>Premix 571X6.146275</v>
      </c>
      <c r="U1846" s="787"/>
      <c r="V1846" s="787"/>
      <c r="W1846" s="785">
        <f>IFERROR(VLOOKUP($Q1846,'391'!$S:$AG,15,0),0)</f>
        <v>0</v>
      </c>
      <c r="X1846" s="1090">
        <f t="shared" si="1097"/>
        <v>30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hidden="1" customHeight="1" x14ac:dyDescent="0.25">
      <c r="A1847" s="2014"/>
      <c r="B1847" s="507" t="s">
        <v>1796</v>
      </c>
      <c r="C1847" s="1760"/>
      <c r="D1847" s="866" t="s">
        <v>10</v>
      </c>
      <c r="E1847" s="1124">
        <v>46115</v>
      </c>
      <c r="F1847" s="71">
        <f>$L$7-E1847</f>
        <v>161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3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$Q$1850&amp;C1847&amp;E1847</f>
        <v>Premix 57146115</v>
      </c>
      <c r="U1847" s="787"/>
      <c r="V1847" s="787"/>
      <c r="W1847" s="785">
        <f>IFERROR(VLOOKUP($Q1847,'391'!$S:$AG,15,0),0)</f>
        <v>0</v>
      </c>
      <c r="X1847" s="1090">
        <f t="shared" si="1097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14"/>
      <c r="B1848" s="507" t="s">
        <v>1796</v>
      </c>
      <c r="C1848" s="1760"/>
      <c r="D1848" s="866" t="s">
        <v>10</v>
      </c>
      <c r="E1848" s="1124">
        <v>46115</v>
      </c>
      <c r="F1848" s="71">
        <f>$L$7-E1848</f>
        <v>161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3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$Q$1850&amp;C1848&amp;E1848</f>
        <v>Premix 57146115</v>
      </c>
      <c r="U1848" s="787"/>
      <c r="V1848" s="787"/>
      <c r="W1848" s="785">
        <f>IFERROR(VLOOKUP($Q1848,'391'!$S:$AG,15,0),0)</f>
        <v>0</v>
      </c>
      <c r="X1848" s="1090">
        <f t="shared" ref="X1848" si="1120">G1848-W1848</f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customHeight="1" x14ac:dyDescent="0.25">
      <c r="A1849" s="2015"/>
      <c r="B1849" s="1022" t="s">
        <v>1983</v>
      </c>
      <c r="C1849" s="148" t="s">
        <v>46</v>
      </c>
      <c r="D1849" s="884" t="s">
        <v>10</v>
      </c>
      <c r="E1849" s="1123">
        <v>46270</v>
      </c>
      <c r="F1849" s="71">
        <f>$L$7-E1849</f>
        <v>6</v>
      </c>
      <c r="G1849" s="56">
        <v>19.499999999999996</v>
      </c>
      <c r="H1849" s="56"/>
      <c r="I1849" s="56">
        <f>SUM(K1845:K1847)</f>
        <v>60</v>
      </c>
      <c r="J1849" s="1369">
        <f>usage!I245</f>
        <v>50.4</v>
      </c>
      <c r="K1849" s="64">
        <f>IFERROR(SUMIF(INTAKE!$A:$A,$T1849,INTAKE!$P:$P),0)</f>
        <v>0</v>
      </c>
      <c r="L1849" s="1534">
        <f>+G1849+H1849+I1849-J1849-K1849</f>
        <v>29.1</v>
      </c>
      <c r="M1849" s="40"/>
      <c r="N1849" s="84"/>
      <c r="O1849" s="40"/>
      <c r="P1849" s="756"/>
      <c r="Q1849" s="795"/>
      <c r="R1849" s="785">
        <f>IFERROR(VLOOKUP($Q1849,'391'!$S:$Z,8,0),"")</f>
        <v>0</v>
      </c>
      <c r="S1849" s="786"/>
      <c r="T1849" s="787" t="str">
        <f>$Q$1850&amp;C1849&amp;E1849</f>
        <v>Premix 571Feedmill46270</v>
      </c>
      <c r="U1849" s="787"/>
      <c r="V1849" s="787"/>
      <c r="W1849" s="785">
        <f>IFERROR(VLOOKUP($Q1849,'391'!$S:$AG,15,0),0)</f>
        <v>0</v>
      </c>
      <c r="X1849" s="1090">
        <f t="shared" si="1097"/>
        <v>19.499999999999996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customHeight="1" x14ac:dyDescent="0.25">
      <c r="A1850" s="2011" t="s">
        <v>526</v>
      </c>
      <c r="B1850" s="2012"/>
      <c r="C1850" s="1038"/>
      <c r="D1850" s="1034"/>
      <c r="E1850" s="1127"/>
      <c r="F1850" s="1034"/>
      <c r="G1850" s="1422">
        <v>79.5</v>
      </c>
      <c r="H1850" s="1422">
        <f>+SUM(H1845:H1849)</f>
        <v>0</v>
      </c>
      <c r="I1850" s="1422">
        <f t="shared" ref="I1850:L1850" si="1121">+SUM(I1845:I1849)</f>
        <v>60</v>
      </c>
      <c r="J1850" s="1422">
        <f t="shared" si="1121"/>
        <v>50.4</v>
      </c>
      <c r="K1850" s="1422">
        <f t="shared" si="1121"/>
        <v>60</v>
      </c>
      <c r="L1850" s="1422">
        <f t="shared" si="1121"/>
        <v>29.1</v>
      </c>
      <c r="M1850" s="889">
        <f>IFERROR(R1850/$S$2,"")</f>
        <v>17.822222222222223</v>
      </c>
      <c r="N1850" s="854">
        <f>IFERROR(L1850/M1850,0)</f>
        <v>1.6327930174563592</v>
      </c>
      <c r="O1850" s="889">
        <f>IFERROR(SUMIF(ETM!$A:$A,$Q1850,ETM!$E:$E),"")</f>
        <v>5.333333333333333</v>
      </c>
      <c r="P1850" s="880">
        <f>IFERROR(L1850/O1850,0)</f>
        <v>5.4562500000000007</v>
      </c>
      <c r="Q1850" s="814" t="s">
        <v>634</v>
      </c>
      <c r="R1850" s="785">
        <f>IFERROR(VLOOKUP($Q1850,'391'!$S:$Z,8,0),"")</f>
        <v>80.2</v>
      </c>
      <c r="S1850" s="786"/>
      <c r="T1850" s="787"/>
      <c r="U1850" s="787"/>
      <c r="V1850" s="787"/>
      <c r="W1850" s="785">
        <f>IFERROR(VLOOKUP($Q1850,'391'!$S:$AG,15,0),0)</f>
        <v>66.3</v>
      </c>
      <c r="X1850" s="1090">
        <f t="shared" si="1097"/>
        <v>13.200000000000003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6" customFormat="1" ht="30" hidden="1" customHeight="1" x14ac:dyDescent="0.25">
      <c r="A1851" s="2007">
        <f>IF(L1859=0,"",MAX($A$16:A1850)+1)</f>
        <v>131</v>
      </c>
      <c r="B1851" s="390" t="s">
        <v>1395</v>
      </c>
      <c r="C1851" s="150"/>
      <c r="D1851" s="866" t="s">
        <v>10</v>
      </c>
      <c r="E1851" s="1124">
        <v>45323</v>
      </c>
      <c r="F1851" s="71">
        <f t="shared" ref="F1851:F1858" si="1122">$L$7-E1851</f>
        <v>953</v>
      </c>
      <c r="G1851" s="11">
        <v>0</v>
      </c>
      <c r="H1851" s="11"/>
      <c r="I1851" s="11"/>
      <c r="J1851" s="1388"/>
      <c r="K1851" s="64">
        <f>IFERROR(SUMIF(INTAKE!$A:$A,$T1851,INTAKE!$P:$P),0)</f>
        <v>0</v>
      </c>
      <c r="L1851" s="1534">
        <f t="shared" ref="L1851:L1858" si="1123">+G1851+H1851+I1851-J1851-K1851</f>
        <v>0</v>
      </c>
      <c r="M1851" s="66">
        <v>0</v>
      </c>
      <c r="N1851" s="920"/>
      <c r="O1851" s="66"/>
      <c r="P1851" s="738"/>
      <c r="Q1851" s="795"/>
      <c r="R1851" s="785">
        <f>IFERROR(VLOOKUP($Q1851,'391'!$S:$Z,8,0),"")</f>
        <v>0</v>
      </c>
      <c r="S1851" s="786"/>
      <c r="T1851" s="787" t="str">
        <f t="shared" ref="T1851:T1858" si="1124">$Q$1859&amp;C1851&amp;E1851</f>
        <v>Premix 58245323</v>
      </c>
      <c r="U1851" s="787"/>
      <c r="V1851" s="787"/>
      <c r="W1851" s="785">
        <f>IFERROR(VLOOKUP($Q1851,'391'!$S:$AG,15,0),0)</f>
        <v>0</v>
      </c>
      <c r="X1851" s="1090">
        <f t="shared" si="1097"/>
        <v>0</v>
      </c>
      <c r="Y1851" s="787"/>
      <c r="Z1851" s="791"/>
      <c r="AA1851" s="787"/>
      <c r="AB1851" s="787"/>
      <c r="AC1851" s="679"/>
      <c r="AD1851" s="679"/>
      <c r="AE1851" s="679"/>
      <c r="AF1851" s="679"/>
      <c r="AG1851" s="679"/>
      <c r="AH1851" s="679"/>
      <c r="AI1851" s="682"/>
      <c r="AJ1851" s="682"/>
      <c r="AK1851" s="682"/>
      <c r="AL1851" s="682"/>
      <c r="AM1851" s="682"/>
      <c r="AN1851" s="682"/>
      <c r="AO1851" s="682"/>
      <c r="AP1851" s="682"/>
      <c r="AQ1851" s="682"/>
      <c r="AR1851" s="682"/>
      <c r="AS1851" s="682"/>
    </row>
    <row r="1852" spans="1:45" s="6" customFormat="1" ht="30" hidden="1" customHeight="1" x14ac:dyDescent="0.25">
      <c r="A1852" s="2008"/>
      <c r="B1852" s="390" t="s">
        <v>1399</v>
      </c>
      <c r="C1852" s="150"/>
      <c r="D1852" s="866" t="s">
        <v>10</v>
      </c>
      <c r="E1852" s="1124">
        <v>45339</v>
      </c>
      <c r="F1852" s="71">
        <f t="shared" si="1122"/>
        <v>937</v>
      </c>
      <c r="G1852" s="11">
        <v>0</v>
      </c>
      <c r="H1852" s="11"/>
      <c r="I1852" s="11"/>
      <c r="J1852" s="1365"/>
      <c r="K1852" s="64">
        <f>IFERROR(SUMIF(INTAKE!$A:$A,$T1852,INTAKE!$P:$P),0)</f>
        <v>0</v>
      </c>
      <c r="L1852" s="1534">
        <f t="shared" si="1123"/>
        <v>0</v>
      </c>
      <c r="M1852" s="101"/>
      <c r="N1852" s="249"/>
      <c r="O1852" s="101"/>
      <c r="P1852" s="738"/>
      <c r="Q1852" s="795"/>
      <c r="R1852" s="785">
        <f>IFERROR(VLOOKUP($Q1852,'391'!$S:$Z,8,0),"")</f>
        <v>0</v>
      </c>
      <c r="S1852" s="786"/>
      <c r="T1852" s="787" t="str">
        <f t="shared" si="1124"/>
        <v>Premix 58245339</v>
      </c>
      <c r="U1852" s="787"/>
      <c r="V1852" s="787"/>
      <c r="W1852" s="785">
        <f>IFERROR(VLOOKUP($Q1852,'391'!$S:$AG,15,0),0)</f>
        <v>0</v>
      </c>
      <c r="X1852" s="1090">
        <f t="shared" si="1097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29.1" customHeight="1" x14ac:dyDescent="0.25">
      <c r="A1853" s="2008"/>
      <c r="B1853" s="390" t="s">
        <v>1952</v>
      </c>
      <c r="C1853" s="150" t="s">
        <v>1742</v>
      </c>
      <c r="D1853" s="866" t="s">
        <v>10</v>
      </c>
      <c r="E1853" s="1124">
        <v>46262</v>
      </c>
      <c r="F1853" s="71">
        <f t="shared" si="1122"/>
        <v>14</v>
      </c>
      <c r="G1853" s="11">
        <v>180</v>
      </c>
      <c r="H1853" s="11"/>
      <c r="I1853" s="11"/>
      <c r="J1853" s="1388"/>
      <c r="K1853" s="64">
        <f>IFERROR(SUMIF(INTAKE!$A:$A,$T1853,INTAKE!$P:$P),0)</f>
        <v>60</v>
      </c>
      <c r="L1853" s="1703">
        <f t="shared" si="1123"/>
        <v>120</v>
      </c>
      <c r="M1853" s="101"/>
      <c r="N1853" s="101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24"/>
        <v>Premix 582X7.146262</v>
      </c>
      <c r="U1853" s="787"/>
      <c r="V1853" s="787"/>
      <c r="W1853" s="785">
        <f>IFERROR(VLOOKUP($Q1853,'391'!$S:$AG,15,0),0)</f>
        <v>0</v>
      </c>
      <c r="X1853" s="1090">
        <f t="shared" si="1097"/>
        <v>180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customHeight="1" x14ac:dyDescent="0.25">
      <c r="A1854" s="2008"/>
      <c r="B1854" s="390" t="s">
        <v>2233</v>
      </c>
      <c r="C1854" s="150" t="s">
        <v>1742</v>
      </c>
      <c r="D1854" s="866" t="s">
        <v>10</v>
      </c>
      <c r="E1854" s="1124">
        <v>46275</v>
      </c>
      <c r="F1854" s="71">
        <f t="shared" ref="F1854" si="1125">$L$7-E1854</f>
        <v>1</v>
      </c>
      <c r="G1854" s="11">
        <v>90</v>
      </c>
      <c r="H1854" s="11"/>
      <c r="I1854" s="11"/>
      <c r="J1854" s="1388"/>
      <c r="K1854" s="64">
        <f>IFERROR(SUMIF(INTAKE!$A:$A,$T1854,INTAKE!$P:$P),0)</f>
        <v>0</v>
      </c>
      <c r="L1854" s="1703">
        <f t="shared" si="1123"/>
        <v>90</v>
      </c>
      <c r="M1854" s="101"/>
      <c r="N1854" s="101"/>
      <c r="O1854" s="101"/>
      <c r="P1854" s="734"/>
      <c r="Q1854" s="795"/>
      <c r="R1854" s="785">
        <f>IFERROR(VLOOKUP($Q1854,'391'!$S:$Z,8,0),"")</f>
        <v>0</v>
      </c>
      <c r="S1854" s="786"/>
      <c r="T1854" s="787" t="str">
        <f t="shared" si="1124"/>
        <v>Premix 582X7.146275</v>
      </c>
      <c r="U1854" s="787"/>
      <c r="V1854" s="787"/>
      <c r="W1854" s="785">
        <f>IFERROR(VLOOKUP($Q1854,'391'!$S:$AG,15,0),0)</f>
        <v>0</v>
      </c>
      <c r="X1854" s="1090">
        <f t="shared" si="1097"/>
        <v>90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30" hidden="1" customHeight="1" x14ac:dyDescent="0.25">
      <c r="A1855" s="2008"/>
      <c r="B1855" s="390" t="s">
        <v>1809</v>
      </c>
      <c r="C1855" s="150"/>
      <c r="D1855" s="866" t="s">
        <v>10</v>
      </c>
      <c r="E1855" s="1124">
        <v>46135</v>
      </c>
      <c r="F1855" s="71">
        <f t="shared" si="1122"/>
        <v>141</v>
      </c>
      <c r="G1855" s="11">
        <v>0</v>
      </c>
      <c r="H1855" s="11"/>
      <c r="I1855" s="11"/>
      <c r="J1855" s="1365"/>
      <c r="K1855" s="64">
        <f>IFERROR(SUMIF(INTAKE!$A:$A,$T1855,INTAKE!$P:$P),0)</f>
        <v>0</v>
      </c>
      <c r="L1855" s="1703">
        <f t="shared" si="1123"/>
        <v>0</v>
      </c>
      <c r="M1855" s="101"/>
      <c r="N1855" s="1460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24"/>
        <v>Premix 58246135</v>
      </c>
      <c r="U1855" s="787"/>
      <c r="V1855" s="787"/>
      <c r="W1855" s="785">
        <f>IFERROR(VLOOKUP($Q1855,'391'!$S:$AG,15,0),0)</f>
        <v>0</v>
      </c>
      <c r="X1855" s="1090">
        <f t="shared" si="1097"/>
        <v>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hidden="1" customHeight="1" x14ac:dyDescent="0.25">
      <c r="A1856" s="2008"/>
      <c r="B1856" s="390" t="s">
        <v>1436</v>
      </c>
      <c r="C1856" s="150"/>
      <c r="D1856" s="866" t="s">
        <v>10</v>
      </c>
      <c r="E1856" s="1124">
        <v>45471</v>
      </c>
      <c r="F1856" s="71">
        <f t="shared" si="1122"/>
        <v>805</v>
      </c>
      <c r="G1856" s="11">
        <v>0</v>
      </c>
      <c r="H1856" s="11"/>
      <c r="I1856" s="11"/>
      <c r="J1856" s="1388"/>
      <c r="K1856" s="64">
        <f>IFERROR(SUMIF(INTAKE!$A:$A,$T1856,INTAKE!$P:$P),0)</f>
        <v>0</v>
      </c>
      <c r="L1856" s="1534">
        <f t="shared" si="1123"/>
        <v>0</v>
      </c>
      <c r="M1856" s="101"/>
      <c r="N1856" s="1460"/>
      <c r="O1856" s="101"/>
      <c r="P1856" s="738"/>
      <c r="Q1856" s="795"/>
      <c r="R1856" s="785">
        <f>IFERROR(VLOOKUP($Q1856,'391'!$S:$Z,8,0),"")</f>
        <v>0</v>
      </c>
      <c r="S1856" s="786"/>
      <c r="T1856" s="787" t="str">
        <f t="shared" si="1124"/>
        <v>Premix 58245471</v>
      </c>
      <c r="U1856" s="787"/>
      <c r="V1856" s="787"/>
      <c r="W1856" s="785">
        <f>IFERROR(VLOOKUP($Q1856,'391'!$S:$AG,15,0),0)</f>
        <v>0</v>
      </c>
      <c r="X1856" s="1090">
        <f t="shared" si="1097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8"/>
      <c r="B1857" s="390" t="s">
        <v>472</v>
      </c>
      <c r="C1857" s="150"/>
      <c r="D1857" s="866" t="s">
        <v>10</v>
      </c>
      <c r="E1857" s="1124">
        <v>43412</v>
      </c>
      <c r="F1857" s="71">
        <f t="shared" si="1122"/>
        <v>2864</v>
      </c>
      <c r="G1857" s="11">
        <v>0</v>
      </c>
      <c r="H1857" s="11"/>
      <c r="I1857" s="11"/>
      <c r="J1857" s="1388"/>
      <c r="K1857" s="64">
        <f>IFERROR(SUMIF(INTAKE!$A:$A,$T1857,INTAKE!$P:$P),0)</f>
        <v>0</v>
      </c>
      <c r="L1857" s="1534">
        <f t="shared" si="1123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24"/>
        <v>Premix 58243412</v>
      </c>
      <c r="U1857" s="787"/>
      <c r="V1857" s="787"/>
      <c r="W1857" s="785">
        <f>IFERROR(VLOOKUP($Q1857,'391'!$S:$AG,15,0),0)</f>
        <v>0</v>
      </c>
      <c r="X1857" s="1090">
        <f t="shared" si="1097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customHeight="1" x14ac:dyDescent="0.25">
      <c r="A1858" s="2008"/>
      <c r="B1858" s="1023" t="s">
        <v>1937</v>
      </c>
      <c r="C1858" s="188" t="s">
        <v>46</v>
      </c>
      <c r="D1858" s="884" t="s">
        <v>10</v>
      </c>
      <c r="E1858" s="1125">
        <v>46254</v>
      </c>
      <c r="F1858" s="71">
        <f t="shared" si="1122"/>
        <v>22</v>
      </c>
      <c r="G1858" s="974">
        <v>79</v>
      </c>
      <c r="H1858" s="11"/>
      <c r="I1858" s="974">
        <f>+SUM(K1851:K1855)</f>
        <v>60</v>
      </c>
      <c r="J1858" s="1365">
        <f>+usage!I254</f>
        <v>33.299999999999997</v>
      </c>
      <c r="K1858" s="64">
        <f>IFERROR(SUMIF(INTAKE!$A:$A,$T1858,INTAKE!$P:$P),0)</f>
        <v>0</v>
      </c>
      <c r="L1858" s="1534">
        <f t="shared" si="1123"/>
        <v>105.7</v>
      </c>
      <c r="M1858" s="101"/>
      <c r="N1858" s="1474"/>
      <c r="O1858" s="24"/>
      <c r="P1858" s="740"/>
      <c r="Q1858" s="795"/>
      <c r="R1858" s="785">
        <f>IFERROR(VLOOKUP($Q1858,'391'!$S:$Z,8,0),"")</f>
        <v>0</v>
      </c>
      <c r="S1858" s="786"/>
      <c r="T1858" s="787" t="str">
        <f t="shared" si="1124"/>
        <v>Premix 582Feedmill46254</v>
      </c>
      <c r="U1858" s="787"/>
      <c r="V1858" s="787"/>
      <c r="W1858" s="785">
        <f>IFERROR(VLOOKUP($Q1858,'391'!$S:$AG,15,0),0)</f>
        <v>0</v>
      </c>
      <c r="X1858" s="1090">
        <f t="shared" si="1097"/>
        <v>79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420" customFormat="1" ht="30" customHeight="1" x14ac:dyDescent="0.25">
      <c r="A1859" s="2011" t="s">
        <v>175</v>
      </c>
      <c r="B1859" s="2012"/>
      <c r="C1859" s="1038"/>
      <c r="D1859" s="1034"/>
      <c r="E1859" s="1127"/>
      <c r="F1859" s="1034"/>
      <c r="G1859" s="1328">
        <v>349</v>
      </c>
      <c r="H1859" s="1328">
        <f t="shared" ref="H1859:I1859" si="1126">SUM(H1851:H1858)</f>
        <v>0</v>
      </c>
      <c r="I1859" s="1328">
        <f t="shared" si="1126"/>
        <v>60</v>
      </c>
      <c r="J1859" s="1328">
        <f t="shared" ref="J1859:L1859" si="1127">SUM(J1851:J1858)</f>
        <v>33.299999999999997</v>
      </c>
      <c r="K1859" s="1328">
        <f t="shared" si="1127"/>
        <v>60</v>
      </c>
      <c r="L1859" s="1328">
        <f t="shared" si="1127"/>
        <v>315.7</v>
      </c>
      <c r="M1859" s="889">
        <f>IFERROR(R1859/$S$2,"")</f>
        <v>11.084444444444445</v>
      </c>
      <c r="N1859" s="854">
        <f>IFERROR(L1859/M1859,0)</f>
        <v>28.481355252606253</v>
      </c>
      <c r="O1859" s="889">
        <f>IFERROR(SUMIF(ETM!$A:$A,$Q1859,ETM!$E:$E),"")</f>
        <v>14.666666666666666</v>
      </c>
      <c r="P1859" s="880">
        <f>IFERROR(L1859/O1859,0)</f>
        <v>21.524999999999999</v>
      </c>
      <c r="Q1859" s="814" t="s">
        <v>637</v>
      </c>
      <c r="R1859" s="785">
        <f>IFERROR(VLOOKUP($Q1859,'391'!$S:$Z,8,0),"")</f>
        <v>49.88</v>
      </c>
      <c r="S1859" s="786"/>
      <c r="T1859" s="787"/>
      <c r="U1859" s="787"/>
      <c r="V1859" s="787"/>
      <c r="W1859" s="785">
        <f>IFERROR(VLOOKUP($Q1859,'391'!$S:$AG,15,0),0)</f>
        <v>275.59000000000003</v>
      </c>
      <c r="X1859" s="1090">
        <f t="shared" si="1097"/>
        <v>73.409999999999968</v>
      </c>
      <c r="Y1859" s="787"/>
      <c r="Z1859" s="791"/>
      <c r="AA1859" s="787"/>
      <c r="AB1859" s="787"/>
      <c r="AC1859" s="550"/>
      <c r="AD1859" s="550"/>
      <c r="AE1859" s="550"/>
      <c r="AF1859" s="550"/>
      <c r="AG1859" s="550"/>
      <c r="AH1859" s="550"/>
      <c r="AI1859" s="559"/>
      <c r="AJ1859" s="559"/>
      <c r="AK1859" s="559"/>
      <c r="AL1859" s="559"/>
      <c r="AM1859" s="559"/>
      <c r="AN1859" s="559"/>
      <c r="AO1859" s="559"/>
      <c r="AP1859" s="559"/>
      <c r="AQ1859" s="559"/>
      <c r="AR1859" s="559"/>
      <c r="AS1859" s="559"/>
    </row>
    <row r="1860" spans="1:45" s="6" customFormat="1" ht="30" hidden="1" customHeight="1" x14ac:dyDescent="0.25">
      <c r="A1860" s="2009">
        <f>IF(L1867=0,"",MAX($A$16:A1859)+1)</f>
        <v>132</v>
      </c>
      <c r="B1860" s="390" t="s">
        <v>1160</v>
      </c>
      <c r="C1860" s="186"/>
      <c r="D1860" s="866" t="s">
        <v>10</v>
      </c>
      <c r="E1860" s="1135">
        <v>44666</v>
      </c>
      <c r="F1860" s="71">
        <f t="shared" ref="F1860:F1866" si="1128">$L$7-E1860</f>
        <v>1610</v>
      </c>
      <c r="G1860" s="11">
        <v>0</v>
      </c>
      <c r="H1860" s="11"/>
      <c r="I1860" s="11"/>
      <c r="J1860" s="1442"/>
      <c r="K1860" s="64">
        <f>IFERROR(SUMIF(INTAKE!$A:$A,$T1860,INTAKE!$P:$P),0)</f>
        <v>0</v>
      </c>
      <c r="L1860" s="1534">
        <f t="shared" ref="L1860:L1866" si="1129">+G1860+H1860+I1860-J1860-K1860</f>
        <v>0</v>
      </c>
      <c r="M1860" s="147"/>
      <c r="N1860" s="248"/>
      <c r="O1860" s="147"/>
      <c r="P1860" s="748"/>
      <c r="Q1860" s="795"/>
      <c r="R1860" s="785">
        <f>IFERROR(VLOOKUP($Q1860,'391'!$S:$Z,8,0),"")</f>
        <v>0</v>
      </c>
      <c r="S1860" s="786"/>
      <c r="T1860" s="787" t="str">
        <f t="shared" ref="T1860:T1866" si="1130">$Q$1867&amp;C1860&amp;E1860</f>
        <v>Premix MC-069744666</v>
      </c>
      <c r="U1860" s="787"/>
      <c r="V1860" s="787"/>
      <c r="W1860" s="785">
        <f>IFERROR(VLOOKUP($Q1860,'391'!$S:$AG,15,0),0)</f>
        <v>0</v>
      </c>
      <c r="X1860" s="1090">
        <f t="shared" si="1097"/>
        <v>0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6" customFormat="1" ht="30" customHeight="1" x14ac:dyDescent="0.25">
      <c r="A1861" s="2010"/>
      <c r="B1861" s="390" t="s">
        <v>1953</v>
      </c>
      <c r="C1861" s="186" t="s">
        <v>226</v>
      </c>
      <c r="D1861" s="866" t="s">
        <v>10</v>
      </c>
      <c r="E1861" s="1135">
        <v>46262</v>
      </c>
      <c r="F1861" s="71">
        <f t="shared" si="1128"/>
        <v>14</v>
      </c>
      <c r="G1861" s="11">
        <v>120</v>
      </c>
      <c r="H1861" s="11"/>
      <c r="I1861" s="11"/>
      <c r="J1861" s="1442"/>
      <c r="K1861" s="64">
        <f>IFERROR(SUMIF(INTAKE!$A:$A,$T1861,INTAKE!$P:$P),0)</f>
        <v>60</v>
      </c>
      <c r="L1861" s="1703">
        <f t="shared" si="1129"/>
        <v>60</v>
      </c>
      <c r="M1861" s="101"/>
      <c r="N1861" s="249"/>
      <c r="O1861" s="101"/>
      <c r="P1861" s="750"/>
      <c r="Q1861" s="795"/>
      <c r="R1861" s="785">
        <f>IFERROR(VLOOKUP($Q1861,'391'!$S:$Z,8,0),"")</f>
        <v>0</v>
      </c>
      <c r="S1861" s="786"/>
      <c r="T1861" s="787" t="str">
        <f t="shared" si="1130"/>
        <v>Premix MC-0697X4.146262</v>
      </c>
      <c r="U1861" s="787"/>
      <c r="V1861" s="787"/>
      <c r="W1861" s="785">
        <f>IFERROR(VLOOKUP($Q1861,'391'!$S:$AG,15,0),0)</f>
        <v>0</v>
      </c>
      <c r="X1861" s="1090">
        <f t="shared" si="1097"/>
        <v>120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2.25" customHeight="1" x14ac:dyDescent="0.25">
      <c r="A1862" s="2010"/>
      <c r="B1862" s="390" t="s">
        <v>1984</v>
      </c>
      <c r="C1862" s="186" t="s">
        <v>226</v>
      </c>
      <c r="D1862" s="866" t="s">
        <v>10</v>
      </c>
      <c r="E1862" s="1135">
        <v>46270</v>
      </c>
      <c r="F1862" s="71">
        <f t="shared" si="1128"/>
        <v>6</v>
      </c>
      <c r="G1862" s="11">
        <v>390</v>
      </c>
      <c r="H1862" s="11"/>
      <c r="I1862" s="11"/>
      <c r="J1862" s="1442"/>
      <c r="K1862" s="1348">
        <f>IFERROR(SUMIF(INTAKE!$A:$A,$T1862,INTAKE!$P:$P),0)</f>
        <v>0</v>
      </c>
      <c r="L1862" s="1703">
        <f t="shared" si="1129"/>
        <v>390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30"/>
        <v>Premix MC-0697X4.146270</v>
      </c>
      <c r="U1862" s="787"/>
      <c r="V1862" s="787"/>
      <c r="W1862" s="785">
        <f>IFERROR(VLOOKUP($Q1862,'391'!$S:$AG,15,0),0)</f>
        <v>0</v>
      </c>
      <c r="X1862" s="1090">
        <f t="shared" ref="X1862:X1932" si="1131">G1862-W1862</f>
        <v>390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10"/>
      <c r="B1863" s="390" t="s">
        <v>2234</v>
      </c>
      <c r="C1863" s="186" t="s">
        <v>226</v>
      </c>
      <c r="D1863" s="866" t="s">
        <v>10</v>
      </c>
      <c r="E1863" s="1135">
        <v>46275</v>
      </c>
      <c r="F1863" s="71">
        <f t="shared" ref="F1863" si="1132">$L$7-E1863</f>
        <v>1</v>
      </c>
      <c r="G1863" s="11">
        <v>630</v>
      </c>
      <c r="H1863" s="11"/>
      <c r="I1863" s="11"/>
      <c r="J1863" s="1442"/>
      <c r="K1863" s="64">
        <f>IFERROR(SUMIF(INTAKE!$A:$A,$T1863,INTAKE!$P:$P),0)</f>
        <v>0</v>
      </c>
      <c r="L1863" s="1703">
        <f t="shared" si="1129"/>
        <v>630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30"/>
        <v>Premix MC-0697X4.146275</v>
      </c>
      <c r="U1863" s="787"/>
      <c r="V1863" s="787"/>
      <c r="W1863" s="785">
        <f>IFERROR(VLOOKUP($Q1863,'391'!$S:$AG,15,0),0)</f>
        <v>0</v>
      </c>
      <c r="X1863" s="1090">
        <f t="shared" si="1131"/>
        <v>630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0" hidden="1" customHeight="1" x14ac:dyDescent="0.25">
      <c r="A1864" s="2010"/>
      <c r="B1864" s="390" t="s">
        <v>1925</v>
      </c>
      <c r="C1864" s="186"/>
      <c r="D1864" s="866" t="s">
        <v>10</v>
      </c>
      <c r="E1864" s="1135">
        <v>46247</v>
      </c>
      <c r="F1864" s="71">
        <f t="shared" si="1128"/>
        <v>29</v>
      </c>
      <c r="G1864" s="11">
        <v>0</v>
      </c>
      <c r="H1864" s="11"/>
      <c r="I1864" s="11"/>
      <c r="J1864" s="1442"/>
      <c r="K1864" s="64">
        <f>IFERROR(SUMIF(INTAKE!$A:$A,$T1864,INTAKE!$P:$P),0)</f>
        <v>0</v>
      </c>
      <c r="L1864" s="1703">
        <f t="shared" si="1129"/>
        <v>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30"/>
        <v>Premix MC-069746247</v>
      </c>
      <c r="U1864" s="787"/>
      <c r="V1864" s="787"/>
      <c r="W1864" s="785">
        <f>IFERROR(VLOOKUP($Q1864,'391'!$S:$AG,15,0),0)</f>
        <v>0</v>
      </c>
      <c r="X1864" s="1090">
        <f t="shared" si="1131"/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10"/>
      <c r="B1865" s="390" t="s">
        <v>1736</v>
      </c>
      <c r="C1865" s="186"/>
      <c r="D1865" s="866" t="s">
        <v>10</v>
      </c>
      <c r="E1865" s="1135">
        <v>46038</v>
      </c>
      <c r="F1865" s="71">
        <f t="shared" si="1128"/>
        <v>238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534">
        <f t="shared" si="1129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30"/>
        <v>Premix MC-069746038</v>
      </c>
      <c r="U1865" s="787"/>
      <c r="V1865" s="787"/>
      <c r="W1865" s="785">
        <f>IFERROR(VLOOKUP($Q1865,'391'!$S:$AG,15,0),0)</f>
        <v>0</v>
      </c>
      <c r="X1865" s="1090">
        <f t="shared" si="1131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customHeight="1" x14ac:dyDescent="0.25">
      <c r="A1866" s="2010"/>
      <c r="B1866" s="1014" t="s">
        <v>1953</v>
      </c>
      <c r="C1866" s="151" t="s">
        <v>46</v>
      </c>
      <c r="D1866" s="884" t="s">
        <v>10</v>
      </c>
      <c r="E1866" s="1132">
        <v>46262</v>
      </c>
      <c r="F1866" s="71">
        <f t="shared" si="1128"/>
        <v>14</v>
      </c>
      <c r="G1866" s="58">
        <v>91.35</v>
      </c>
      <c r="H1866" s="11"/>
      <c r="I1866" s="58">
        <f>+SUM(K1860:K1864)</f>
        <v>60</v>
      </c>
      <c r="J1866" s="1366">
        <f>+usage!I234</f>
        <v>88.2</v>
      </c>
      <c r="K1866" s="64">
        <f>IFERROR(SUMIF(INTAKE!$A:$A,$T1866,INTAKE!$P:$P),0)</f>
        <v>0</v>
      </c>
      <c r="L1866" s="1534">
        <f t="shared" si="1129"/>
        <v>63.149999999999991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30"/>
        <v>Premix MC-0697Feedmill46262</v>
      </c>
      <c r="U1866" s="787"/>
      <c r="V1866" s="787"/>
      <c r="W1866" s="785">
        <f>IFERROR(VLOOKUP($Q1866,'391'!$S:$AG,15,0),0)</f>
        <v>0</v>
      </c>
      <c r="X1866" s="1090">
        <f t="shared" si="1131"/>
        <v>91.35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420" customFormat="1" ht="30" customHeight="1" x14ac:dyDescent="0.25">
      <c r="A1867" s="2011" t="s">
        <v>47</v>
      </c>
      <c r="B1867" s="2012"/>
      <c r="C1867" s="1033"/>
      <c r="D1867" s="1034"/>
      <c r="E1867" s="1127"/>
      <c r="F1867" s="1034"/>
      <c r="G1867" s="1328">
        <v>1231.3499999999999</v>
      </c>
      <c r="H1867" s="1328">
        <f t="shared" ref="H1867:I1867" si="1133">SUM(H1860:H1866)</f>
        <v>0</v>
      </c>
      <c r="I1867" s="1328">
        <f t="shared" si="1133"/>
        <v>60</v>
      </c>
      <c r="J1867" s="1328">
        <f t="shared" ref="J1867:L1867" si="1134">SUM(J1860:J1866)</f>
        <v>88.2</v>
      </c>
      <c r="K1867" s="1328">
        <f t="shared" si="1134"/>
        <v>60</v>
      </c>
      <c r="L1867" s="1328">
        <f t="shared" si="1134"/>
        <v>1143.1500000000001</v>
      </c>
      <c r="M1867" s="889">
        <f>IFERROR(R1867/$S$2,"")</f>
        <v>67.077777777777783</v>
      </c>
      <c r="N1867" s="854">
        <f>IFERROR(L1867/M1867,0)</f>
        <v>17.042156700347856</v>
      </c>
      <c r="O1867" s="889">
        <f>IFERROR(SUMIF(ETM!$A:$A,$Q1867,ETM!$E:$E),"")</f>
        <v>65.666666666666671</v>
      </c>
      <c r="P1867" s="880">
        <f>IFERROR(L1867/O1867,0)</f>
        <v>17.408375634517768</v>
      </c>
      <c r="Q1867" s="814" t="s">
        <v>638</v>
      </c>
      <c r="R1867" s="785">
        <f>IFERROR(VLOOKUP($Q1867,'391'!$S:$Z,8,0),"")</f>
        <v>301.85000000000002</v>
      </c>
      <c r="S1867" s="786"/>
      <c r="T1867" s="787"/>
      <c r="U1867" s="787"/>
      <c r="V1867" s="787"/>
      <c r="W1867" s="785">
        <f>IFERROR(VLOOKUP($Q1867,'391'!$S:$AG,15,0),0)</f>
        <v>748.35</v>
      </c>
      <c r="X1867" s="1090">
        <f t="shared" si="1131"/>
        <v>482.99999999999989</v>
      </c>
      <c r="Y1867" s="787"/>
      <c r="Z1867" s="791"/>
      <c r="AA1867" s="787"/>
      <c r="AB1867" s="787"/>
      <c r="AC1867" s="550"/>
      <c r="AD1867" s="550"/>
      <c r="AE1867" s="550"/>
      <c r="AF1867" s="550"/>
      <c r="AG1867" s="550"/>
      <c r="AH1867" s="550"/>
      <c r="AI1867" s="559"/>
      <c r="AJ1867" s="559"/>
      <c r="AK1867" s="559"/>
      <c r="AL1867" s="559"/>
      <c r="AM1867" s="559"/>
      <c r="AN1867" s="559"/>
      <c r="AO1867" s="559"/>
      <c r="AP1867" s="559"/>
      <c r="AQ1867" s="559"/>
      <c r="AR1867" s="559"/>
      <c r="AS1867" s="559"/>
    </row>
    <row r="1868" spans="1:45" s="6" customFormat="1" ht="30" hidden="1" customHeight="1" x14ac:dyDescent="0.25">
      <c r="A1868" s="2009">
        <f>IF(L1875=0,"",MAX($A$16:A1867)+1)</f>
        <v>133</v>
      </c>
      <c r="B1868" s="390" t="s">
        <v>1495</v>
      </c>
      <c r="C1868" s="257"/>
      <c r="D1868" s="866" t="s">
        <v>10</v>
      </c>
      <c r="E1868" s="1134">
        <v>45534</v>
      </c>
      <c r="F1868" s="71">
        <f t="shared" ref="F1868:F1870" si="1135">$L$7-E1868</f>
        <v>742</v>
      </c>
      <c r="G1868" s="11">
        <v>0</v>
      </c>
      <c r="H1868" s="11"/>
      <c r="I1868" s="11"/>
      <c r="J1868" s="1388"/>
      <c r="K1868" s="64">
        <f>IFERROR(SUMIF(INTAKE!$A:$A,$T1868,INTAKE!$P:$P),0)</f>
        <v>0</v>
      </c>
      <c r="L1868" s="1703">
        <f t="shared" ref="L1868:L1874" si="1136">+G1868+H1868+I1868-J1868-K1868</f>
        <v>0</v>
      </c>
      <c r="M1868" s="147"/>
      <c r="N1868" s="248"/>
      <c r="O1868" s="147"/>
      <c r="P1868" s="857"/>
      <c r="Q1868" s="795"/>
      <c r="R1868" s="785">
        <f>IFERROR(VLOOKUP($Q1868,'391'!$S:$Z,8,0),"")</f>
        <v>0</v>
      </c>
      <c r="S1868" s="786"/>
      <c r="T1868" s="787" t="str">
        <f t="shared" ref="T1868:T1874" si="1137">$Q$1875&amp;C1868&amp;E1868</f>
        <v>Premix MC-0697B45534</v>
      </c>
      <c r="U1868" s="787"/>
      <c r="V1868" s="787"/>
      <c r="W1868" s="785">
        <f>IFERROR(VLOOKUP($Q1868,'391'!$S:$AG,15,0),0)</f>
        <v>0</v>
      </c>
      <c r="X1868" s="1090">
        <f t="shared" si="1131"/>
        <v>0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6" customFormat="1" ht="30" customHeight="1" x14ac:dyDescent="0.25">
      <c r="A1869" s="2010"/>
      <c r="B1869" s="390" t="s">
        <v>1938</v>
      </c>
      <c r="C1869" s="257" t="s">
        <v>146</v>
      </c>
      <c r="D1869" s="866" t="s">
        <v>10</v>
      </c>
      <c r="E1869" s="1134">
        <v>46254</v>
      </c>
      <c r="F1869" s="71">
        <f t="shared" si="1135"/>
        <v>22</v>
      </c>
      <c r="G1869" s="11">
        <v>210</v>
      </c>
      <c r="H1869" s="11"/>
      <c r="I1869" s="11"/>
      <c r="J1869" s="1388"/>
      <c r="K1869" s="64">
        <f>IFERROR(SUMIF(INTAKE!$A:$A,$T1869,INTAKE!$P:$P),0)</f>
        <v>120</v>
      </c>
      <c r="L1869" s="1703">
        <f t="shared" si="1136"/>
        <v>90</v>
      </c>
      <c r="M1869" s="101"/>
      <c r="N1869" s="249"/>
      <c r="O1869" s="101"/>
      <c r="P1869" s="750"/>
      <c r="Q1869" s="795"/>
      <c r="R1869" s="785">
        <f>IFERROR(VLOOKUP($Q1869,'391'!$S:$Z,8,0),"")</f>
        <v>0</v>
      </c>
      <c r="S1869" s="786"/>
      <c r="T1869" s="787" t="str">
        <f t="shared" si="1137"/>
        <v>Premix MC-0697BY7.146254</v>
      </c>
      <c r="U1869" s="787"/>
      <c r="V1869" s="787"/>
      <c r="W1869" s="785">
        <f>IFERROR(VLOOKUP($Q1869,'391'!$S:$AG,15,0),0)</f>
        <v>0</v>
      </c>
      <c r="X1869" s="1090">
        <f t="shared" si="1131"/>
        <v>210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6" customFormat="1" ht="30" customHeight="1" x14ac:dyDescent="0.25">
      <c r="A1870" s="2010"/>
      <c r="B1870" s="390" t="s">
        <v>1495</v>
      </c>
      <c r="C1870" s="257" t="s">
        <v>146</v>
      </c>
      <c r="D1870" s="866" t="s">
        <v>10</v>
      </c>
      <c r="E1870" s="1134">
        <v>46262</v>
      </c>
      <c r="F1870" s="71">
        <f t="shared" si="1135"/>
        <v>14</v>
      </c>
      <c r="G1870" s="11">
        <v>720</v>
      </c>
      <c r="H1870" s="11"/>
      <c r="I1870" s="11"/>
      <c r="J1870" s="1388"/>
      <c r="K1870" s="64">
        <f>IFERROR(SUMIF(INTAKE!$A:$A,$T1870,INTAKE!$P:$P),0)</f>
        <v>0</v>
      </c>
      <c r="L1870" s="1703">
        <f t="shared" si="1136"/>
        <v>720</v>
      </c>
      <c r="M1870" s="101"/>
      <c r="N1870" s="249"/>
      <c r="O1870" s="101"/>
      <c r="P1870" s="750"/>
      <c r="Q1870" s="795"/>
      <c r="R1870" s="785">
        <f>IFERROR(VLOOKUP($Q1870,'391'!$S:$Z,8,0),"")</f>
        <v>0</v>
      </c>
      <c r="S1870" s="786"/>
      <c r="T1870" s="787" t="str">
        <f t="shared" si="1137"/>
        <v>Premix MC-0697BY7.146262</v>
      </c>
      <c r="U1870" s="787"/>
      <c r="V1870" s="787"/>
      <c r="W1870" s="785">
        <f>IFERROR(VLOOKUP($Q1870,'391'!$S:$AG,15,0),0)</f>
        <v>0</v>
      </c>
      <c r="X1870" s="1090">
        <f t="shared" si="1131"/>
        <v>720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hidden="1" customHeight="1" x14ac:dyDescent="0.25">
      <c r="A1871" s="2010"/>
      <c r="B1871" s="390" t="s">
        <v>1495</v>
      </c>
      <c r="C1871" s="257"/>
      <c r="D1871" s="866" t="s">
        <v>10</v>
      </c>
      <c r="E1871" s="1134">
        <v>46262</v>
      </c>
      <c r="F1871" s="71">
        <f t="shared" ref="F1869:F1871" si="1138">$L$7-E1871</f>
        <v>14</v>
      </c>
      <c r="G1871" s="11"/>
      <c r="H1871" s="11"/>
      <c r="I1871" s="11"/>
      <c r="J1871" s="1388"/>
      <c r="K1871" s="64">
        <f>IFERROR(SUMIF(INTAKE!$A:$A,$T1871,INTAKE!$P:$P),0)</f>
        <v>0</v>
      </c>
      <c r="L1871" s="1703">
        <f t="shared" si="1136"/>
        <v>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37"/>
        <v>Premix MC-0697B46262</v>
      </c>
      <c r="U1871" s="787"/>
      <c r="V1871" s="787"/>
      <c r="W1871" s="785">
        <f>IFERROR(VLOOKUP($Q1871,'391'!$S:$AG,15,0),0)</f>
        <v>0</v>
      </c>
      <c r="X1871" s="1090">
        <f t="shared" si="1131"/>
        <v>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hidden="1" customHeight="1" x14ac:dyDescent="0.25">
      <c r="A1872" s="2010"/>
      <c r="B1872" s="390" t="s">
        <v>1495</v>
      </c>
      <c r="C1872" s="257"/>
      <c r="D1872" s="866" t="s">
        <v>10</v>
      </c>
      <c r="E1872" s="1134">
        <v>46262</v>
      </c>
      <c r="F1872" s="71">
        <f t="shared" ref="F1872" si="1139">$L$7-E1872</f>
        <v>14</v>
      </c>
      <c r="G1872" s="11">
        <v>0</v>
      </c>
      <c r="H1872" s="11"/>
      <c r="I1872" s="11"/>
      <c r="J1872" s="1388"/>
      <c r="K1872" s="64">
        <f>IFERROR(SUMIF(INTAKE!$A:$A,$T1872,INTAKE!$P:$P),0)</f>
        <v>0</v>
      </c>
      <c r="L1872" s="1703">
        <f t="shared" si="1136"/>
        <v>0</v>
      </c>
      <c r="M1872" s="23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37"/>
        <v>Premix MC-0697B46262</v>
      </c>
      <c r="U1872" s="787"/>
      <c r="V1872" s="787"/>
      <c r="W1872" s="785">
        <f>IFERROR(VLOOKUP($Q1872,'391'!$S:$AG,15,0),0)</f>
        <v>0</v>
      </c>
      <c r="X1872" s="1090">
        <f t="shared" si="1131"/>
        <v>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10"/>
      <c r="B1873" s="390" t="s">
        <v>1810</v>
      </c>
      <c r="C1873" s="257"/>
      <c r="D1873" s="866" t="s">
        <v>10</v>
      </c>
      <c r="E1873" s="1134">
        <v>46135</v>
      </c>
      <c r="F1873" s="71">
        <f t="shared" ref="F1873:F1874" si="1140">$L$7-E1873</f>
        <v>141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534">
        <f t="shared" si="1136"/>
        <v>0</v>
      </c>
      <c r="M1873" s="23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37"/>
        <v>Premix MC-0697B46135</v>
      </c>
      <c r="U1873" s="787"/>
      <c r="V1873" s="787"/>
      <c r="W1873" s="785">
        <f>IFERROR(VLOOKUP($Q1873,'391'!$S:$AG,15,0),0)</f>
        <v>0</v>
      </c>
      <c r="X1873" s="1090">
        <f t="shared" si="1131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406" customFormat="1" ht="30" customHeight="1" x14ac:dyDescent="0.25">
      <c r="A1874" s="2019"/>
      <c r="B1874" s="1024" t="s">
        <v>1938</v>
      </c>
      <c r="C1874" s="126" t="s">
        <v>46</v>
      </c>
      <c r="D1874" s="884" t="s">
        <v>10</v>
      </c>
      <c r="E1874" s="1130">
        <v>46254</v>
      </c>
      <c r="F1874" s="71">
        <f t="shared" si="1140"/>
        <v>22</v>
      </c>
      <c r="G1874" s="37">
        <v>44.900000000000098</v>
      </c>
      <c r="H1874" s="37"/>
      <c r="I1874" s="37">
        <f>+SUM(K1868:K1873)</f>
        <v>120</v>
      </c>
      <c r="J1874" s="1385">
        <f>+usage!I235</f>
        <v>100.8</v>
      </c>
      <c r="K1874" s="64">
        <f>IFERROR(SUMIF(INTAKE!$A:$A,$T1874,INTAKE!$P:$P),0)</f>
        <v>0</v>
      </c>
      <c r="L1874" s="1534">
        <f t="shared" si="1136"/>
        <v>64.100000000000094</v>
      </c>
      <c r="M1874" s="40"/>
      <c r="N1874" s="84"/>
      <c r="O1874" s="40"/>
      <c r="P1874" s="756"/>
      <c r="Q1874" s="795"/>
      <c r="R1874" s="785">
        <f>IFERROR(VLOOKUP($Q1874,'391'!$S:$Z,8,0),"")</f>
        <v>0</v>
      </c>
      <c r="S1874" s="786"/>
      <c r="T1874" s="787" t="str">
        <f t="shared" si="1137"/>
        <v>Premix MC-0697BFeedmill46254</v>
      </c>
      <c r="U1874" s="787"/>
      <c r="V1874" s="787"/>
      <c r="W1874" s="785">
        <f>IFERROR(VLOOKUP($Q1874,'391'!$S:$AG,15,0),0)</f>
        <v>0</v>
      </c>
      <c r="X1874" s="1090">
        <f t="shared" si="1131"/>
        <v>44.900000000000098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420" customFormat="1" ht="30" customHeight="1" x14ac:dyDescent="0.25">
      <c r="A1875" s="2011" t="s">
        <v>119</v>
      </c>
      <c r="B1875" s="2012"/>
      <c r="C1875" s="1033"/>
      <c r="D1875" s="1034"/>
      <c r="E1875" s="1127"/>
      <c r="F1875" s="1034"/>
      <c r="G1875" s="1422">
        <v>974.90000000000009</v>
      </c>
      <c r="H1875" s="1422">
        <f t="shared" ref="H1875:L1875" si="1141">SUM(H1868:H1874)</f>
        <v>0</v>
      </c>
      <c r="I1875" s="1422">
        <f t="shared" si="1141"/>
        <v>120</v>
      </c>
      <c r="J1875" s="1422">
        <f t="shared" si="1141"/>
        <v>100.8</v>
      </c>
      <c r="K1875" s="1422">
        <f t="shared" si="1141"/>
        <v>120</v>
      </c>
      <c r="L1875" s="1422">
        <f t="shared" si="1141"/>
        <v>874.10000000000014</v>
      </c>
      <c r="M1875" s="889">
        <f>IFERROR(R1875/$S$2,"")</f>
        <v>33.6</v>
      </c>
      <c r="N1875" s="854">
        <f>IFERROR(L1875/M1875,0)</f>
        <v>26.014880952380956</v>
      </c>
      <c r="O1875" s="889">
        <f>IFERROR(SUMIF(ETM!$A:$A,$Q1875,ETM!$E:$E),"")</f>
        <v>44.000000000000007</v>
      </c>
      <c r="P1875" s="880">
        <f>IFERROR(L1875/O1875,0)</f>
        <v>19.865909090909092</v>
      </c>
      <c r="Q1875" s="814" t="s">
        <v>639</v>
      </c>
      <c r="R1875" s="785">
        <f>IFERROR(VLOOKUP($Q1875,'391'!$S:$Z,8,0),"")</f>
        <v>151.20000000000002</v>
      </c>
      <c r="S1875" s="786"/>
      <c r="T1875" s="787"/>
      <c r="U1875" s="787"/>
      <c r="V1875" s="787"/>
      <c r="W1875" s="785">
        <f>IFERROR(VLOOKUP($Q1875,'391'!$S:$AG,15,0),0)</f>
        <v>1025.3</v>
      </c>
      <c r="X1875" s="1090">
        <f t="shared" si="1131"/>
        <v>-50.399999999999864</v>
      </c>
      <c r="Y1875" s="787"/>
      <c r="Z1875" s="791"/>
      <c r="AA1875" s="787"/>
      <c r="AB1875" s="787"/>
      <c r="AC1875" s="550"/>
      <c r="AD1875" s="550"/>
      <c r="AE1875" s="550"/>
      <c r="AF1875" s="550"/>
      <c r="AG1875" s="550"/>
      <c r="AH1875" s="550"/>
      <c r="AI1875" s="559"/>
      <c r="AJ1875" s="559"/>
      <c r="AK1875" s="559"/>
      <c r="AL1875" s="559"/>
      <c r="AM1875" s="559"/>
      <c r="AN1875" s="559"/>
      <c r="AO1875" s="559"/>
      <c r="AP1875" s="559"/>
      <c r="AQ1875" s="559"/>
      <c r="AR1875" s="559"/>
      <c r="AS1875" s="559"/>
    </row>
    <row r="1876" spans="1:45" s="420" customFormat="1" ht="30" customHeight="1" x14ac:dyDescent="0.25">
      <c r="A1876" s="2013">
        <f>IF(L1881=0,"",MAX($A$16:A1875)+1)</f>
        <v>134</v>
      </c>
      <c r="B1876" s="507" t="s">
        <v>1893</v>
      </c>
      <c r="C1876" s="257" t="s">
        <v>249</v>
      </c>
      <c r="D1876" s="866" t="s">
        <v>10</v>
      </c>
      <c r="E1876" s="1134">
        <v>46233</v>
      </c>
      <c r="F1876" s="71">
        <f>$L$7-E1876</f>
        <v>43</v>
      </c>
      <c r="G1876" s="11">
        <v>30</v>
      </c>
      <c r="H1876" s="11"/>
      <c r="I1876" s="11"/>
      <c r="J1876" s="1388"/>
      <c r="K1876" s="64">
        <f>IFERROR(SUMIF(INTAKE!$A:$A,$T1876,INTAKE!$P:$P),0)</f>
        <v>0</v>
      </c>
      <c r="L1876" s="1703">
        <f>+G1876+H1876+I1876-J1876-K1876</f>
        <v>30</v>
      </c>
      <c r="M1876" s="23"/>
      <c r="N1876" s="82"/>
      <c r="O1876" s="82"/>
      <c r="P1876" s="761"/>
      <c r="Q1876" s="795"/>
      <c r="R1876" s="785">
        <f>IFERROR(VLOOKUP($Q1876,'391'!$S:$Z,8,0),"")</f>
        <v>0</v>
      </c>
      <c r="S1876" s="786"/>
      <c r="T1876" s="787" t="str">
        <f>$Q$1881&amp;C1876&amp;E1876</f>
        <v>Premix MC0697GX3.146233</v>
      </c>
      <c r="U1876" s="787"/>
      <c r="V1876" s="787"/>
      <c r="W1876" s="785">
        <f>IFERROR(VLOOKUP($Q1876,'391'!$S:$AG,15,0),0)</f>
        <v>0</v>
      </c>
      <c r="X1876" s="1090">
        <f t="shared" si="1131"/>
        <v>30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14"/>
      <c r="B1877" s="507" t="s">
        <v>1954</v>
      </c>
      <c r="C1877" s="257" t="s">
        <v>249</v>
      </c>
      <c r="D1877" s="866" t="s">
        <v>10</v>
      </c>
      <c r="E1877" s="1134">
        <v>46262</v>
      </c>
      <c r="F1877" s="71">
        <f>$L$7-E1877</f>
        <v>14</v>
      </c>
      <c r="G1877" s="11">
        <v>30</v>
      </c>
      <c r="H1877" s="11"/>
      <c r="I1877" s="11"/>
      <c r="J1877" s="1388"/>
      <c r="K1877" s="64">
        <f>IFERROR(SUMIF(INTAKE!$A:$A,$T1877,INTAKE!$P:$P),0)</f>
        <v>0</v>
      </c>
      <c r="L1877" s="1703">
        <f>+G1877+H1877+I1877-J1877-K1877</f>
        <v>30</v>
      </c>
      <c r="M1877" s="23"/>
      <c r="N1877" s="82"/>
      <c r="O1877" s="82"/>
      <c r="P1877" s="761"/>
      <c r="Q1877" s="795"/>
      <c r="R1877" s="785">
        <f>IFERROR(VLOOKUP($Q1877,'391'!$S:$Z,8,0),"")</f>
        <v>0</v>
      </c>
      <c r="S1877" s="786"/>
      <c r="T1877" s="787" t="str">
        <f>$Q$1881&amp;C1877&amp;E1877</f>
        <v>Premix MC0697GX3.146262</v>
      </c>
      <c r="U1877" s="787"/>
      <c r="V1877" s="787"/>
      <c r="W1877" s="785">
        <f>IFERROR(VLOOKUP($Q1877,'391'!$S:$AG,15,0),0)</f>
        <v>0</v>
      </c>
      <c r="X1877" s="1090">
        <f t="shared" si="1131"/>
        <v>30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14"/>
      <c r="B1878" s="507" t="s">
        <v>2235</v>
      </c>
      <c r="C1878" s="257" t="s">
        <v>249</v>
      </c>
      <c r="D1878" s="866" t="s">
        <v>10</v>
      </c>
      <c r="E1878" s="1134">
        <v>46275</v>
      </c>
      <c r="F1878" s="71">
        <f>$L$7-E1878</f>
        <v>1</v>
      </c>
      <c r="G1878" s="11">
        <v>30</v>
      </c>
      <c r="H1878" s="11"/>
      <c r="I1878" s="11"/>
      <c r="J1878" s="1388"/>
      <c r="K1878" s="64">
        <f>IFERROR(SUMIF(INTAKE!$A:$A,$T1878,INTAKE!$P:$P),0)</f>
        <v>0</v>
      </c>
      <c r="L1878" s="1703">
        <f>+G1878+H1878+I1878-J1878-K1878</f>
        <v>30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$Q$1881&amp;C1878&amp;E1878</f>
        <v>Premix MC0697GX3.146275</v>
      </c>
      <c r="U1878" s="787"/>
      <c r="V1878" s="787"/>
      <c r="W1878" s="785">
        <f>IFERROR(VLOOKUP($Q1878,'391'!$S:$AG,15,0),0)</f>
        <v>0</v>
      </c>
      <c r="X1878" s="1090">
        <f t="shared" si="1131"/>
        <v>30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hidden="1" customHeight="1" x14ac:dyDescent="0.25">
      <c r="A1879" s="2014"/>
      <c r="B1879" s="507" t="s">
        <v>1602</v>
      </c>
      <c r="C1879" s="257"/>
      <c r="D1879" s="866" t="s">
        <v>10</v>
      </c>
      <c r="E1879" s="1134">
        <v>45814</v>
      </c>
      <c r="F1879" s="71">
        <f>$L$7-E1879</f>
        <v>462</v>
      </c>
      <c r="G1879" s="11">
        <v>0</v>
      </c>
      <c r="H1879" s="11"/>
      <c r="I1879" s="11"/>
      <c r="J1879" s="1388"/>
      <c r="K1879" s="64">
        <f>IFERROR(SUMIF(INTAKE!$A:$A,$T1879,INTAKE!$P:$P),0)</f>
        <v>0</v>
      </c>
      <c r="L1879" s="1703">
        <f>+G1879+H1879+I1879-J1879-K1879</f>
        <v>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$Q$1881&amp;C1879&amp;E1879</f>
        <v>Premix MC0697G45814</v>
      </c>
      <c r="U1879" s="787"/>
      <c r="V1879" s="787"/>
      <c r="W1879" s="785">
        <f>IFERROR(VLOOKUP($Q1879,'391'!$S:$AG,15,0),0)</f>
        <v>0</v>
      </c>
      <c r="X1879" s="1090">
        <f t="shared" si="1131"/>
        <v>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customHeight="1" x14ac:dyDescent="0.25">
      <c r="A1880" s="2015"/>
      <c r="B1880" s="1024" t="s">
        <v>1893</v>
      </c>
      <c r="C1880" s="126" t="s">
        <v>46</v>
      </c>
      <c r="D1880" s="884" t="s">
        <v>10</v>
      </c>
      <c r="E1880" s="1136">
        <v>46233</v>
      </c>
      <c r="F1880" s="71">
        <f>$L$7-E1880</f>
        <v>43</v>
      </c>
      <c r="G1880" s="37">
        <v>27.400000000000002</v>
      </c>
      <c r="H1880" s="37"/>
      <c r="I1880" s="37">
        <f>+SUM(K1876:K1879)</f>
        <v>0</v>
      </c>
      <c r="J1880" s="1385">
        <f>+usage!I247</f>
        <v>0</v>
      </c>
      <c r="K1880" s="64">
        <f>IFERROR(SUMIF(INTAKE!$A:$A,$T1880,INTAKE!$P:$P),0)</f>
        <v>0</v>
      </c>
      <c r="L1880" s="1534">
        <f>+G1880+H1880+I1880-J1880-K1880</f>
        <v>27.400000000000002</v>
      </c>
      <c r="M1880" s="40"/>
      <c r="N1880" s="84"/>
      <c r="O1880" s="40"/>
      <c r="P1880" s="756"/>
      <c r="Q1880" s="795"/>
      <c r="R1880" s="785">
        <f>IFERROR(VLOOKUP($Q1880,'391'!$S:$Z,8,0),"")</f>
        <v>0</v>
      </c>
      <c r="S1880" s="786"/>
      <c r="T1880" s="787" t="str">
        <f>$Q$1881&amp;C1880&amp;E1880</f>
        <v>Premix MC0697GFeedmill46233</v>
      </c>
      <c r="U1880" s="787"/>
      <c r="V1880" s="787"/>
      <c r="W1880" s="785">
        <f>IFERROR(VLOOKUP($Q1880,'391'!$S:$AG,15,0),0)</f>
        <v>0</v>
      </c>
      <c r="X1880" s="1090">
        <f t="shared" si="1131"/>
        <v>27.400000000000002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customHeight="1" x14ac:dyDescent="0.25">
      <c r="A1881" s="2011" t="s">
        <v>355</v>
      </c>
      <c r="B1881" s="2012"/>
      <c r="C1881" s="1033"/>
      <c r="D1881" s="1034"/>
      <c r="E1881" s="1127"/>
      <c r="F1881" s="1034"/>
      <c r="G1881" s="1422">
        <v>117.4</v>
      </c>
      <c r="H1881" s="1422">
        <f>SUM(H1876:H1880)</f>
        <v>0</v>
      </c>
      <c r="I1881" s="1422">
        <f>SUM(I1876:I1880)</f>
        <v>0</v>
      </c>
      <c r="J1881" s="1422">
        <f t="shared" ref="J1881:L1881" si="1142">SUM(J1876:J1880)</f>
        <v>0</v>
      </c>
      <c r="K1881" s="1422">
        <f t="shared" si="1142"/>
        <v>0</v>
      </c>
      <c r="L1881" s="1422">
        <f t="shared" si="1142"/>
        <v>117.4</v>
      </c>
      <c r="M1881" s="889">
        <f>IFERROR(R1881/$S$2,"")</f>
        <v>0</v>
      </c>
      <c r="N1881" s="854">
        <f>IFERROR(L1881/M1881,0)</f>
        <v>0</v>
      </c>
      <c r="O1881" s="889">
        <f>IFERROR(SUMIF(ETM!$A:$A,$Q1881,ETM!$E:$E),"")</f>
        <v>4</v>
      </c>
      <c r="P1881" s="880">
        <f>IFERROR(L1881/O1881,0)</f>
        <v>29.35</v>
      </c>
      <c r="Q1881" s="814" t="s">
        <v>640</v>
      </c>
      <c r="R1881" s="785">
        <f>IFERROR(VLOOKUP($Q1881,'391'!$S:$Z,8,0),"")</f>
        <v>0</v>
      </c>
      <c r="S1881" s="786"/>
      <c r="T1881" s="787"/>
      <c r="U1881" s="787"/>
      <c r="V1881" s="787"/>
      <c r="W1881" s="785">
        <f>IFERROR(VLOOKUP($Q1881,'391'!$S:$AG,15,0),0)</f>
        <v>87.4</v>
      </c>
      <c r="X1881" s="1090">
        <f t="shared" si="1131"/>
        <v>30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6" customFormat="1" ht="30" customHeight="1" x14ac:dyDescent="0.25">
      <c r="A1882" s="2194">
        <f>IF(L1899=0,"",MAX($A$16:A1881)+1)</f>
        <v>135</v>
      </c>
      <c r="B1882" s="2051" t="s">
        <v>508</v>
      </c>
      <c r="C1882" s="1181" t="s">
        <v>1598</v>
      </c>
      <c r="D1882" s="866" t="s">
        <v>10</v>
      </c>
      <c r="E1882" s="935">
        <v>46269</v>
      </c>
      <c r="F1882" s="71">
        <f t="shared" ref="F1882" si="1143">$L$7-E1882</f>
        <v>7</v>
      </c>
      <c r="G1882" s="64">
        <v>10000</v>
      </c>
      <c r="H1882" s="64"/>
      <c r="I1882" s="64"/>
      <c r="J1882" s="1367"/>
      <c r="K1882" s="64">
        <f>IFERROR(SUMIF(INTAKE!$A:$A,$T1882,INTAKE!$P:$P),0)</f>
        <v>1000</v>
      </c>
      <c r="L1882" s="1703">
        <f t="shared" ref="L1882:L1898" si="1144">+G1882+H1882+I1882-J1882-K1882</f>
        <v>9000</v>
      </c>
      <c r="M1882" s="51"/>
      <c r="N1882" s="51"/>
      <c r="O1882" s="51"/>
      <c r="P1882" s="737"/>
      <c r="Q1882" s="795"/>
      <c r="R1882" s="785">
        <f>IFERROR(VLOOKUP($Q1882,'391'!$S:$Z,8,0),"")</f>
        <v>0</v>
      </c>
      <c r="S1882" s="786"/>
      <c r="T1882" s="787" t="str">
        <f t="shared" ref="T1882:T1898" si="1145">$Q$1899&amp;C1882&amp;E1882</f>
        <v>MS SWINE 0314A18.446269</v>
      </c>
      <c r="U1882" s="787"/>
      <c r="V1882" s="787"/>
      <c r="W1882" s="785">
        <f>IFERROR(VLOOKUP($Q1882,'391'!$S:$AG,15,0),0)</f>
        <v>0</v>
      </c>
      <c r="X1882" s="1090">
        <f t="shared" si="1131"/>
        <v>10000</v>
      </c>
      <c r="Y1882" s="787"/>
      <c r="Z1882" s="791"/>
      <c r="AA1882" s="787"/>
      <c r="AB1882" s="787"/>
      <c r="AC1882" s="679"/>
      <c r="AD1882" s="679"/>
      <c r="AE1882" s="679"/>
      <c r="AF1882" s="679"/>
      <c r="AG1882" s="679"/>
      <c r="AH1882" s="679"/>
      <c r="AI1882" s="682"/>
      <c r="AJ1882" s="682"/>
      <c r="AK1882" s="682"/>
      <c r="AL1882" s="682"/>
      <c r="AM1882" s="682"/>
      <c r="AN1882" s="682"/>
      <c r="AO1882" s="682"/>
      <c r="AP1882" s="682"/>
      <c r="AQ1882" s="682"/>
      <c r="AR1882" s="682"/>
      <c r="AS1882" s="682"/>
    </row>
    <row r="1883" spans="1:45" s="6" customFormat="1" ht="30" customHeight="1" x14ac:dyDescent="0.25">
      <c r="A1883" s="2030"/>
      <c r="B1883" s="2073"/>
      <c r="C1883" s="1181" t="s">
        <v>510</v>
      </c>
      <c r="D1883" s="866" t="s">
        <v>10</v>
      </c>
      <c r="E1883" s="935">
        <v>46276</v>
      </c>
      <c r="F1883" s="71">
        <f t="shared" ref="F1883" si="1146">$L$7-E1883</f>
        <v>0</v>
      </c>
      <c r="G1883" s="64"/>
      <c r="H1883" s="64">
        <v>5000</v>
      </c>
      <c r="I1883" s="64"/>
      <c r="J1883" s="1367"/>
      <c r="K1883" s="64">
        <f>IFERROR(SUMIF(INTAKE!$A:$A,$T1883,INTAKE!$P:$P),0)</f>
        <v>0</v>
      </c>
      <c r="L1883" s="1703">
        <f t="shared" si="1144"/>
        <v>5000</v>
      </c>
      <c r="M1883" s="48"/>
      <c r="N1883" s="48"/>
      <c r="O1883" s="48"/>
      <c r="P1883" s="738"/>
      <c r="Q1883" s="795"/>
      <c r="R1883" s="785">
        <f>IFERROR(VLOOKUP($Q1883,'391'!$S:$Z,8,0),"")</f>
        <v>0</v>
      </c>
      <c r="S1883" s="786"/>
      <c r="T1883" s="787" t="str">
        <f t="shared" si="1145"/>
        <v>MS SWINE 0314A18.646276</v>
      </c>
      <c r="U1883" s="787"/>
      <c r="V1883" s="787"/>
      <c r="W1883" s="785">
        <f>IFERROR(VLOOKUP($Q1883,'391'!$S:$AG,15,0),0)</f>
        <v>0</v>
      </c>
      <c r="X1883" s="1090">
        <f t="shared" si="1131"/>
        <v>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hidden="1" customHeight="1" x14ac:dyDescent="0.25">
      <c r="A1884" s="2030"/>
      <c r="B1884" s="2073"/>
      <c r="C1884" s="1181"/>
      <c r="D1884" s="866" t="s">
        <v>10</v>
      </c>
      <c r="E1884" s="935">
        <v>46248</v>
      </c>
      <c r="F1884" s="71">
        <f t="shared" ref="F1884" si="1147">$L$7-E1884</f>
        <v>28</v>
      </c>
      <c r="G1884" s="64">
        <v>0</v>
      </c>
      <c r="H1884" s="64"/>
      <c r="I1884" s="64"/>
      <c r="J1884" s="1367"/>
      <c r="K1884" s="64">
        <f>IFERROR(SUMIF(INTAKE!$A:$A,$T1884,INTAKE!$P:$P),0)</f>
        <v>0</v>
      </c>
      <c r="L1884" s="1703">
        <f t="shared" si="1144"/>
        <v>0</v>
      </c>
      <c r="M1884" s="45"/>
      <c r="N1884" s="45"/>
      <c r="O1884" s="45"/>
      <c r="P1884" s="736"/>
      <c r="Q1884" s="795"/>
      <c r="R1884" s="785">
        <f>IFERROR(VLOOKUP($Q1884,'391'!$S:$Z,8,0),"")</f>
        <v>0</v>
      </c>
      <c r="S1884" s="786"/>
      <c r="T1884" s="787" t="str">
        <f t="shared" si="1145"/>
        <v>MS SWINE 031446248</v>
      </c>
      <c r="U1884" s="787"/>
      <c r="V1884" s="787"/>
      <c r="W1884" s="785">
        <f>IFERROR(VLOOKUP($Q1884,'391'!$S:$AG,15,0),0)</f>
        <v>0</v>
      </c>
      <c r="X1884" s="1090">
        <f t="shared" si="1131"/>
        <v>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hidden="1" customHeight="1" x14ac:dyDescent="0.25">
      <c r="A1885" s="2030"/>
      <c r="B1885" s="2077"/>
      <c r="C1885" s="1181"/>
      <c r="D1885" s="866" t="s">
        <v>10</v>
      </c>
      <c r="E1885" s="935">
        <v>46163</v>
      </c>
      <c r="F1885" s="71">
        <f t="shared" ref="F1885" si="1148">$L$7-E1885</f>
        <v>113</v>
      </c>
      <c r="G1885" s="64">
        <v>0</v>
      </c>
      <c r="H1885" s="64"/>
      <c r="I1885" s="64"/>
      <c r="J1885" s="1367"/>
      <c r="K1885" s="64">
        <f>IFERROR(SUMIF(INTAKE!$A:$A,$T1885,INTAKE!$P:$P),0)</f>
        <v>0</v>
      </c>
      <c r="L1885" s="1703">
        <f t="shared" si="1144"/>
        <v>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45"/>
        <v>MS SWINE 031446163</v>
      </c>
      <c r="U1885" s="787"/>
      <c r="V1885" s="787"/>
      <c r="W1885" s="785">
        <f>IFERROR(VLOOKUP($Q1885,'391'!$S:$AG,15,0),0)</f>
        <v>0</v>
      </c>
      <c r="X1885" s="1090">
        <f t="shared" si="1131"/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30"/>
      <c r="B1886" s="2077"/>
      <c r="C1886" s="1181"/>
      <c r="D1886" s="866" t="s">
        <v>10</v>
      </c>
      <c r="E1886" s="935">
        <v>46163</v>
      </c>
      <c r="F1886" s="71">
        <f t="shared" ref="F1886" si="1149">$L$7-E1886</f>
        <v>113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3">
        <f t="shared" si="1144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45"/>
        <v>MS SWINE 031446163</v>
      </c>
      <c r="U1886" s="787"/>
      <c r="V1886" s="787"/>
      <c r="W1886" s="785">
        <f>IFERROR(VLOOKUP($Q1886,'391'!$S:$AG,15,0),0)</f>
        <v>0</v>
      </c>
      <c r="X1886" s="1090">
        <f t="shared" ref="X1886:X1887" si="1150">G1886-W1886</f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30"/>
      <c r="B1887" s="2077"/>
      <c r="C1887" s="1181"/>
      <c r="D1887" s="866" t="s">
        <v>10</v>
      </c>
      <c r="E1887" s="935">
        <v>46141</v>
      </c>
      <c r="F1887" s="71">
        <f t="shared" ref="F1887:F1888" si="1151">$L$7-E1887</f>
        <v>135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3">
        <f t="shared" ref="L1887" si="1152">+G1887+H1887+I1887-J1887-K1887</f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45"/>
        <v>MS SWINE 031446141</v>
      </c>
      <c r="U1887" s="787"/>
      <c r="V1887" s="787"/>
      <c r="W1887" s="785">
        <f>IFERROR(VLOOKUP($Q1887,'391'!$S:$AG,15,0),0)</f>
        <v>0</v>
      </c>
      <c r="X1887" s="1090">
        <f t="shared" si="1150"/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30"/>
      <c r="B1888" s="2077"/>
      <c r="C1888" s="1181"/>
      <c r="D1888" s="866" t="s">
        <v>10</v>
      </c>
      <c r="E1888" s="935">
        <v>46150</v>
      </c>
      <c r="F1888" s="71">
        <f t="shared" si="1151"/>
        <v>126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3">
        <f t="shared" ref="L1888" si="1153">+G1888+H1888+I1888-J1888-K1888</f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45"/>
        <v>MS SWINE 031446150</v>
      </c>
      <c r="U1888" s="787"/>
      <c r="V1888" s="787"/>
      <c r="W1888" s="785">
        <f>IFERROR(VLOOKUP($Q1888,'391'!$S:$AG,15,0),0)</f>
        <v>0</v>
      </c>
      <c r="X1888" s="1090">
        <f t="shared" si="1131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30"/>
      <c r="B1889" s="2077"/>
      <c r="C1889" s="1181"/>
      <c r="D1889" s="866" t="s">
        <v>10</v>
      </c>
      <c r="E1889" s="935">
        <v>46150</v>
      </c>
      <c r="F1889" s="71">
        <f t="shared" ref="F1889" si="1154">$L$7-E1889</f>
        <v>126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3">
        <f t="shared" si="1144"/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45"/>
        <v>MS SWINE 031446150</v>
      </c>
      <c r="U1889" s="787"/>
      <c r="V1889" s="787"/>
      <c r="W1889" s="785">
        <f>IFERROR(VLOOKUP($Q1889,'391'!$S:$AG,15,0),0)</f>
        <v>0</v>
      </c>
      <c r="X1889" s="1090">
        <f t="shared" ref="X1889:X1896" si="1155">G1889-W1889</f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30"/>
      <c r="B1890" s="2077"/>
      <c r="C1890" s="1181"/>
      <c r="D1890" s="866" t="s">
        <v>10</v>
      </c>
      <c r="E1890" s="935">
        <v>46031</v>
      </c>
      <c r="F1890" s="71">
        <f t="shared" ref="F1890" si="1156">$L$7-E1890</f>
        <v>245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3">
        <f t="shared" ref="L1890:L1894" si="1157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45"/>
        <v>MS SWINE 031446031</v>
      </c>
      <c r="U1890" s="787"/>
      <c r="V1890" s="787"/>
      <c r="W1890" s="785">
        <f>IFERROR(VLOOKUP($Q1890,'391'!$S:$AG,15,0),0)</f>
        <v>0</v>
      </c>
      <c r="X1890" s="1090">
        <f t="shared" si="1155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30"/>
      <c r="B1891" s="2077"/>
      <c r="C1891" s="1181"/>
      <c r="D1891" s="866" t="s">
        <v>10</v>
      </c>
      <c r="E1891" s="935">
        <v>46022</v>
      </c>
      <c r="F1891" s="71">
        <f t="shared" ref="F1891:F1892" si="1158">$L$7-E1891</f>
        <v>254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3">
        <f t="shared" si="1157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45"/>
        <v>MS SWINE 031446022</v>
      </c>
      <c r="U1891" s="787"/>
      <c r="V1891" s="787"/>
      <c r="W1891" s="785">
        <f>IFERROR(VLOOKUP($Q1891,'391'!$S:$AG,15,0),0)</f>
        <v>0</v>
      </c>
      <c r="X1891" s="1090">
        <f t="shared" ref="X1891:X1894" si="1159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30"/>
      <c r="B1892" s="2077"/>
      <c r="C1892" s="1181"/>
      <c r="D1892" s="866" t="s">
        <v>10</v>
      </c>
      <c r="E1892" s="935">
        <v>46017</v>
      </c>
      <c r="F1892" s="71">
        <f t="shared" si="1158"/>
        <v>259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3">
        <f t="shared" si="1157"/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45"/>
        <v>MS SWINE 031446017</v>
      </c>
      <c r="U1892" s="787"/>
      <c r="V1892" s="787"/>
      <c r="W1892" s="785">
        <f>IFERROR(VLOOKUP($Q1892,'391'!$S:$AG,15,0),0)</f>
        <v>0</v>
      </c>
      <c r="X1892" s="1090">
        <f t="shared" si="1159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30"/>
      <c r="B1893" s="2077"/>
      <c r="C1893" s="1181"/>
      <c r="D1893" s="866" t="s">
        <v>10</v>
      </c>
      <c r="E1893" s="935">
        <v>46017</v>
      </c>
      <c r="F1893" s="71">
        <f t="shared" ref="F1893:F1894" si="1160">$L$7-E1893</f>
        <v>259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3">
        <f t="shared" si="1157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45"/>
        <v>MS SWINE 031446017</v>
      </c>
      <c r="U1893" s="787"/>
      <c r="V1893" s="787"/>
      <c r="W1893" s="785">
        <f>IFERROR(VLOOKUP($Q1893,'391'!$S:$AG,15,0),0)</f>
        <v>0</v>
      </c>
      <c r="X1893" s="1090">
        <f t="shared" si="1159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30"/>
      <c r="B1894" s="2077"/>
      <c r="C1894" s="1181"/>
      <c r="D1894" s="866" t="s">
        <v>10</v>
      </c>
      <c r="E1894" s="935">
        <v>45995</v>
      </c>
      <c r="F1894" s="71">
        <f t="shared" si="1160"/>
        <v>281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3">
        <f t="shared" si="1157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45"/>
        <v>MS SWINE 031445995</v>
      </c>
      <c r="U1894" s="787"/>
      <c r="V1894" s="787"/>
      <c r="W1894" s="785">
        <f>IFERROR(VLOOKUP($Q1894,'391'!$S:$AG,15,0),0)</f>
        <v>0</v>
      </c>
      <c r="X1894" s="1090">
        <f t="shared" si="1159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30"/>
      <c r="B1895" s="2077"/>
      <c r="C1895" s="1181"/>
      <c r="D1895" s="866" t="s">
        <v>10</v>
      </c>
      <c r="E1895" s="935">
        <v>45995</v>
      </c>
      <c r="F1895" s="71">
        <f t="shared" ref="F1895" si="1161">$L$7-E1895</f>
        <v>281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3">
        <f t="shared" si="1144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45"/>
        <v>MS SWINE 031445995</v>
      </c>
      <c r="U1895" s="787"/>
      <c r="V1895" s="787"/>
      <c r="W1895" s="785">
        <f>IFERROR(VLOOKUP($Q1895,'391'!$S:$AG,15,0),0)</f>
        <v>0</v>
      </c>
      <c r="X1895" s="1090">
        <f t="shared" ref="X1895" si="1162">G1895-W1895</f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30"/>
      <c r="B1896" s="2077"/>
      <c r="C1896" s="1181"/>
      <c r="D1896" s="866" t="s">
        <v>10</v>
      </c>
      <c r="E1896" s="935">
        <v>45995</v>
      </c>
      <c r="F1896" s="71">
        <f t="shared" ref="F1896" si="1163">$L$7-E1896</f>
        <v>281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3">
        <f t="shared" ref="L1896" si="1164">+G1896+H1896+I1896-J1896-K1896</f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45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55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30"/>
      <c r="B1897" s="2073"/>
      <c r="C1897" s="1181"/>
      <c r="D1897" s="866" t="s">
        <v>10</v>
      </c>
      <c r="E1897" s="935">
        <v>45987</v>
      </c>
      <c r="F1897" s="71">
        <f t="shared" ref="F1897:F1898" si="1165">$L$7-E1897</f>
        <v>289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3">
        <f t="shared" si="1144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45"/>
        <v>MS SWINE 031445987</v>
      </c>
      <c r="U1897" s="787"/>
      <c r="V1897" s="787"/>
      <c r="W1897" s="785">
        <f>IFERROR(VLOOKUP($Q1897,'391'!$S:$AG,15,0),0)</f>
        <v>0</v>
      </c>
      <c r="X1897" s="1090">
        <f t="shared" si="1131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customHeight="1" x14ac:dyDescent="0.25">
      <c r="A1898" s="2030"/>
      <c r="B1898" s="2052"/>
      <c r="C1898" s="61" t="s">
        <v>46</v>
      </c>
      <c r="D1898" s="863" t="s">
        <v>10</v>
      </c>
      <c r="E1898" s="934">
        <v>46269</v>
      </c>
      <c r="F1898" s="71">
        <f t="shared" si="1165"/>
        <v>7</v>
      </c>
      <c r="G1898" s="37">
        <v>221.58000000000095</v>
      </c>
      <c r="H1898" s="37"/>
      <c r="I1898" s="37">
        <f>+SUM(K1882:K1897)</f>
        <v>1000</v>
      </c>
      <c r="J1898" s="1385">
        <f>+usage!I244</f>
        <v>619.9</v>
      </c>
      <c r="K1898" s="64">
        <f>IFERROR(SUMIF(INTAKE!$A:$A,$T1898,INTAKE!$P:$P),0)</f>
        <v>0</v>
      </c>
      <c r="L1898" s="1534">
        <f t="shared" si="1144"/>
        <v>601.68000000000086</v>
      </c>
      <c r="M1898" s="35"/>
      <c r="N1898" s="35"/>
      <c r="O1898" s="35"/>
      <c r="P1898" s="740"/>
      <c r="Q1898" s="795"/>
      <c r="R1898" s="785">
        <f>IFERROR(VLOOKUP($Q1898,'391'!$S:$Z,8,0),"")</f>
        <v>0</v>
      </c>
      <c r="S1898" s="786"/>
      <c r="T1898" s="787" t="str">
        <f t="shared" si="1145"/>
        <v>MS SWINE 0314Feedmill46269</v>
      </c>
      <c r="U1898" s="787"/>
      <c r="V1898" s="787"/>
      <c r="W1898" s="785">
        <f>IFERROR(VLOOKUP($Q1898,'391'!$S:$AG,15,0),0)</f>
        <v>0</v>
      </c>
      <c r="X1898" s="1090">
        <f t="shared" si="1131"/>
        <v>221.58000000000095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420" customFormat="1" ht="30" customHeight="1" x14ac:dyDescent="0.25">
      <c r="A1899" s="2027" t="s">
        <v>1430</v>
      </c>
      <c r="B1899" s="2028"/>
      <c r="C1899" s="1033"/>
      <c r="D1899" s="1034"/>
      <c r="E1899" s="1127"/>
      <c r="F1899" s="1034"/>
      <c r="G1899" s="1422">
        <v>10221.580000000002</v>
      </c>
      <c r="H1899" s="1422">
        <f t="shared" ref="H1899:I1899" si="1166">SUM(H1882:H1898)</f>
        <v>5000</v>
      </c>
      <c r="I1899" s="1422">
        <f t="shared" si="1166"/>
        <v>1000</v>
      </c>
      <c r="J1899" s="1422">
        <f t="shared" ref="J1899:L1899" si="1167">SUM(J1882:J1898)</f>
        <v>619.9</v>
      </c>
      <c r="K1899" s="1422">
        <f t="shared" si="1167"/>
        <v>1000</v>
      </c>
      <c r="L1899" s="1422">
        <f t="shared" si="1167"/>
        <v>14601.68</v>
      </c>
      <c r="M1899" s="59">
        <f>IFERROR(R1899/$S$2,"")</f>
        <v>778.67111111111114</v>
      </c>
      <c r="N1899" s="854">
        <f>(L1899/M1899)</f>
        <v>18.752050501994852</v>
      </c>
      <c r="O1899" s="59">
        <f>IFERROR(SUMIF(ETM!$A:$A,$Q1899,ETM!$E:$E),"")</f>
        <v>768.16666666666663</v>
      </c>
      <c r="P1899" s="880">
        <f>IFERROR(L1899/O1899,0)</f>
        <v>19.008479062703408</v>
      </c>
      <c r="Q1899" s="814" t="s">
        <v>633</v>
      </c>
      <c r="R1899" s="785">
        <f>IFERROR(VLOOKUP($Q1899,'391'!$S:$Z,8,0),"")</f>
        <v>3504.02</v>
      </c>
      <c r="S1899" s="786"/>
      <c r="T1899" s="787"/>
      <c r="U1899" s="787"/>
      <c r="V1899" s="787"/>
      <c r="W1899" s="785">
        <f>IFERROR(VLOOKUP($Q1899,'391'!$S:$AG,15,0),0)</f>
        <v>13528.4</v>
      </c>
      <c r="X1899" s="1090">
        <f t="shared" si="1131"/>
        <v>-3306.8199999999979</v>
      </c>
      <c r="Y1899" s="787"/>
      <c r="Z1899" s="791"/>
      <c r="AA1899" s="787"/>
      <c r="AB1899" s="787"/>
      <c r="AC1899" s="550"/>
      <c r="AD1899" s="550"/>
      <c r="AE1899" s="550"/>
      <c r="AF1899" s="550"/>
      <c r="AG1899" s="550"/>
      <c r="AH1899" s="550"/>
      <c r="AI1899" s="559"/>
      <c r="AJ1899" s="559"/>
      <c r="AK1899" s="559"/>
      <c r="AL1899" s="559"/>
      <c r="AM1899" s="559"/>
      <c r="AN1899" s="559"/>
      <c r="AO1899" s="559"/>
      <c r="AP1899" s="559"/>
      <c r="AQ1899" s="559"/>
      <c r="AR1899" s="559"/>
      <c r="AS1899" s="559"/>
    </row>
    <row r="1900" spans="1:45" s="6" customFormat="1" ht="30" hidden="1" customHeight="1" x14ac:dyDescent="0.25">
      <c r="A1900" s="2194" t="str">
        <f>IF(L1905=0,"",MAX($A$16:A1899)+1)</f>
        <v/>
      </c>
      <c r="B1900" s="393" t="s">
        <v>1603</v>
      </c>
      <c r="C1900" s="1181"/>
      <c r="D1900" s="866" t="s">
        <v>10</v>
      </c>
      <c r="E1900" s="935">
        <v>45821</v>
      </c>
      <c r="F1900" s="71">
        <f>$L$7-E1900</f>
        <v>455</v>
      </c>
      <c r="G1900" s="64">
        <v>0</v>
      </c>
      <c r="H1900" s="64"/>
      <c r="I1900" s="64"/>
      <c r="J1900" s="1367"/>
      <c r="K1900" s="64">
        <f>IFERROR(SUMIF(INTAKE!$A:$A,$T1900,INTAKE!$P:$P),0)</f>
        <v>0</v>
      </c>
      <c r="L1900" s="1703">
        <f>+G1900+H1900+I1900-J1900-K1900</f>
        <v>0</v>
      </c>
      <c r="M1900" s="51"/>
      <c r="N1900" s="51"/>
      <c r="O1900" s="51"/>
      <c r="P1900" s="737"/>
      <c r="Q1900" s="795"/>
      <c r="R1900" s="785">
        <f>IFERROR(VLOOKUP($Q1900,'391'!$S:$Z,8,0),"")</f>
        <v>0</v>
      </c>
      <c r="S1900" s="786"/>
      <c r="T1900" s="787" t="str">
        <f>$Q$1905&amp;C1900&amp;E1900</f>
        <v>Premix CORR ABS45821</v>
      </c>
      <c r="U1900" s="787"/>
      <c r="V1900" s="787"/>
      <c r="W1900" s="785">
        <f>IFERROR(VLOOKUP($Q1900,'391'!$S:$AG,15,0),0)</f>
        <v>0</v>
      </c>
      <c r="X1900" s="1090">
        <f t="shared" si="1131"/>
        <v>0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6" customFormat="1" ht="30" hidden="1" customHeight="1" x14ac:dyDescent="0.25">
      <c r="A1901" s="2030"/>
      <c r="B1901" s="393" t="s">
        <v>1603</v>
      </c>
      <c r="C1901" s="1181" t="s">
        <v>1597</v>
      </c>
      <c r="D1901" s="866" t="s">
        <v>10</v>
      </c>
      <c r="E1901" s="935">
        <v>45821</v>
      </c>
      <c r="F1901" s="71">
        <f>$L$7-E1901</f>
        <v>455</v>
      </c>
      <c r="G1901" s="64">
        <v>0</v>
      </c>
      <c r="H1901" s="64"/>
      <c r="I1901" s="64"/>
      <c r="J1901" s="1367"/>
      <c r="K1901" s="64">
        <f>IFERROR(SUMIF(INTAKE!$A:$A,$T1901,INTAKE!$P:$P),0)</f>
        <v>0</v>
      </c>
      <c r="L1901" s="1703">
        <f>+G1901+H1901+I1901-J1901-K1901</f>
        <v>0</v>
      </c>
      <c r="M1901" s="48"/>
      <c r="N1901" s="48"/>
      <c r="O1901" s="48"/>
      <c r="P1901" s="738"/>
      <c r="Q1901" s="795"/>
      <c r="R1901" s="785">
        <f>IFERROR(VLOOKUP($Q1901,'391'!$S:$Z,8,0),"")</f>
        <v>0</v>
      </c>
      <c r="S1901" s="786"/>
      <c r="T1901" s="787" t="str">
        <f>$Q$1905&amp;C1901&amp;E1901</f>
        <v>Premix CORR ABSX6.245821</v>
      </c>
      <c r="U1901" s="787"/>
      <c r="V1901" s="787"/>
      <c r="W1901" s="785">
        <f>IFERROR(VLOOKUP($Q1901,'391'!$S:$AG,15,0),0)</f>
        <v>0</v>
      </c>
      <c r="X1901" s="1090">
        <f t="shared" si="1131"/>
        <v>0</v>
      </c>
      <c r="Y1901" s="787"/>
      <c r="Z1901" s="791"/>
      <c r="AA1901" s="787"/>
      <c r="AB1901" s="787"/>
      <c r="AC1901" s="679"/>
      <c r="AD1901" s="679"/>
      <c r="AE1901" s="679"/>
      <c r="AF1901" s="679"/>
      <c r="AG1901" s="679"/>
      <c r="AH1901" s="679"/>
      <c r="AI1901" s="682"/>
      <c r="AJ1901" s="682"/>
      <c r="AK1901" s="682"/>
      <c r="AL1901" s="682"/>
      <c r="AM1901" s="682"/>
      <c r="AN1901" s="682"/>
      <c r="AO1901" s="682"/>
      <c r="AP1901" s="682"/>
      <c r="AQ1901" s="682"/>
      <c r="AR1901" s="682"/>
      <c r="AS1901" s="682"/>
    </row>
    <row r="1902" spans="1:45" s="6" customFormat="1" ht="30" hidden="1" customHeight="1" x14ac:dyDescent="0.25">
      <c r="A1902" s="2030"/>
      <c r="B1902" s="393" t="s">
        <v>1603</v>
      </c>
      <c r="C1902" s="1181"/>
      <c r="D1902" s="866" t="s">
        <v>10</v>
      </c>
      <c r="E1902" s="935">
        <v>45821</v>
      </c>
      <c r="F1902" s="71">
        <f>$L$7-E1902</f>
        <v>455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3">
        <f>+G1902+H1902+I1902-J1902-K1902</f>
        <v>0</v>
      </c>
      <c r="M1902" s="45"/>
      <c r="N1902" s="45"/>
      <c r="O1902" s="45"/>
      <c r="P1902" s="736"/>
      <c r="Q1902" s="795"/>
      <c r="R1902" s="785">
        <f>IFERROR(VLOOKUP($Q1902,'391'!$S:$Z,8,0),"")</f>
        <v>0</v>
      </c>
      <c r="S1902" s="786"/>
      <c r="T1902" s="787" t="str">
        <f>$Q$1905&amp;C1902&amp;E1902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31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30"/>
      <c r="B1903" s="393" t="s">
        <v>1591</v>
      </c>
      <c r="C1903" s="1181"/>
      <c r="D1903" s="866" t="s">
        <v>10</v>
      </c>
      <c r="E1903" s="935">
        <v>45799</v>
      </c>
      <c r="F1903" s="71">
        <f>$L$7-E1903</f>
        <v>477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534">
        <f>+G1903+H1903+I1903-J1903-K1903</f>
        <v>0</v>
      </c>
      <c r="M1903" s="45"/>
      <c r="N1903" s="45"/>
      <c r="O1903" s="45"/>
      <c r="P1903" s="736"/>
      <c r="Q1903" s="795"/>
      <c r="R1903" s="785">
        <f>IFERROR(VLOOKUP($Q1903,'391'!$S:$Z,8,0),"")</f>
        <v>0</v>
      </c>
      <c r="S1903" s="786"/>
      <c r="T1903" s="787" t="str">
        <f>$Q$1905&amp;C1903&amp;E1903</f>
        <v>Premix CORR ABS45799</v>
      </c>
      <c r="U1903" s="787"/>
      <c r="V1903" s="787"/>
      <c r="W1903" s="785">
        <f>IFERROR(VLOOKUP($Q1903,'391'!$S:$AG,15,0),0)</f>
        <v>0</v>
      </c>
      <c r="X1903" s="1090">
        <f t="shared" si="1131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30"/>
      <c r="B1904" s="1497" t="s">
        <v>1603</v>
      </c>
      <c r="C1904" s="61" t="s">
        <v>46</v>
      </c>
      <c r="D1904" s="863" t="s">
        <v>10</v>
      </c>
      <c r="E1904" s="934">
        <v>45821</v>
      </c>
      <c r="F1904" s="71">
        <f>$L$7-E1904</f>
        <v>455</v>
      </c>
      <c r="G1904" s="37">
        <v>0</v>
      </c>
      <c r="H1904" s="37"/>
      <c r="I1904" s="37">
        <f>+SUM(K1900:K1902)</f>
        <v>0</v>
      </c>
      <c r="J1904" s="1385">
        <f>usage!I249</f>
        <v>0</v>
      </c>
      <c r="K1904" s="64">
        <f>IFERROR(SUMIF(INTAKE!$A:$A,$T1904,INTAKE!$P:$P),0)</f>
        <v>0</v>
      </c>
      <c r="L1904" s="1534">
        <f>+G1904+H1904+I1904-J1904-K1904</f>
        <v>0</v>
      </c>
      <c r="M1904" s="35"/>
      <c r="N1904" s="35"/>
      <c r="O1904" s="35"/>
      <c r="P1904" s="740"/>
      <c r="Q1904" s="795"/>
      <c r="R1904" s="785">
        <f>IFERROR(VLOOKUP($Q1904,'391'!$S:$Z,8,0),"")</f>
        <v>0</v>
      </c>
      <c r="S1904" s="786"/>
      <c r="T1904" s="787" t="str">
        <f>$Q$1905&amp;C1904&amp;E1904</f>
        <v>Premix CORR ABSFeedmill45821</v>
      </c>
      <c r="U1904" s="787"/>
      <c r="V1904" s="787"/>
      <c r="W1904" s="785">
        <f>IFERROR(VLOOKUP($Q1904,'391'!$S:$AG,15,0),0)</f>
        <v>0</v>
      </c>
      <c r="X1904" s="1090">
        <f t="shared" si="1131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420" customFormat="1" ht="30" hidden="1" customHeight="1" x14ac:dyDescent="0.25">
      <c r="A1905" s="2027" t="s">
        <v>1431</v>
      </c>
      <c r="B1905" s="2028"/>
      <c r="C1905" s="1033"/>
      <c r="D1905" s="1034"/>
      <c r="E1905" s="1127"/>
      <c r="F1905" s="1034"/>
      <c r="G1905" s="1422">
        <v>0</v>
      </c>
      <c r="H1905" s="1422">
        <f t="shared" ref="H1905:I1905" si="1168">SUM(H1900:H1904)</f>
        <v>0</v>
      </c>
      <c r="I1905" s="1422">
        <f t="shared" si="1168"/>
        <v>0</v>
      </c>
      <c r="J1905" s="1422">
        <f t="shared" ref="J1905:L1905" si="1169">SUM(J1900:J1904)</f>
        <v>0</v>
      </c>
      <c r="K1905" s="1422">
        <f t="shared" si="1169"/>
        <v>0</v>
      </c>
      <c r="L1905" s="1422">
        <f t="shared" si="1169"/>
        <v>0</v>
      </c>
      <c r="M1905" s="59" t="str">
        <f>IFERROR(R1905/$S$2,"")</f>
        <v/>
      </c>
      <c r="N1905" s="854">
        <f>IFERROR(L1905/M1905,0)</f>
        <v>0</v>
      </c>
      <c r="O1905" s="59">
        <f>IFERROR(SUMIF(ETM!$A:$A,$Q1905,ETM!$E:$E),"")</f>
        <v>0</v>
      </c>
      <c r="P1905" s="880">
        <f>IFERROR(L1905/O1905,0)</f>
        <v>0</v>
      </c>
      <c r="Q1905" s="814" t="s">
        <v>1429</v>
      </c>
      <c r="R1905" s="785" t="str">
        <f>IFERROR(VLOOKUP($Q1905,'391'!$S:$Z,8,0),"")</f>
        <v/>
      </c>
      <c r="S1905" s="786"/>
      <c r="T1905" s="787"/>
      <c r="U1905" s="787"/>
      <c r="V1905" s="787"/>
      <c r="W1905" s="785">
        <f>IFERROR(VLOOKUP($Q1905,'391'!$S:$AG,15,0),0)</f>
        <v>0</v>
      </c>
      <c r="X1905" s="1090">
        <f t="shared" si="1131"/>
        <v>0</v>
      </c>
      <c r="Y1905" s="787"/>
      <c r="Z1905" s="791"/>
      <c r="AA1905" s="787"/>
      <c r="AB1905" s="787"/>
      <c r="AC1905" s="550"/>
      <c r="AD1905" s="550"/>
      <c r="AE1905" s="550"/>
      <c r="AF1905" s="550"/>
      <c r="AG1905" s="550"/>
      <c r="AH1905" s="550"/>
      <c r="AI1905" s="559"/>
      <c r="AJ1905" s="559"/>
      <c r="AK1905" s="559"/>
      <c r="AL1905" s="559"/>
      <c r="AM1905" s="559"/>
      <c r="AN1905" s="559"/>
      <c r="AO1905" s="559"/>
      <c r="AP1905" s="559"/>
      <c r="AQ1905" s="559"/>
      <c r="AR1905" s="559"/>
      <c r="AS1905" s="559"/>
    </row>
    <row r="1906" spans="1:45" s="6" customFormat="1" ht="30" hidden="1" customHeight="1" x14ac:dyDescent="0.25">
      <c r="A1906" s="2018" t="str">
        <f>IF(L1908=0,"",MAX($A$16:A1902)+1)</f>
        <v/>
      </c>
      <c r="B1906" s="1762" t="s">
        <v>1607</v>
      </c>
      <c r="C1906" s="186"/>
      <c r="D1906" s="866" t="s">
        <v>10</v>
      </c>
      <c r="E1906" s="935">
        <v>45835</v>
      </c>
      <c r="F1906" s="71">
        <f>$L$7-E1906</f>
        <v>441</v>
      </c>
      <c r="G1906" s="11">
        <v>0</v>
      </c>
      <c r="H1906" s="11"/>
      <c r="I1906" s="1306"/>
      <c r="J1906" s="1442"/>
      <c r="K1906" s="64">
        <f>IFERROR(SUMIF(INTAKE!$A:$A,$T1906,INTAKE!$P:$P),0)</f>
        <v>0</v>
      </c>
      <c r="L1906" s="1703">
        <f t="shared" ref="L1906:L1907" si="1170">+G1906+H1906+I1906-J1906-K1906</f>
        <v>0</v>
      </c>
      <c r="M1906" s="1732"/>
      <c r="N1906" s="920"/>
      <c r="O1906" s="1732"/>
      <c r="P1906" s="1733"/>
      <c r="Q1906" s="795"/>
      <c r="R1906" s="785">
        <f>IFERROR(VLOOKUP($Q1906,'391'!$S:$Z,8,0),"")</f>
        <v>0</v>
      </c>
      <c r="S1906" s="786"/>
      <c r="T1906" s="787" t="str">
        <f>$Q$1908&amp;C1906&amp;E1906</f>
        <v>Premix VP PP45835</v>
      </c>
      <c r="U1906" s="787"/>
      <c r="V1906" s="787"/>
      <c r="W1906" s="785">
        <f>IFERROR(VLOOKUP($Q1906,'391'!$S:$AG,15,0),0)</f>
        <v>0</v>
      </c>
      <c r="X1906" s="1090">
        <f t="shared" si="1131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6" customFormat="1" ht="30" hidden="1" customHeight="1" x14ac:dyDescent="0.25">
      <c r="A1907" s="2019"/>
      <c r="B1907" s="1497" t="s">
        <v>1607</v>
      </c>
      <c r="C1907" s="144" t="s">
        <v>46</v>
      </c>
      <c r="D1907" s="866" t="s">
        <v>10</v>
      </c>
      <c r="E1907" s="934">
        <v>45835</v>
      </c>
      <c r="F1907" s="71">
        <f>$L$7-E1907</f>
        <v>441</v>
      </c>
      <c r="G1907" s="37">
        <v>0</v>
      </c>
      <c r="H1907" s="37"/>
      <c r="I1907" s="37">
        <f>+K1906</f>
        <v>0</v>
      </c>
      <c r="J1907" s="1385">
        <f>usage!I250</f>
        <v>0</v>
      </c>
      <c r="K1907" s="1835"/>
      <c r="L1907" s="1534">
        <f t="shared" si="1170"/>
        <v>0</v>
      </c>
      <c r="M1907" s="1736"/>
      <c r="N1907" s="1737"/>
      <c r="O1907" s="1738"/>
      <c r="P1907" s="1739"/>
      <c r="Q1907" s="795"/>
      <c r="R1907" s="785">
        <f>IFERROR(VLOOKUP($Q1907,'391'!$S:$Z,8,0),"")</f>
        <v>0</v>
      </c>
      <c r="S1907" s="786"/>
      <c r="T1907" s="787" t="str">
        <f>$Q$1908&amp;C1907&amp;E1907</f>
        <v>Premix VP PPFeedmill45835</v>
      </c>
      <c r="U1907" s="787"/>
      <c r="V1907" s="787"/>
      <c r="W1907" s="785">
        <f>IFERROR(VLOOKUP($Q1907,'391'!$S:$AG,15,0),0)</f>
        <v>0</v>
      </c>
      <c r="X1907" s="1090">
        <f t="shared" si="1131"/>
        <v>0</v>
      </c>
      <c r="Y1907" s="787"/>
      <c r="Z1907" s="791"/>
      <c r="AA1907" s="787"/>
      <c r="AB1907" s="787"/>
      <c r="AC1907" s="679"/>
      <c r="AD1907" s="679"/>
      <c r="AE1907" s="679"/>
      <c r="AF1907" s="679"/>
      <c r="AG1907" s="679"/>
      <c r="AH1907" s="679"/>
      <c r="AI1907" s="682"/>
      <c r="AJ1907" s="682"/>
      <c r="AK1907" s="682"/>
      <c r="AL1907" s="682"/>
      <c r="AM1907" s="682"/>
      <c r="AN1907" s="682"/>
      <c r="AO1907" s="682"/>
      <c r="AP1907" s="682"/>
      <c r="AQ1907" s="682"/>
      <c r="AR1907" s="682"/>
      <c r="AS1907" s="682"/>
    </row>
    <row r="1908" spans="1:45" s="420" customFormat="1" ht="30" hidden="1" customHeight="1" x14ac:dyDescent="0.25">
      <c r="A1908" s="2011" t="s">
        <v>1502</v>
      </c>
      <c r="B1908" s="2012"/>
      <c r="C1908" s="125"/>
      <c r="D1908" s="1027"/>
      <c r="E1908" s="1131"/>
      <c r="F1908" s="896"/>
      <c r="G1908" s="1422">
        <v>0</v>
      </c>
      <c r="H1908" s="1422">
        <f t="shared" ref="H1908:I1908" si="1171">SUM(H1906:H1907)</f>
        <v>0</v>
      </c>
      <c r="I1908" s="1422">
        <f t="shared" si="1171"/>
        <v>0</v>
      </c>
      <c r="J1908" s="1422">
        <f t="shared" ref="J1908:L1908" si="1172">SUM(J1906:J1907)</f>
        <v>0</v>
      </c>
      <c r="K1908" s="1422">
        <f t="shared" si="1172"/>
        <v>0</v>
      </c>
      <c r="L1908" s="1422">
        <f t="shared" si="1172"/>
        <v>0</v>
      </c>
      <c r="M1908" s="59" t="str">
        <f>IFERROR(R1908/$S$2,"")</f>
        <v/>
      </c>
      <c r="N1908" s="854">
        <f>IFERROR(L1908/M1908,0)</f>
        <v>0</v>
      </c>
      <c r="O1908" s="59">
        <f>IFERROR(SUMIF(ETM!$A:$A,$Q1908,ETM!$E:$E),"")</f>
        <v>0</v>
      </c>
      <c r="P1908" s="880">
        <f>IFERROR(L1908/O1908,0)</f>
        <v>0</v>
      </c>
      <c r="Q1908" s="1731" t="s">
        <v>1507</v>
      </c>
      <c r="R1908" s="785" t="str">
        <f>IFERROR(VLOOKUP($Q1908,'391'!$S:$Z,8,0),"")</f>
        <v/>
      </c>
      <c r="S1908" s="786"/>
      <c r="T1908" s="787"/>
      <c r="U1908" s="787"/>
      <c r="V1908" s="787"/>
      <c r="W1908" s="785">
        <f>IFERROR(VLOOKUP($Q1908,'391'!$S:$AG,15,0),0)</f>
        <v>0</v>
      </c>
      <c r="X1908" s="1090">
        <f t="shared" si="1131"/>
        <v>0</v>
      </c>
      <c r="Y1908" s="787"/>
      <c r="Z1908" s="791"/>
      <c r="AA1908" s="787"/>
      <c r="AB1908" s="787"/>
      <c r="AC1908" s="550"/>
      <c r="AD1908" s="550"/>
      <c r="AE1908" s="550"/>
      <c r="AF1908" s="550"/>
      <c r="AG1908" s="550"/>
      <c r="AH1908" s="550"/>
      <c r="AI1908" s="559"/>
      <c r="AJ1908" s="559"/>
      <c r="AK1908" s="559"/>
      <c r="AL1908" s="559"/>
      <c r="AM1908" s="559"/>
      <c r="AN1908" s="559"/>
      <c r="AO1908" s="559"/>
      <c r="AP1908" s="559"/>
      <c r="AQ1908" s="559"/>
      <c r="AR1908" s="559"/>
      <c r="AS1908" s="559"/>
    </row>
    <row r="1909" spans="1:45" s="6" customFormat="1" ht="30" hidden="1" customHeight="1" x14ac:dyDescent="0.25">
      <c r="A1909" s="2018" t="str">
        <f>IF(L1911=0,"",MAX($A$16:A1908)+1)</f>
        <v/>
      </c>
      <c r="B1909" s="1762" t="s">
        <v>1608</v>
      </c>
      <c r="C1909" s="186"/>
      <c r="D1909" s="866" t="s">
        <v>10</v>
      </c>
      <c r="E1909" s="935">
        <v>45835</v>
      </c>
      <c r="F1909" s="71">
        <f>$L$7-E1909</f>
        <v>441</v>
      </c>
      <c r="G1909" s="11">
        <v>0</v>
      </c>
      <c r="H1909" s="11"/>
      <c r="I1909" s="1306"/>
      <c r="J1909" s="1442"/>
      <c r="K1909" s="64">
        <f>IFERROR(SUMIF(INTAKE!$A:$A,$T1909,INTAKE!$P:$P),0)</f>
        <v>0</v>
      </c>
      <c r="L1909" s="1703">
        <f t="shared" ref="L1909:L1930" si="1173">+G1909+H1909+I1909-J1909-K1909</f>
        <v>0</v>
      </c>
      <c r="M1909" s="66"/>
      <c r="N1909" s="920"/>
      <c r="O1909" s="1732"/>
      <c r="P1909" s="1733"/>
      <c r="Q1909" s="795"/>
      <c r="R1909" s="785">
        <f>IFERROR(VLOOKUP($Q1909,'391'!$S:$Z,8,0),"")</f>
        <v>0</v>
      </c>
      <c r="S1909" s="786"/>
      <c r="T1909" s="787" t="str">
        <f>$Q$1911&amp;C1909&amp;E1909</f>
        <v>Premix MD-010345835</v>
      </c>
      <c r="U1909" s="787"/>
      <c r="V1909" s="787"/>
      <c r="W1909" s="785">
        <f>IFERROR(VLOOKUP($Q1909,'391'!$S:$AG,15,0),0)</f>
        <v>0</v>
      </c>
      <c r="X1909" s="1090">
        <f t="shared" si="1131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6" customFormat="1" ht="30" hidden="1" customHeight="1" x14ac:dyDescent="0.25">
      <c r="A1910" s="2019"/>
      <c r="B1910" s="1497" t="s">
        <v>1608</v>
      </c>
      <c r="C1910" s="144" t="s">
        <v>46</v>
      </c>
      <c r="D1910" s="866" t="s">
        <v>10</v>
      </c>
      <c r="E1910" s="934">
        <v>45835</v>
      </c>
      <c r="F1910" s="71">
        <f>$L$7-E1910</f>
        <v>441</v>
      </c>
      <c r="G1910" s="37">
        <v>0</v>
      </c>
      <c r="H1910" s="37"/>
      <c r="I1910" s="37">
        <f>+K1909</f>
        <v>0</v>
      </c>
      <c r="J1910" s="1385"/>
      <c r="K1910" s="1835"/>
      <c r="L1910" s="1534">
        <f t="shared" si="1173"/>
        <v>0</v>
      </c>
      <c r="M1910" s="381"/>
      <c r="N1910" s="1734"/>
      <c r="O1910" s="1735"/>
      <c r="P1910" s="1011"/>
      <c r="Q1910" s="795"/>
      <c r="R1910" s="785">
        <f>IFERROR(VLOOKUP($Q1910,'391'!$S:$Z,8,0),"")</f>
        <v>0</v>
      </c>
      <c r="S1910" s="786"/>
      <c r="T1910" s="787" t="str">
        <f>$Q$1911&amp;C1910&amp;E1910</f>
        <v>Premix MD-0103Feedmill45835</v>
      </c>
      <c r="U1910" s="787"/>
      <c r="V1910" s="787"/>
      <c r="W1910" s="785">
        <f>IFERROR(VLOOKUP($Q1910,'391'!$S:$AG,15,0),0)</f>
        <v>0</v>
      </c>
      <c r="X1910" s="1090">
        <f t="shared" si="1131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420" customFormat="1" ht="30" hidden="1" customHeight="1" x14ac:dyDescent="0.25">
      <c r="A1911" s="2011" t="s">
        <v>1503</v>
      </c>
      <c r="B1911" s="2012"/>
      <c r="C1911" s="125"/>
      <c r="D1911" s="1027"/>
      <c r="E1911" s="1131"/>
      <c r="F1911" s="896"/>
      <c r="G1911" s="1422">
        <v>0</v>
      </c>
      <c r="H1911" s="1422">
        <f t="shared" ref="H1911:I1911" si="1174">SUM(H1909:H1910)</f>
        <v>0</v>
      </c>
      <c r="I1911" s="1422">
        <f t="shared" si="1174"/>
        <v>0</v>
      </c>
      <c r="J1911" s="1422">
        <f t="shared" ref="J1911:L1911" si="1175">SUM(J1909:J1910)</f>
        <v>0</v>
      </c>
      <c r="K1911" s="1422">
        <f t="shared" si="1175"/>
        <v>0</v>
      </c>
      <c r="L1911" s="1422">
        <f t="shared" si="1175"/>
        <v>0</v>
      </c>
      <c r="M1911" s="59" t="str">
        <f>IFERROR(R1911/$S$2,"")</f>
        <v/>
      </c>
      <c r="N1911" s="854">
        <f>IFERROR(L1911/M1911,0)</f>
        <v>0</v>
      </c>
      <c r="O1911" s="59">
        <f>IFERROR(SUMIF(ETM!$A:$A,$Q1911,ETM!$E:$E),"")</f>
        <v>0</v>
      </c>
      <c r="P1911" s="880">
        <f>IFERROR(L1911/O1911,0)</f>
        <v>0</v>
      </c>
      <c r="Q1911" s="795" t="s">
        <v>1506</v>
      </c>
      <c r="R1911" s="785" t="str">
        <f>IFERROR(VLOOKUP($Q1911,'391'!$S:$Z,8,0),"")</f>
        <v/>
      </c>
      <c r="S1911" s="786"/>
      <c r="T1911" s="787"/>
      <c r="U1911" s="787"/>
      <c r="V1911" s="787"/>
      <c r="W1911" s="785">
        <f>IFERROR(VLOOKUP($Q1911,'391'!$S:$AG,15,0),0)</f>
        <v>0</v>
      </c>
      <c r="X1911" s="1090">
        <f t="shared" si="1131"/>
        <v>0</v>
      </c>
      <c r="Y1911" s="787"/>
      <c r="Z1911" s="791"/>
      <c r="AA1911" s="787"/>
      <c r="AB1911" s="787"/>
      <c r="AC1911" s="550"/>
      <c r="AD1911" s="550"/>
      <c r="AE1911" s="550"/>
      <c r="AF1911" s="550"/>
      <c r="AG1911" s="550"/>
      <c r="AH1911" s="550"/>
      <c r="AI1911" s="559"/>
      <c r="AJ1911" s="559"/>
      <c r="AK1911" s="559"/>
      <c r="AL1911" s="559"/>
      <c r="AM1911" s="559"/>
      <c r="AN1911" s="559"/>
      <c r="AO1911" s="559"/>
      <c r="AP1911" s="559"/>
      <c r="AQ1911" s="559"/>
      <c r="AR1911" s="559"/>
      <c r="AS1911" s="559"/>
    </row>
    <row r="1912" spans="1:45" s="6" customFormat="1" ht="30" hidden="1" customHeight="1" x14ac:dyDescent="0.25">
      <c r="A1912" s="2013" t="str">
        <f>IF(L1917=0,"",MAX($A$16:A1911)+1)</f>
        <v/>
      </c>
      <c r="B1912" s="391" t="s">
        <v>1839</v>
      </c>
      <c r="C1912" s="240"/>
      <c r="D1912" s="866" t="s">
        <v>10</v>
      </c>
      <c r="E1912" s="1134">
        <v>46192</v>
      </c>
      <c r="F1912" s="71">
        <f>$L$7-E1912</f>
        <v>84</v>
      </c>
      <c r="G1912" s="1435">
        <v>0</v>
      </c>
      <c r="H1912" s="64"/>
      <c r="I1912" s="64"/>
      <c r="J1912" s="1367"/>
      <c r="K1912" s="64">
        <f>IFERROR(SUMIF(INTAKE!$A:$A,$T1912,INTAKE!$P:$P),0)</f>
        <v>0</v>
      </c>
      <c r="L1912" s="1703">
        <f t="shared" si="1173"/>
        <v>0</v>
      </c>
      <c r="M1912" s="20"/>
      <c r="N1912" s="196"/>
      <c r="O1912" s="20"/>
      <c r="P1912" s="762"/>
      <c r="Q1912" s="795"/>
      <c r="R1912" s="785">
        <f>IFERROR(VLOOKUP($Q1912,'391'!$S:$Z,8,0),"")</f>
        <v>0</v>
      </c>
      <c r="S1912" s="786"/>
      <c r="T1912" s="787" t="str">
        <f>$Q$1917&amp;C1912&amp;E1912</f>
        <v>Premix EP0246192</v>
      </c>
      <c r="U1912" s="787"/>
      <c r="V1912" s="787"/>
      <c r="W1912" s="785">
        <f>IFERROR(VLOOKUP($Q1912,'391'!$S:$AG,15,0),0)</f>
        <v>0</v>
      </c>
      <c r="X1912" s="1090">
        <f t="shared" si="1131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6" customFormat="1" ht="30" hidden="1" customHeight="1" x14ac:dyDescent="0.25">
      <c r="A1913" s="2014"/>
      <c r="B1913" s="391" t="s">
        <v>1862</v>
      </c>
      <c r="C1913" s="240"/>
      <c r="D1913" s="866" t="s">
        <v>10</v>
      </c>
      <c r="E1913" s="1134">
        <v>46213</v>
      </c>
      <c r="F1913" s="71">
        <f>$L$7-E1913</f>
        <v>63</v>
      </c>
      <c r="G1913" s="1435">
        <v>0</v>
      </c>
      <c r="H1913" s="64"/>
      <c r="I1913" s="64"/>
      <c r="J1913" s="1367"/>
      <c r="K1913" s="64">
        <f>IFERROR(SUMIF(INTAKE!$A:$A,$T1913,INTAKE!$P:$P),0)</f>
        <v>0</v>
      </c>
      <c r="L1913" s="1703">
        <f t="shared" si="1173"/>
        <v>0</v>
      </c>
      <c r="M1913" s="101"/>
      <c r="N1913" s="249"/>
      <c r="O1913" s="101"/>
      <c r="P1913" s="750"/>
      <c r="Q1913" s="795"/>
      <c r="R1913" s="785">
        <f>IFERROR(VLOOKUP($Q1913,'391'!$S:$Z,8,0),"")</f>
        <v>0</v>
      </c>
      <c r="S1913" s="786"/>
      <c r="T1913" s="787" t="str">
        <f>$Q$1917&amp;C1913&amp;E1913</f>
        <v>Premix EP0246213</v>
      </c>
      <c r="U1913" s="787"/>
      <c r="V1913" s="787"/>
      <c r="W1913" s="785">
        <f>IFERROR(VLOOKUP($Q1913,'391'!$S:$AG,15,0),0)</f>
        <v>0</v>
      </c>
      <c r="X1913" s="1090">
        <f t="shared" si="1131"/>
        <v>0</v>
      </c>
      <c r="Y1913" s="787"/>
      <c r="Z1913" s="791"/>
      <c r="AA1913" s="787"/>
      <c r="AB1913" s="787"/>
      <c r="AC1913" s="679"/>
      <c r="AD1913" s="679"/>
      <c r="AE1913" s="679"/>
      <c r="AF1913" s="679"/>
      <c r="AG1913" s="679"/>
      <c r="AH1913" s="679"/>
      <c r="AI1913" s="682"/>
      <c r="AJ1913" s="682"/>
      <c r="AK1913" s="682"/>
      <c r="AL1913" s="682"/>
      <c r="AM1913" s="682"/>
      <c r="AN1913" s="682"/>
      <c r="AO1913" s="682"/>
      <c r="AP1913" s="682"/>
      <c r="AQ1913" s="682"/>
      <c r="AR1913" s="682"/>
      <c r="AS1913" s="682"/>
    </row>
    <row r="1914" spans="1:45" s="6" customFormat="1" ht="30" hidden="1" customHeight="1" x14ac:dyDescent="0.25">
      <c r="A1914" s="2014"/>
      <c r="B1914" s="391" t="s">
        <v>1735</v>
      </c>
      <c r="C1914" s="240"/>
      <c r="D1914" s="866" t="s">
        <v>10</v>
      </c>
      <c r="E1914" s="1134">
        <v>46038</v>
      </c>
      <c r="F1914" s="71">
        <f>$L$7-E1914</f>
        <v>238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3">
        <f t="shared" si="1173"/>
        <v>0</v>
      </c>
      <c r="M1914" s="101"/>
      <c r="N1914" s="249"/>
      <c r="O1914" s="101"/>
      <c r="P1914" s="750"/>
      <c r="Q1914" s="795"/>
      <c r="R1914" s="785">
        <f>IFERROR(VLOOKUP($Q1914,'391'!$S:$Z,8,0),"")</f>
        <v>0</v>
      </c>
      <c r="S1914" s="786"/>
      <c r="T1914" s="787" t="str">
        <f>$Q$1917&amp;C1914&amp;E1914</f>
        <v>Premix EP0246038</v>
      </c>
      <c r="U1914" s="787"/>
      <c r="V1914" s="787"/>
      <c r="W1914" s="785">
        <f>IFERROR(VLOOKUP($Q1914,'391'!$S:$AG,15,0),0)</f>
        <v>0</v>
      </c>
      <c r="X1914" s="1090">
        <f t="shared" si="1131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14"/>
      <c r="B1915" s="391" t="s">
        <v>1735</v>
      </c>
      <c r="C1915" s="240"/>
      <c r="D1915" s="866" t="s">
        <v>10</v>
      </c>
      <c r="E1915" s="1134">
        <v>46038</v>
      </c>
      <c r="F1915" s="71">
        <f>$L$7-E1915</f>
        <v>238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3">
        <f t="shared" si="1173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$Q$1917&amp;C1915&amp;E1915</f>
        <v>Premix EP0246038</v>
      </c>
      <c r="U1915" s="787"/>
      <c r="V1915" s="787"/>
      <c r="W1915" s="785">
        <f>IFERROR(VLOOKUP($Q1915,'391'!$S:$AG,15,0),0)</f>
        <v>0</v>
      </c>
      <c r="X1915" s="1090">
        <f t="shared" si="1131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406" customFormat="1" ht="30" hidden="1" customHeight="1" x14ac:dyDescent="0.25">
      <c r="A1916" s="2015"/>
      <c r="B1916" s="1025" t="s">
        <v>1862</v>
      </c>
      <c r="C1916" s="199" t="s">
        <v>46</v>
      </c>
      <c r="D1916" s="863" t="s">
        <v>10</v>
      </c>
      <c r="E1916" s="1123">
        <v>46213</v>
      </c>
      <c r="F1916" s="71">
        <f>$L$7-E1916</f>
        <v>63</v>
      </c>
      <c r="G1916" s="1434">
        <v>0</v>
      </c>
      <c r="H1916" s="37"/>
      <c r="I1916" s="37">
        <f>+SUM(K1912:K1915)</f>
        <v>0</v>
      </c>
      <c r="J1916" s="1385">
        <f>+usage!I223</f>
        <v>0</v>
      </c>
      <c r="K1916" s="64">
        <f>IFERROR(SUMIF(INTAKE!$A:$A,$T1916,INTAKE!$P:$P),0)</f>
        <v>0</v>
      </c>
      <c r="L1916" s="1715">
        <f t="shared" si="1173"/>
        <v>0</v>
      </c>
      <c r="M1916" s="35"/>
      <c r="N1916" s="87"/>
      <c r="O1916" s="35"/>
      <c r="P1916" s="751"/>
      <c r="Q1916" s="795"/>
      <c r="R1916" s="785">
        <f>IFERROR(VLOOKUP($Q1916,'391'!$S:$Z,8,0),"")</f>
        <v>0</v>
      </c>
      <c r="S1916" s="786"/>
      <c r="T1916" s="787" t="str">
        <f>$Q$1917&amp;C1916&amp;E1916</f>
        <v>Premix EP02Feedmill46213</v>
      </c>
      <c r="U1916" s="787"/>
      <c r="V1916" s="787"/>
      <c r="W1916" s="785">
        <f>IFERROR(VLOOKUP($Q1916,'391'!$S:$AG,15,0),0)</f>
        <v>0</v>
      </c>
      <c r="X1916" s="1090">
        <f t="shared" si="1131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420" customFormat="1" ht="30" hidden="1" customHeight="1" x14ac:dyDescent="0.25">
      <c r="A1917" s="2011" t="s">
        <v>38</v>
      </c>
      <c r="B1917" s="2012"/>
      <c r="C1917" s="125"/>
      <c r="D1917" s="1027"/>
      <c r="E1917" s="1131"/>
      <c r="F1917" s="896"/>
      <c r="G1917" s="1422">
        <v>0</v>
      </c>
      <c r="H1917" s="1422">
        <f>SUM(H1912:H1916)</f>
        <v>0</v>
      </c>
      <c r="I1917" s="1422">
        <f>+SUM(I1912:I1916)</f>
        <v>0</v>
      </c>
      <c r="J1917" s="1422">
        <f t="shared" ref="J1917:K1917" si="1176">SUM(J1912:J1916)</f>
        <v>0</v>
      </c>
      <c r="K1917" s="1422">
        <f t="shared" si="1176"/>
        <v>0</v>
      </c>
      <c r="L1917" s="1422">
        <f t="shared" si="1173"/>
        <v>0</v>
      </c>
      <c r="M1917" s="889" t="str">
        <f>IFERROR(R1917/$S$2,"")</f>
        <v/>
      </c>
      <c r="N1917" s="854">
        <f>IFERROR(L1917/M1917,0)</f>
        <v>0</v>
      </c>
      <c r="O1917" s="889">
        <f>IFERROR(SUMIF(ETM!$A:$A,$Q1917,ETM!$E:$E),"")</f>
        <v>0</v>
      </c>
      <c r="P1917" s="880">
        <f>IFERROR(L1917/O1917,0)</f>
        <v>0</v>
      </c>
      <c r="Q1917" s="814" t="s">
        <v>632</v>
      </c>
      <c r="R1917" s="785" t="str">
        <f>IFERROR(VLOOKUP($Q1917,'391'!$S:$Z,8,0),"")</f>
        <v/>
      </c>
      <c r="S1917" s="786"/>
      <c r="T1917" s="787"/>
      <c r="U1917" s="787"/>
      <c r="V1917" s="787"/>
      <c r="W1917" s="785">
        <f>IFERROR(VLOOKUP($Q1917,'391'!$S:$AG,15,0),0)</f>
        <v>0</v>
      </c>
      <c r="X1917" s="1090">
        <f t="shared" si="1131"/>
        <v>0</v>
      </c>
      <c r="Y1917" s="787"/>
      <c r="Z1917" s="791"/>
      <c r="AA1917" s="787"/>
      <c r="AB1917" s="787"/>
      <c r="AC1917" s="550"/>
      <c r="AD1917" s="550"/>
      <c r="AE1917" s="550"/>
      <c r="AF1917" s="550"/>
      <c r="AG1917" s="550"/>
      <c r="AH1917" s="550"/>
      <c r="AI1917" s="559"/>
      <c r="AJ1917" s="559"/>
      <c r="AK1917" s="559"/>
      <c r="AL1917" s="559"/>
      <c r="AM1917" s="559"/>
      <c r="AN1917" s="559"/>
      <c r="AO1917" s="559"/>
      <c r="AP1917" s="559"/>
      <c r="AQ1917" s="559"/>
      <c r="AR1917" s="559"/>
      <c r="AS1917" s="559"/>
    </row>
    <row r="1918" spans="1:45" s="6" customFormat="1" ht="30" customHeight="1" x14ac:dyDescent="0.25">
      <c r="A1918" s="2190">
        <f>IF(L1931=0,"",MAX($A$16:A1917)+1)</f>
        <v>136</v>
      </c>
      <c r="B1918" s="390" t="s">
        <v>1951</v>
      </c>
      <c r="C1918" s="237" t="s">
        <v>265</v>
      </c>
      <c r="D1918" s="866" t="s">
        <v>10</v>
      </c>
      <c r="E1918" s="1134">
        <v>46262</v>
      </c>
      <c r="F1918" s="71">
        <f t="shared" ref="F1918:F1920" si="1177">$L$7-E1918</f>
        <v>14</v>
      </c>
      <c r="G1918" s="11">
        <v>1050</v>
      </c>
      <c r="H1918" s="63"/>
      <c r="I1918" s="12"/>
      <c r="J1918" s="1369"/>
      <c r="K1918" s="64">
        <f>IFERROR(SUMIF(INTAKE!$A:$A,$T1918,INTAKE!$P:$P),0)</f>
        <v>1050</v>
      </c>
      <c r="L1918" s="1703">
        <f t="shared" si="1173"/>
        <v>0</v>
      </c>
      <c r="M1918" s="147"/>
      <c r="N1918" s="248"/>
      <c r="O1918" s="147"/>
      <c r="P1918" s="748"/>
      <c r="Q1918" s="795"/>
      <c r="R1918" s="785">
        <f>IFERROR(VLOOKUP($Q1918,'391'!$S:$Z,8,0),"")</f>
        <v>0</v>
      </c>
      <c r="S1918" s="786"/>
      <c r="T1918" s="787" t="str">
        <f t="shared" ref="T1918:T1930" si="1178">$Q$1931&amp;C1918&amp;E1918</f>
        <v>Premix RED 2%Z5.346262</v>
      </c>
      <c r="U1918" s="787"/>
      <c r="V1918" s="787"/>
      <c r="W1918" s="785">
        <f>IFERROR(VLOOKUP($Q1918,'391'!$S:$AG,15,0),0)</f>
        <v>0</v>
      </c>
      <c r="X1918" s="1090">
        <f t="shared" si="1131"/>
        <v>1050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6" customFormat="1" ht="30" customHeight="1" x14ac:dyDescent="0.25">
      <c r="A1919" s="2007"/>
      <c r="B1919" s="390" t="s">
        <v>1982</v>
      </c>
      <c r="C1919" s="237" t="s">
        <v>1905</v>
      </c>
      <c r="D1919" s="866" t="s">
        <v>10</v>
      </c>
      <c r="E1919" s="1134">
        <v>46270</v>
      </c>
      <c r="F1919" s="71">
        <f t="shared" si="1177"/>
        <v>6</v>
      </c>
      <c r="G1919" s="11">
        <v>1050</v>
      </c>
      <c r="H1919" s="63"/>
      <c r="I1919" s="12"/>
      <c r="J1919" s="1369"/>
      <c r="K1919" s="64">
        <f>IFERROR(SUMIF(INTAKE!$A:$A,$T1919,INTAKE!$P:$P),0)</f>
        <v>0</v>
      </c>
      <c r="L1919" s="1703">
        <f t="shared" si="1173"/>
        <v>1050</v>
      </c>
      <c r="M1919" s="101"/>
      <c r="N1919" s="249"/>
      <c r="O1919" s="101"/>
      <c r="P1919" s="750"/>
      <c r="Q1919" s="795"/>
      <c r="R1919" s="785">
        <f>IFERROR(VLOOKUP($Q1919,'391'!$S:$Z,8,0),"")</f>
        <v>0</v>
      </c>
      <c r="S1919" s="786"/>
      <c r="T1919" s="787" t="str">
        <f t="shared" si="1178"/>
        <v>Premix RED 2%Z7.246270</v>
      </c>
      <c r="U1919" s="787"/>
      <c r="V1919" s="787"/>
      <c r="W1919" s="785">
        <f>IFERROR(VLOOKUP($Q1919,'391'!$S:$AG,15,0),0)</f>
        <v>0</v>
      </c>
      <c r="X1919" s="1090">
        <f t="shared" si="1131"/>
        <v>1050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customHeight="1" x14ac:dyDescent="0.25">
      <c r="A1920" s="2008"/>
      <c r="B1920" s="390" t="s">
        <v>1982</v>
      </c>
      <c r="C1920" s="237" t="s">
        <v>1895</v>
      </c>
      <c r="D1920" s="866" t="s">
        <v>10</v>
      </c>
      <c r="E1920" s="1134">
        <v>46270</v>
      </c>
      <c r="F1920" s="71">
        <f t="shared" si="1177"/>
        <v>6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3">
        <f t="shared" si="1173"/>
        <v>1050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78"/>
        <v>Premix RED 2%Z6.346270</v>
      </c>
      <c r="U1920" s="787"/>
      <c r="V1920" s="787"/>
      <c r="W1920" s="785">
        <f>IFERROR(VLOOKUP($Q1920,'391'!$S:$AG,15,0),0)</f>
        <v>0</v>
      </c>
      <c r="X1920" s="1090">
        <f t="shared" si="1131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08"/>
      <c r="B1921" s="390" t="s">
        <v>2228</v>
      </c>
      <c r="C1921" s="237" t="s">
        <v>265</v>
      </c>
      <c r="D1921" s="866" t="s">
        <v>10</v>
      </c>
      <c r="E1921" s="1134">
        <v>46275</v>
      </c>
      <c r="F1921" s="71">
        <f t="shared" ref="F1921" si="1179">$L$7-E1921</f>
        <v>1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3">
        <f t="shared" si="1173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78"/>
        <v>Premix RED 2%Z5.346275</v>
      </c>
      <c r="U1921" s="787"/>
      <c r="V1921" s="787"/>
      <c r="W1921" s="785">
        <f>IFERROR(VLOOKUP($Q1921,'391'!$S:$AG,15,0),0)</f>
        <v>0</v>
      </c>
      <c r="X1921" s="1090">
        <f t="shared" si="1131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8"/>
      <c r="B1922" s="390" t="s">
        <v>2228</v>
      </c>
      <c r="C1922" s="237" t="s">
        <v>1860</v>
      </c>
      <c r="D1922" s="866" t="s">
        <v>10</v>
      </c>
      <c r="E1922" s="1134">
        <v>46275</v>
      </c>
      <c r="F1922" s="71">
        <f t="shared" ref="F1922" si="1180">$L$7-E1922</f>
        <v>1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3">
        <f t="shared" si="1173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78"/>
        <v>Premix RED 2%Z4.346275</v>
      </c>
      <c r="U1922" s="787"/>
      <c r="V1922" s="787"/>
      <c r="W1922" s="785">
        <f>IFERROR(VLOOKUP($Q1922,'391'!$S:$AG,15,0),0)</f>
        <v>0</v>
      </c>
      <c r="X1922" s="1090">
        <f t="shared" si="1131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08"/>
      <c r="B1923" s="390" t="s">
        <v>1951</v>
      </c>
      <c r="C1923" s="237"/>
      <c r="D1923" s="866" t="s">
        <v>10</v>
      </c>
      <c r="E1923" s="1134">
        <v>46262</v>
      </c>
      <c r="F1923" s="71">
        <f t="shared" ref="F1923" si="1181">$L$7-E1923</f>
        <v>14</v>
      </c>
      <c r="G1923" s="11">
        <v>0</v>
      </c>
      <c r="H1923" s="63"/>
      <c r="I1923" s="12"/>
      <c r="J1923" s="1369"/>
      <c r="K1923" s="64">
        <f>IFERROR(SUMIF(INTAKE!$A:$A,$T1923,INTAKE!$P:$P),0)</f>
        <v>0</v>
      </c>
      <c r="L1923" s="1703">
        <f t="shared" si="1173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78"/>
        <v>Premix RED 2%46262</v>
      </c>
      <c r="U1923" s="787"/>
      <c r="V1923" s="787"/>
      <c r="W1923" s="785">
        <f>IFERROR(VLOOKUP($Q1923,'391'!$S:$AG,15,0),0)</f>
        <v>0</v>
      </c>
      <c r="X1923" s="1090">
        <f t="shared" si="1131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hidden="1" customHeight="1" x14ac:dyDescent="0.25">
      <c r="A1924" s="2008"/>
      <c r="B1924" s="390" t="s">
        <v>1853</v>
      </c>
      <c r="C1924" s="237"/>
      <c r="D1924" s="866" t="s">
        <v>10</v>
      </c>
      <c r="E1924" s="1134">
        <v>46213</v>
      </c>
      <c r="F1924" s="71">
        <f t="shared" ref="F1924" si="1182">$L$7-E1924</f>
        <v>63</v>
      </c>
      <c r="G1924" s="11">
        <v>0</v>
      </c>
      <c r="H1924" s="63"/>
      <c r="I1924" s="12"/>
      <c r="J1924" s="1369"/>
      <c r="K1924" s="64">
        <f>IFERROR(SUMIF(INTAKE!$A:$A,$T1924,INTAKE!$P:$P),0)</f>
        <v>0</v>
      </c>
      <c r="L1924" s="1703">
        <f t="shared" si="1173"/>
        <v>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78"/>
        <v>Premix RED 2%46213</v>
      </c>
      <c r="U1924" s="787"/>
      <c r="V1924" s="787"/>
      <c r="W1924" s="785">
        <f>IFERROR(VLOOKUP($Q1924,'391'!$S:$AG,15,0),0)</f>
        <v>0</v>
      </c>
      <c r="X1924" s="1090">
        <f t="shared" si="1131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08"/>
      <c r="B1925" s="390" t="s">
        <v>1752</v>
      </c>
      <c r="C1925" s="237"/>
      <c r="D1925" s="866" t="s">
        <v>10</v>
      </c>
      <c r="E1925" s="1134">
        <v>46066</v>
      </c>
      <c r="F1925" s="71">
        <f t="shared" ref="F1925" si="1183">$L$7-E1925</f>
        <v>210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703">
        <f t="shared" si="1173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78"/>
        <v>Premix RED 2%46066</v>
      </c>
      <c r="U1925" s="787"/>
      <c r="V1925" s="787"/>
      <c r="W1925" s="785">
        <f>IFERROR(VLOOKUP($Q1925,'391'!$S:$AG,15,0),0)</f>
        <v>0</v>
      </c>
      <c r="X1925" s="1090">
        <f t="shared" si="1131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08"/>
      <c r="B1926" s="390" t="s">
        <v>1752</v>
      </c>
      <c r="C1926" s="237"/>
      <c r="D1926" s="866" t="s">
        <v>10</v>
      </c>
      <c r="E1926" s="1134">
        <v>46066</v>
      </c>
      <c r="F1926" s="71">
        <f t="shared" ref="F1926:F1929" si="1184">$L$7-E1926</f>
        <v>210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3">
        <f t="shared" si="1173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78"/>
        <v>Premix RED 2%46066</v>
      </c>
      <c r="U1926" s="787"/>
      <c r="V1926" s="787"/>
      <c r="W1926" s="785">
        <f>IFERROR(VLOOKUP($Q1926,'391'!$S:$AG,15,0),0)</f>
        <v>0</v>
      </c>
      <c r="X1926" s="1090">
        <f t="shared" si="1131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8"/>
      <c r="B1927" s="390" t="s">
        <v>1444</v>
      </c>
      <c r="C1927" s="237"/>
      <c r="D1927" s="866" t="s">
        <v>10</v>
      </c>
      <c r="E1927" s="1134">
        <v>45491</v>
      </c>
      <c r="F1927" s="71">
        <f t="shared" si="1184"/>
        <v>785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534">
        <f t="shared" si="1173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78"/>
        <v>Premix RED 2%45491</v>
      </c>
      <c r="U1927" s="787"/>
      <c r="V1927" s="787"/>
      <c r="W1927" s="785">
        <f>IFERROR(VLOOKUP($Q1927,'391'!$S:$AG,15,0),0)</f>
        <v>0</v>
      </c>
      <c r="X1927" s="1090">
        <f t="shared" si="1131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8"/>
      <c r="B1928" s="390" t="s">
        <v>1432</v>
      </c>
      <c r="C1928" s="237"/>
      <c r="D1928" s="866" t="s">
        <v>10</v>
      </c>
      <c r="E1928" s="1134">
        <v>45450</v>
      </c>
      <c r="F1928" s="71">
        <f t="shared" si="1184"/>
        <v>826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534">
        <f t="shared" si="1173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78"/>
        <v>Premix RED 2%45450</v>
      </c>
      <c r="U1928" s="787"/>
      <c r="V1928" s="787"/>
      <c r="W1928" s="785">
        <f>IFERROR(VLOOKUP($Q1928,'391'!$S:$AG,15,0),0)</f>
        <v>0</v>
      </c>
      <c r="X1928" s="1090">
        <f t="shared" si="1131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8"/>
      <c r="B1929" s="390" t="s">
        <v>1432</v>
      </c>
      <c r="C1929" s="237"/>
      <c r="D1929" s="866" t="s">
        <v>10</v>
      </c>
      <c r="E1929" s="1134">
        <v>45450</v>
      </c>
      <c r="F1929" s="71">
        <f t="shared" si="1184"/>
        <v>826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4">
        <f t="shared" si="1173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78"/>
        <v>Premix RED 2%45450</v>
      </c>
      <c r="U1929" s="787"/>
      <c r="V1929" s="787"/>
      <c r="W1929" s="785">
        <f>IFERROR(VLOOKUP($Q1929,'391'!$S:$AG,15,0),0)</f>
        <v>0</v>
      </c>
      <c r="X1929" s="1090">
        <f t="shared" si="1131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customHeight="1" x14ac:dyDescent="0.25">
      <c r="A1930" s="2008"/>
      <c r="B1930" s="1026" t="s">
        <v>1951</v>
      </c>
      <c r="C1930" s="149" t="s">
        <v>46</v>
      </c>
      <c r="D1930" s="863" t="s">
        <v>10</v>
      </c>
      <c r="E1930" s="1137">
        <v>46262</v>
      </c>
      <c r="F1930" s="71">
        <f t="shared" ref="F1930" si="1185">$L$7-E1930</f>
        <v>14</v>
      </c>
      <c r="G1930" s="58">
        <v>1124.0799999999997</v>
      </c>
      <c r="H1930" s="63"/>
      <c r="I1930" s="58">
        <f>+SUM(K1918:K1927)</f>
        <v>1050</v>
      </c>
      <c r="J1930" s="1369">
        <f>+usage!I224</f>
        <v>1099.8400000000001</v>
      </c>
      <c r="K1930" s="64">
        <f>IFERROR(SUMIF(INTAKE!$A:$A,$T1930,INTAKE!$P:$P),0)</f>
        <v>0</v>
      </c>
      <c r="L1930" s="1534">
        <f t="shared" si="1173"/>
        <v>1074.2399999999998</v>
      </c>
      <c r="M1930" s="23"/>
      <c r="N1930" s="23"/>
      <c r="O1930" s="23"/>
      <c r="P1930" s="736"/>
      <c r="Q1930" s="795"/>
      <c r="R1930" s="785">
        <f>IFERROR(VLOOKUP($Q1930,'391'!$S:$Z,8,0),"")</f>
        <v>0</v>
      </c>
      <c r="S1930" s="786"/>
      <c r="T1930" s="787" t="str">
        <f t="shared" si="1178"/>
        <v>Premix RED 2%Feedmill46262</v>
      </c>
      <c r="U1930" s="787"/>
      <c r="V1930" s="787"/>
      <c r="W1930" s="785">
        <f>IFERROR(VLOOKUP($Q1930,'391'!$S:$AG,15,0),0)</f>
        <v>0</v>
      </c>
      <c r="X1930" s="1090">
        <f t="shared" si="1131"/>
        <v>1124.0799999999997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420" customFormat="1" ht="30" customHeight="1" x14ac:dyDescent="0.25">
      <c r="A1931" s="2011" t="s">
        <v>34</v>
      </c>
      <c r="B1931" s="2012"/>
      <c r="C1931" s="854"/>
      <c r="D1931" s="1030"/>
      <c r="E1931" s="1133"/>
      <c r="F1931" s="1032"/>
      <c r="G1931" s="1422">
        <v>6374.08</v>
      </c>
      <c r="H1931" s="1422">
        <f t="shared" ref="H1931:L1931" si="1186">SUM(H1918:H1930)</f>
        <v>0</v>
      </c>
      <c r="I1931" s="1422">
        <f t="shared" si="1186"/>
        <v>1050</v>
      </c>
      <c r="J1931" s="1422">
        <f t="shared" si="1186"/>
        <v>1099.8400000000001</v>
      </c>
      <c r="K1931" s="1422">
        <f t="shared" si="1186"/>
        <v>1050</v>
      </c>
      <c r="L1931" s="1422">
        <f t="shared" si="1186"/>
        <v>5274.24</v>
      </c>
      <c r="M1931" s="889">
        <f>IFERROR(R1931/$S$2,"")</f>
        <v>526.6</v>
      </c>
      <c r="N1931" s="854">
        <f>(L1931/M1931)</f>
        <v>10.015647550322825</v>
      </c>
      <c r="O1931" s="889">
        <f>IFERROR(SUMIF(ETM!$A:$A,$Q1931,ETM!$E:$E),"")</f>
        <v>331.16666666666669</v>
      </c>
      <c r="P1931" s="880">
        <f>IFERROR(L1931/O1931,0)</f>
        <v>15.926240563663812</v>
      </c>
      <c r="Q1931" s="814" t="s">
        <v>631</v>
      </c>
      <c r="R1931" s="785">
        <f>IFERROR(VLOOKUP($Q1931,'391'!$S:$Z,8,0),"")</f>
        <v>2369.7000000000003</v>
      </c>
      <c r="S1931" s="786"/>
      <c r="T1931" s="787"/>
      <c r="U1931" s="787"/>
      <c r="V1931" s="787"/>
      <c r="W1931" s="785">
        <f>IFERROR(VLOOKUP($Q1931,'391'!$S:$AG,15,0),0)</f>
        <v>5405.3</v>
      </c>
      <c r="X1931" s="1090">
        <f>G1931-W1931</f>
        <v>968.77999999999975</v>
      </c>
      <c r="Y1931" s="787"/>
      <c r="Z1931" s="791"/>
      <c r="AA1931" s="787"/>
      <c r="AB1931" s="787"/>
      <c r="AC1931" s="550"/>
      <c r="AD1931" s="550"/>
      <c r="AE1931" s="550"/>
      <c r="AF1931" s="550"/>
      <c r="AG1931" s="550"/>
      <c r="AH1931" s="550"/>
      <c r="AI1931" s="559"/>
      <c r="AJ1931" s="559"/>
      <c r="AK1931" s="559"/>
      <c r="AL1931" s="559"/>
      <c r="AM1931" s="559"/>
      <c r="AN1931" s="559"/>
      <c r="AO1931" s="559"/>
      <c r="AP1931" s="559"/>
      <c r="AQ1931" s="559"/>
      <c r="AR1931" s="559"/>
      <c r="AS1931" s="559"/>
    </row>
    <row r="1932" spans="1:45" s="6" customFormat="1" ht="30" hidden="1" customHeight="1" x14ac:dyDescent="0.25">
      <c r="A1932" s="2190" t="str">
        <f>IF(L1935=0,"",MAX($A$16:A1931)+1)</f>
        <v/>
      </c>
      <c r="B1932" s="390" t="s">
        <v>1309</v>
      </c>
      <c r="C1932" s="186" t="s">
        <v>1297</v>
      </c>
      <c r="D1932" s="866" t="s">
        <v>10</v>
      </c>
      <c r="E1932" s="1134">
        <v>45079</v>
      </c>
      <c r="F1932" s="71">
        <f t="shared" ref="F1932:F1934" si="1187">$L$7-E1932</f>
        <v>1197</v>
      </c>
      <c r="G1932" s="12">
        <v>0</v>
      </c>
      <c r="H1932" s="77"/>
      <c r="I1932" s="68"/>
      <c r="J1932" s="209"/>
      <c r="K1932" s="68">
        <f>IFERROR(SUMIF(INTAKE!$A:$A,$T1932,INTAKE!$P:$P),0)</f>
        <v>0</v>
      </c>
      <c r="L1932" s="531">
        <f t="shared" ref="L1932:L1934" si="1188">+G1932+H1932+I1932-J1932-K1932</f>
        <v>0</v>
      </c>
      <c r="M1932" s="1454"/>
      <c r="N1932" s="1468"/>
      <c r="O1932" s="1452"/>
      <c r="P1932" s="1479"/>
      <c r="Q1932" s="795"/>
      <c r="R1932" s="785">
        <f>IFERROR(VLOOKUP($Q1932,'391'!$S:$Z,8,0),"")</f>
        <v>0</v>
      </c>
      <c r="S1932" s="786"/>
      <c r="T1932" s="787" t="str">
        <f>$Q$1935&amp;C1932&amp;E1932</f>
        <v>Premix YELLOW 2%Y5.145079</v>
      </c>
      <c r="U1932" s="787"/>
      <c r="V1932" s="787"/>
      <c r="W1932" s="785">
        <f>IFERROR(VLOOKUP($Q1932,'391'!$S:$AG,15,0),0)</f>
        <v>0</v>
      </c>
      <c r="X1932" s="1090">
        <f t="shared" si="1131"/>
        <v>0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ht="30" hidden="1" customHeight="1" x14ac:dyDescent="0.25">
      <c r="A1933" s="2008"/>
      <c r="B1933" s="390" t="s">
        <v>337</v>
      </c>
      <c r="C1933" s="186"/>
      <c r="D1933" s="866" t="s">
        <v>10</v>
      </c>
      <c r="E1933" s="1134">
        <v>44257</v>
      </c>
      <c r="F1933" s="71">
        <f t="shared" si="1187"/>
        <v>2019</v>
      </c>
      <c r="G1933" s="12">
        <v>0</v>
      </c>
      <c r="H1933" s="130"/>
      <c r="I1933" s="67"/>
      <c r="J1933" s="206"/>
      <c r="K1933" s="68">
        <f>IFERROR(SUMIF(INTAKE!$A:$A,$T1933,INTAKE!$P:$P),0)</f>
        <v>0</v>
      </c>
      <c r="L1933" s="531">
        <f t="shared" si="1188"/>
        <v>0</v>
      </c>
      <c r="M1933" s="48"/>
      <c r="N1933" s="163"/>
      <c r="O1933" s="48"/>
      <c r="P1933" s="738"/>
      <c r="Q1933" s="795"/>
      <c r="R1933" s="785">
        <f>IFERROR(VLOOKUP($Q1933,'391'!$S:$Z,8,0),"")</f>
        <v>0</v>
      </c>
      <c r="T1933" s="787" t="str">
        <f>$Q$1935&amp;C1933&amp;E1933</f>
        <v>Premix YELLOW 2%44257</v>
      </c>
      <c r="U1933" s="787"/>
      <c r="V1933" s="787"/>
      <c r="W1933" s="785">
        <f>IFERROR(VLOOKUP($Q1933,'391'!$S:$AG,15,0),0)</f>
        <v>0</v>
      </c>
      <c r="X1933" s="1090">
        <f t="shared" ref="X1933:X1951" si="1189">G1933-W1933</f>
        <v>0</v>
      </c>
      <c r="Y1933" s="787"/>
      <c r="Z1933" s="791"/>
      <c r="AA1933" s="787"/>
      <c r="AB1933" s="787"/>
      <c r="AC1933" s="679"/>
    </row>
    <row r="1934" spans="1:45" s="6" customFormat="1" ht="30" hidden="1" customHeight="1" x14ac:dyDescent="0.25">
      <c r="A1934" s="2008"/>
      <c r="B1934" s="1014" t="s">
        <v>1309</v>
      </c>
      <c r="C1934" s="151" t="s">
        <v>46</v>
      </c>
      <c r="D1934" s="863" t="s">
        <v>10</v>
      </c>
      <c r="E1934" s="1123">
        <v>45079</v>
      </c>
      <c r="F1934" s="71">
        <f t="shared" si="1187"/>
        <v>1197</v>
      </c>
      <c r="G1934" s="58">
        <v>0</v>
      </c>
      <c r="H1934" s="130"/>
      <c r="I1934" s="879">
        <f>+SUM(K1932:K1933)</f>
        <v>0</v>
      </c>
      <c r="J1934" s="81">
        <f>+usage!I225</f>
        <v>0</v>
      </c>
      <c r="K1934" s="68">
        <f>IFERROR(SUMIF(INTAKE!$A:$A,$T1934,INTAKE!$P:$P),0)</f>
        <v>0</v>
      </c>
      <c r="L1934" s="531">
        <f t="shared" si="1188"/>
        <v>0</v>
      </c>
      <c r="M1934" s="24"/>
      <c r="N1934" s="920"/>
      <c r="O1934" s="24"/>
      <c r="P1934" s="740"/>
      <c r="Q1934" s="795"/>
      <c r="R1934" s="785">
        <f>IFERROR(VLOOKUP($Q1934,'391'!$S:$Z,8,0),"")</f>
        <v>0</v>
      </c>
      <c r="S1934" s="786"/>
      <c r="T1934" s="787" t="str">
        <f>$Q$1935&amp;C1934&amp;E1934</f>
        <v>Premix YELLOW 2%Feedmill45079</v>
      </c>
      <c r="U1934" s="787"/>
      <c r="V1934" s="787"/>
      <c r="W1934" s="785">
        <f>IFERROR(VLOOKUP($Q1934,'391'!$S:$AG,15,0),0)</f>
        <v>0</v>
      </c>
      <c r="X1934" s="1090">
        <f t="shared" si="1189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s="420" customFormat="1" ht="30" hidden="1" customHeight="1" x14ac:dyDescent="0.25">
      <c r="A1935" s="2011" t="s">
        <v>45</v>
      </c>
      <c r="B1935" s="2012"/>
      <c r="C1935" s="125"/>
      <c r="D1935" s="1030"/>
      <c r="E1935" s="1027"/>
      <c r="F1935" s="896"/>
      <c r="G1935" s="234">
        <v>0</v>
      </c>
      <c r="H1935" s="234">
        <f>SUM(H1932:H1934)</f>
        <v>0</v>
      </c>
      <c r="I1935" s="234">
        <f>SUM(I1932:I1934)</f>
        <v>0</v>
      </c>
      <c r="J1935" s="234">
        <f>SUM(J1932:J1934)</f>
        <v>0</v>
      </c>
      <c r="K1935" s="234">
        <f>SUM(K1932:K1934)</f>
        <v>0</v>
      </c>
      <c r="L1935" s="234">
        <f>SUM(L1932:L1934)</f>
        <v>0</v>
      </c>
      <c r="M1935" s="889" t="str">
        <f>IFERROR(R1935/$S$2,"")</f>
        <v/>
      </c>
      <c r="N1935" s="854">
        <f>IFERROR(L1935/M1935,0)</f>
        <v>0</v>
      </c>
      <c r="O1935" s="889">
        <f>IFERROR(SUMIF(ETM!$A:$A,$Q1935,ETM!$E:$E),"")</f>
        <v>0</v>
      </c>
      <c r="P1935" s="855">
        <f>IFERROR(L1935/O1935,0)</f>
        <v>0</v>
      </c>
      <c r="Q1935" s="814" t="s">
        <v>630</v>
      </c>
      <c r="R1935" s="785" t="str">
        <f>IFERROR(VLOOKUP($Q1935,'391'!$S:$Z,8,0),"")</f>
        <v/>
      </c>
      <c r="S1935" s="786"/>
      <c r="T1935" s="787"/>
      <c r="U1935" s="787"/>
      <c r="V1935" s="787"/>
      <c r="W1935" s="785">
        <f>IFERROR(VLOOKUP($Q1935,'391'!$S:$AG,15,0),0)</f>
        <v>0</v>
      </c>
      <c r="X1935" s="1090">
        <f t="shared" si="1189"/>
        <v>0</v>
      </c>
      <c r="Y1935" s="787"/>
      <c r="Z1935" s="791"/>
      <c r="AA1935" s="787"/>
      <c r="AB1935" s="787"/>
      <c r="AC1935" s="550"/>
      <c r="AD1935" s="550"/>
      <c r="AE1935" s="550"/>
      <c r="AF1935" s="550"/>
      <c r="AG1935" s="550"/>
      <c r="AH1935" s="550"/>
      <c r="AI1935" s="559"/>
      <c r="AJ1935" s="559"/>
      <c r="AK1935" s="559"/>
      <c r="AL1935" s="559"/>
      <c r="AM1935" s="559"/>
      <c r="AN1935" s="559"/>
      <c r="AO1935" s="559"/>
      <c r="AP1935" s="559"/>
      <c r="AQ1935" s="559"/>
      <c r="AR1935" s="559"/>
      <c r="AS1935" s="559"/>
    </row>
    <row r="1936" spans="1:45" s="6" customFormat="1" ht="30" customHeight="1" x14ac:dyDescent="0.25">
      <c r="A1936" s="2190">
        <f>IF(L1939=0,"",MAX($A$16:A1935)+1)</f>
        <v>137</v>
      </c>
      <c r="B1936" s="390" t="s">
        <v>1871</v>
      </c>
      <c r="C1936" s="186" t="s">
        <v>1211</v>
      </c>
      <c r="D1936" s="866" t="s">
        <v>10</v>
      </c>
      <c r="E1936" s="1134">
        <v>46220</v>
      </c>
      <c r="F1936" s="71">
        <f t="shared" ref="F1936:F1938" si="1190">$L$7-E1936</f>
        <v>56</v>
      </c>
      <c r="G1936" s="12">
        <v>4475</v>
      </c>
      <c r="H1936" s="77"/>
      <c r="I1936" s="68"/>
      <c r="J1936" s="209"/>
      <c r="K1936" s="80">
        <f>IFERROR(SUMIF(INTAKE!$A:$A,$T1936,INTAKE!$P:$P),0)</f>
        <v>0</v>
      </c>
      <c r="L1936" s="1670">
        <f t="shared" ref="L1936:L1938" si="1191">+G1936+H1936+I1936-J1936-K1936</f>
        <v>4475</v>
      </c>
      <c r="M1936" s="1454"/>
      <c r="N1936" s="1468"/>
      <c r="O1936" s="1452"/>
      <c r="P1936" s="1479"/>
      <c r="Q1936" s="795"/>
      <c r="R1936" s="785">
        <f>IFERROR(VLOOKUP($Q1936,'391'!$S:$Z,8,0),"")</f>
        <v>0</v>
      </c>
      <c r="S1936" s="786"/>
      <c r="T1936" s="787" t="str">
        <f>$Q$1939&amp;C1936&amp;E1936</f>
        <v>TRADI-Impact LD - FranceD146220</v>
      </c>
      <c r="U1936" s="787"/>
      <c r="V1936" s="787"/>
      <c r="W1936" s="785">
        <f>IFERROR(VLOOKUP($Q1936,'391'!$S:$AG,15,0),0)</f>
        <v>0</v>
      </c>
      <c r="X1936" s="1090">
        <f t="shared" si="1189"/>
        <v>4475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ht="30" customHeight="1" x14ac:dyDescent="0.25">
      <c r="A1937" s="2008"/>
      <c r="B1937" s="390" t="s">
        <v>1871</v>
      </c>
      <c r="C1937" s="186" t="s">
        <v>1211</v>
      </c>
      <c r="D1937" s="866" t="s">
        <v>10</v>
      </c>
      <c r="E1937" s="1134">
        <v>46239</v>
      </c>
      <c r="F1937" s="71">
        <f t="shared" si="1190"/>
        <v>37</v>
      </c>
      <c r="G1937" s="12">
        <v>1000</v>
      </c>
      <c r="H1937" s="130"/>
      <c r="I1937" s="67"/>
      <c r="J1937" s="206"/>
      <c r="K1937" s="68">
        <f>IFERROR(SUMIF(INTAKE!$A:$A,$T1937,INTAKE!$P:$P),0)</f>
        <v>0</v>
      </c>
      <c r="L1937" s="1670">
        <f t="shared" si="1191"/>
        <v>1000</v>
      </c>
      <c r="M1937" s="48"/>
      <c r="N1937" s="163"/>
      <c r="O1937" s="48"/>
      <c r="P1937" s="738"/>
      <c r="Q1937" s="795"/>
      <c r="R1937" s="785">
        <f>IFERROR(VLOOKUP($Q1937,'391'!$S:$Z,8,0),"")</f>
        <v>0</v>
      </c>
      <c r="T1937" s="787" t="str">
        <f t="shared" ref="T1937:T1938" si="1192">$Q$1939&amp;C1937&amp;E1937</f>
        <v>TRADI-Impact LD - FranceD146239</v>
      </c>
      <c r="U1937" s="787"/>
      <c r="V1937" s="787"/>
      <c r="W1937" s="785">
        <f>IFERROR(VLOOKUP($Q1937,'391'!$S:$AG,15,0),0)</f>
        <v>0</v>
      </c>
      <c r="X1937" s="1090">
        <f t="shared" ref="X1937:X1939" si="1193">G1937-W1937</f>
        <v>1000</v>
      </c>
      <c r="Y1937" s="787"/>
      <c r="Z1937" s="791"/>
      <c r="AA1937" s="787"/>
      <c r="AB1937" s="787"/>
      <c r="AC1937" s="679"/>
    </row>
    <row r="1938" spans="1:45" s="6" customFormat="1" ht="30" customHeight="1" x14ac:dyDescent="0.25">
      <c r="A1938" s="2008"/>
      <c r="B1938" s="1014" t="s">
        <v>1871</v>
      </c>
      <c r="C1938" s="151" t="s">
        <v>46</v>
      </c>
      <c r="D1938" s="863" t="s">
        <v>10</v>
      </c>
      <c r="E1938" s="1123">
        <v>46220</v>
      </c>
      <c r="F1938" s="71">
        <f t="shared" si="1190"/>
        <v>56</v>
      </c>
      <c r="G1938" s="58">
        <v>13</v>
      </c>
      <c r="H1938" s="130"/>
      <c r="I1938" s="508">
        <f>+SUM(K1936:K1937)</f>
        <v>0</v>
      </c>
      <c r="J1938" s="81">
        <f>usage!I252</f>
        <v>0</v>
      </c>
      <c r="K1938" s="68">
        <f>IFERROR(SUMIF(INTAKE!$A:$A,$T1938,INTAKE!$P:$P),0)</f>
        <v>0</v>
      </c>
      <c r="L1938" s="531">
        <f t="shared" si="1191"/>
        <v>13</v>
      </c>
      <c r="M1938" s="24"/>
      <c r="N1938" s="920"/>
      <c r="O1938" s="24"/>
      <c r="P1938" s="740"/>
      <c r="Q1938" s="795"/>
      <c r="R1938" s="785">
        <f>IFERROR(VLOOKUP($Q1938,'391'!$S:$Z,8,0),"")</f>
        <v>0</v>
      </c>
      <c r="S1938" s="786"/>
      <c r="T1938" s="787" t="str">
        <f t="shared" si="1192"/>
        <v>TRADI-Impact LD - FranceFeedmill46220</v>
      </c>
      <c r="U1938" s="787"/>
      <c r="V1938" s="787"/>
      <c r="W1938" s="785">
        <f>IFERROR(VLOOKUP($Q1938,'391'!$S:$AG,15,0),0)</f>
        <v>0</v>
      </c>
      <c r="X1938" s="1090">
        <f t="shared" si="1193"/>
        <v>13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s="420" customFormat="1" ht="30" customHeight="1" x14ac:dyDescent="0.25">
      <c r="A1939" s="2011" t="s">
        <v>1872</v>
      </c>
      <c r="B1939" s="2012"/>
      <c r="C1939" s="125"/>
      <c r="D1939" s="1030"/>
      <c r="E1939" s="1027"/>
      <c r="F1939" s="896"/>
      <c r="G1939" s="234">
        <v>5488</v>
      </c>
      <c r="H1939" s="234">
        <f>SUM(H1936:H1938)</f>
        <v>0</v>
      </c>
      <c r="I1939" s="234">
        <f>SUM(I1936:I1938)</f>
        <v>0</v>
      </c>
      <c r="J1939" s="234">
        <f>SUM(J1936:J1938)</f>
        <v>0</v>
      </c>
      <c r="K1939" s="234">
        <f>SUM(K1936:K1938)</f>
        <v>0</v>
      </c>
      <c r="L1939" s="234">
        <f>SUM(L1936:L1938)</f>
        <v>5488</v>
      </c>
      <c r="M1939" s="889">
        <f>IFERROR(R1939/$S$2,"")</f>
        <v>224</v>
      </c>
      <c r="N1939" s="854">
        <f>IFERROR(L1939/M1939,0)</f>
        <v>24.5</v>
      </c>
      <c r="O1939" s="889">
        <f>IFERROR(SUMIF(ETM!$A:$A,$Q1939,ETM!$E:$E),"")</f>
        <v>160</v>
      </c>
      <c r="P1939" s="855">
        <f>IFERROR(L1939/O1939,0)</f>
        <v>34.299999999999997</v>
      </c>
      <c r="Q1939" s="814" t="s">
        <v>1871</v>
      </c>
      <c r="R1939" s="785">
        <f>IFERROR(VLOOKUP($Q1939,'391'!$S:$Z,8,0),"")</f>
        <v>1008</v>
      </c>
      <c r="S1939" s="786"/>
      <c r="T1939" s="787"/>
      <c r="U1939" s="787"/>
      <c r="V1939" s="787"/>
      <c r="W1939" s="785">
        <f>IFERROR(VLOOKUP($Q1939,'391'!$S:$AG,15,0),0)</f>
        <v>5488</v>
      </c>
      <c r="X1939" s="1090">
        <f t="shared" si="1193"/>
        <v>0</v>
      </c>
      <c r="Y1939" s="787"/>
      <c r="Z1939" s="791"/>
      <c r="AA1939" s="787"/>
      <c r="AB1939" s="787"/>
      <c r="AC1939" s="550"/>
      <c r="AD1939" s="550"/>
      <c r="AE1939" s="550"/>
      <c r="AF1939" s="550"/>
      <c r="AG1939" s="550"/>
      <c r="AH1939" s="550"/>
      <c r="AI1939" s="559"/>
      <c r="AJ1939" s="559"/>
      <c r="AK1939" s="559"/>
      <c r="AL1939" s="559"/>
      <c r="AM1939" s="559"/>
      <c r="AN1939" s="559"/>
      <c r="AO1939" s="559"/>
      <c r="AP1939" s="559"/>
      <c r="AQ1939" s="559"/>
      <c r="AR1939" s="559"/>
      <c r="AS1939" s="559"/>
    </row>
    <row r="1940" spans="1:45" s="6" customFormat="1" ht="30" customHeight="1" x14ac:dyDescent="0.25">
      <c r="A1940" s="2018">
        <f>IF(L1954=0,"",MAX($A$16:A1939)+1)</f>
        <v>138</v>
      </c>
      <c r="B1940" s="1864" t="s">
        <v>1950</v>
      </c>
      <c r="C1940" s="186" t="s">
        <v>1949</v>
      </c>
      <c r="D1940" s="866" t="s">
        <v>10</v>
      </c>
      <c r="E1940" s="1134">
        <v>46262</v>
      </c>
      <c r="F1940" s="71">
        <f t="shared" ref="F1940:F1949" si="1194">$L$7-E1940</f>
        <v>14</v>
      </c>
      <c r="G1940" s="12">
        <v>1050</v>
      </c>
      <c r="H1940" s="130"/>
      <c r="I1940" s="68"/>
      <c r="J1940" s="206"/>
      <c r="K1940" s="68">
        <f>IFERROR(SUMIF(INTAKE!$A:$A,$T1940,INTAKE!$P:$P),0)</f>
        <v>0</v>
      </c>
      <c r="L1940" s="1670">
        <f t="shared" ref="L1940:L1953" si="1195">+G1940+H1940+I1940-J1940-K1940</f>
        <v>1050</v>
      </c>
      <c r="M1940" s="1454"/>
      <c r="N1940" s="1468"/>
      <c r="O1940" s="1452"/>
      <c r="P1940" s="1479"/>
      <c r="Q1940" s="795"/>
      <c r="R1940" s="785">
        <f>IFERROR(VLOOKUP($Q1940,'391'!$S:$Z,8,0),"")</f>
        <v>0</v>
      </c>
      <c r="S1940" s="786"/>
      <c r="T1940" s="787" t="str">
        <f>$Q$1954&amp;C1940&amp;E1940</f>
        <v>Premix AmnilX4.346262</v>
      </c>
      <c r="U1940" s="787"/>
      <c r="V1940" s="787"/>
      <c r="W1940" s="785">
        <f>IFERROR(VLOOKUP($Q1940,'391'!$S:$AG,15,0),0)</f>
        <v>0</v>
      </c>
      <c r="X1940" s="1090">
        <f t="shared" si="1189"/>
        <v>1050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6" customFormat="1" ht="30" customHeight="1" x14ac:dyDescent="0.25">
      <c r="A1941" s="2010"/>
      <c r="B1941" s="1864" t="s">
        <v>1978</v>
      </c>
      <c r="C1941" s="186" t="s">
        <v>148</v>
      </c>
      <c r="D1941" s="866" t="s">
        <v>10</v>
      </c>
      <c r="E1941" s="1134">
        <v>46270</v>
      </c>
      <c r="F1941" s="71">
        <f t="shared" si="1194"/>
        <v>6</v>
      </c>
      <c r="G1941" s="12">
        <v>1050</v>
      </c>
      <c r="H1941" s="130"/>
      <c r="I1941" s="68"/>
      <c r="J1941" s="206"/>
      <c r="K1941" s="68">
        <f>IFERROR(SUMIF(INTAKE!$A:$A,$T1941,INTAKE!$P:$P),0)</f>
        <v>0</v>
      </c>
      <c r="L1941" s="1670">
        <f t="shared" si="1195"/>
        <v>1050</v>
      </c>
      <c r="M1941" s="1451"/>
      <c r="N1941" s="1460"/>
      <c r="O1941" s="1453"/>
      <c r="P1941" s="1480"/>
      <c r="Q1941" s="795"/>
      <c r="R1941" s="785">
        <f>IFERROR(VLOOKUP($Q1941,'391'!$S:$Z,8,0),"")</f>
        <v>0</v>
      </c>
      <c r="S1941" s="786"/>
      <c r="T1941" s="787" t="str">
        <f>$Q$1954&amp;C1941&amp;E1941</f>
        <v>Premix AmnilX1.346270</v>
      </c>
      <c r="U1941" s="787"/>
      <c r="V1941" s="787"/>
      <c r="W1941" s="785">
        <f>IFERROR(VLOOKUP($Q1941,'391'!$S:$AG,15,0),0)</f>
        <v>0</v>
      </c>
      <c r="X1941" s="1090">
        <f t="shared" si="1189"/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s="6" customFormat="1" ht="30" customHeight="1" x14ac:dyDescent="0.25">
      <c r="A1942" s="2010"/>
      <c r="B1942" s="1864" t="s">
        <v>1978</v>
      </c>
      <c r="C1942" s="186" t="s">
        <v>1979</v>
      </c>
      <c r="D1942" s="866" t="s">
        <v>10</v>
      </c>
      <c r="E1942" s="1134">
        <v>46270</v>
      </c>
      <c r="F1942" s="71">
        <f t="shared" si="1194"/>
        <v>6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70">
        <f t="shared" si="1195"/>
        <v>1050</v>
      </c>
      <c r="M1942" s="101"/>
      <c r="N1942" s="249"/>
      <c r="O1942" s="101"/>
      <c r="P1942" s="738"/>
      <c r="Q1942" s="795"/>
      <c r="R1942" s="785">
        <f>IFERROR(VLOOKUP($Q1942,'391'!$S:$Z,8,0),"")</f>
        <v>0</v>
      </c>
      <c r="S1942" s="786"/>
      <c r="T1942" s="787" t="str">
        <f>$Q$1954&amp;C1942&amp;E1942</f>
        <v>Premix AmnilX2.346270</v>
      </c>
      <c r="U1942" s="787"/>
      <c r="V1942" s="787"/>
      <c r="W1942" s="785">
        <f>IFERROR(VLOOKUP($Q1942,'391'!$S:$AG,15,0),0)</f>
        <v>0</v>
      </c>
      <c r="X1942" s="1090">
        <f t="shared" si="1189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10"/>
      <c r="B1943" s="1864" t="s">
        <v>1978</v>
      </c>
      <c r="C1943" s="186" t="s">
        <v>139</v>
      </c>
      <c r="D1943" s="866" t="s">
        <v>10</v>
      </c>
      <c r="E1943" s="1134">
        <v>46270</v>
      </c>
      <c r="F1943" s="71">
        <f t="shared" si="1194"/>
        <v>6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70">
        <f t="shared" si="1195"/>
        <v>1050</v>
      </c>
      <c r="M1943" s="101"/>
      <c r="N1943" s="249"/>
      <c r="O1943" s="101"/>
      <c r="P1943" s="738"/>
      <c r="Q1943" s="795"/>
      <c r="R1943" s="785">
        <f>IFERROR(VLOOKUP($Q1943,'391'!$S:$Z,8,0),"")</f>
        <v>0</v>
      </c>
      <c r="S1943" s="786"/>
      <c r="T1943" s="787" t="str">
        <f>$Q$1954&amp;C1943&amp;E1943</f>
        <v>Premix AmnilX5.346270</v>
      </c>
      <c r="U1943" s="787"/>
      <c r="V1943" s="787"/>
      <c r="W1943" s="785">
        <f>IFERROR(VLOOKUP($Q1943,'391'!$S:$AG,15,0),0)</f>
        <v>0</v>
      </c>
      <c r="X1943" s="1090">
        <f t="shared" si="1189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ht="30" customHeight="1" x14ac:dyDescent="0.25">
      <c r="A1944" s="2010"/>
      <c r="B1944" s="1864" t="s">
        <v>1978</v>
      </c>
      <c r="C1944" s="186" t="s">
        <v>1980</v>
      </c>
      <c r="D1944" s="866" t="s">
        <v>10</v>
      </c>
      <c r="E1944" s="1134">
        <v>46270</v>
      </c>
      <c r="F1944" s="71">
        <f t="shared" si="1194"/>
        <v>6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70">
        <f t="shared" ref="L1944" si="1196">+G1944+H1944+I1944-J1944-K1944</f>
        <v>1050</v>
      </c>
      <c r="M1944" s="48"/>
      <c r="N1944" s="163"/>
      <c r="O1944" s="48"/>
      <c r="P1944" s="738"/>
      <c r="Q1944" s="795"/>
      <c r="R1944" s="785">
        <f>IFERROR(VLOOKUP($Q1944,'391'!$S:$Z,8,0),"")</f>
        <v>0</v>
      </c>
      <c r="T1944" s="787" t="str">
        <f t="shared" ref="T1944" si="1197">$Q$1954&amp;C1944&amp;E1944</f>
        <v>Premix AmnilX6.346270</v>
      </c>
      <c r="U1944" s="787"/>
      <c r="V1944" s="787"/>
      <c r="W1944" s="785">
        <f>IFERROR(VLOOKUP($Q1944,'391'!$S:$AG,15,0),0)</f>
        <v>0</v>
      </c>
      <c r="X1944" s="1090">
        <f t="shared" ref="X1944" si="1198">G1944-W1944</f>
        <v>1050</v>
      </c>
      <c r="Y1944" s="787"/>
      <c r="Z1944" s="791"/>
      <c r="AA1944" s="787"/>
      <c r="AB1944" s="787"/>
      <c r="AC1944" s="679"/>
    </row>
    <row r="1945" spans="1:45" s="6" customFormat="1" ht="30" customHeight="1" x14ac:dyDescent="0.25">
      <c r="A1945" s="2010"/>
      <c r="B1945" s="1864" t="s">
        <v>1978</v>
      </c>
      <c r="C1945" s="186" t="s">
        <v>1981</v>
      </c>
      <c r="D1945" s="866" t="s">
        <v>10</v>
      </c>
      <c r="E1945" s="1134">
        <v>46270</v>
      </c>
      <c r="F1945" s="71">
        <f t="shared" si="1194"/>
        <v>6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70">
        <f t="shared" ref="L1945" si="1199">+G1945+H1945+I1945-J1945-K1945</f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 t="shared" ref="T1945" si="1200">$Q$1954&amp;C1945&amp;E1945</f>
        <v>Premix AmnilX7.346270</v>
      </c>
      <c r="U1945" s="787"/>
      <c r="V1945" s="787"/>
      <c r="W1945" s="785">
        <f>IFERROR(VLOOKUP($Q1945,'391'!$S:$AG,15,0),0)</f>
        <v>0</v>
      </c>
      <c r="X1945" s="1090">
        <f t="shared" ref="X1945" si="1201">G1945-W1945</f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10"/>
      <c r="B1946" s="1864" t="s">
        <v>1978</v>
      </c>
      <c r="C1946" s="186" t="s">
        <v>1927</v>
      </c>
      <c r="D1946" s="866" t="s">
        <v>10</v>
      </c>
      <c r="E1946" s="1134">
        <v>46270</v>
      </c>
      <c r="F1946" s="71">
        <f t="shared" si="1194"/>
        <v>6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70">
        <f t="shared" si="1195"/>
        <v>1050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:T1953" si="1202">$Q$1954&amp;C1946&amp;E1946</f>
        <v>Premix AmnilX8.346270</v>
      </c>
      <c r="U1946" s="787"/>
      <c r="V1946" s="787"/>
      <c r="W1946" s="785">
        <f>IFERROR(VLOOKUP($Q1946,'391'!$S:$AG,15,0),0)</f>
        <v>0</v>
      </c>
      <c r="X1946" s="1090">
        <f t="shared" si="1189"/>
        <v>1050</v>
      </c>
      <c r="Y1946" s="787"/>
      <c r="Z1946" s="791"/>
      <c r="AA1946" s="787"/>
      <c r="AB1946" s="787"/>
      <c r="AC1946" s="679"/>
    </row>
    <row r="1947" spans="1:45" ht="30" customHeight="1" x14ac:dyDescent="0.25">
      <c r="A1947" s="2010"/>
      <c r="B1947" s="1864" t="s">
        <v>2227</v>
      </c>
      <c r="C1947" s="186" t="s">
        <v>1979</v>
      </c>
      <c r="D1947" s="866" t="s">
        <v>10</v>
      </c>
      <c r="E1947" s="1134">
        <v>46275</v>
      </c>
      <c r="F1947" s="71">
        <f t="shared" si="1194"/>
        <v>1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70">
        <f t="shared" ref="L1947:L1951" si="1203">+G1947+H1947+I1947-J1947-K1947</f>
        <v>1050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si="1202"/>
        <v>Premix AmnilX2.346275</v>
      </c>
      <c r="U1947" s="787"/>
      <c r="V1947" s="787"/>
      <c r="W1947" s="785">
        <f>IFERROR(VLOOKUP($Q1947,'391'!$S:$AG,15,0),0)</f>
        <v>0</v>
      </c>
      <c r="X1947" s="1090">
        <f t="shared" si="1189"/>
        <v>1050</v>
      </c>
      <c r="Y1947" s="787"/>
      <c r="Z1947" s="791"/>
      <c r="AA1947" s="787"/>
      <c r="AB1947" s="787"/>
      <c r="AC1947" s="679"/>
    </row>
    <row r="1948" spans="1:45" ht="28.5" customHeight="1" x14ac:dyDescent="0.25">
      <c r="A1948" s="2010"/>
      <c r="B1948" s="1864" t="s">
        <v>2227</v>
      </c>
      <c r="C1948" s="186" t="s">
        <v>244</v>
      </c>
      <c r="D1948" s="866" t="s">
        <v>10</v>
      </c>
      <c r="E1948" s="1134">
        <v>46275</v>
      </c>
      <c r="F1948" s="71">
        <f t="shared" si="1194"/>
        <v>1</v>
      </c>
      <c r="G1948" s="12">
        <v>1050</v>
      </c>
      <c r="H1948" s="130"/>
      <c r="I1948" s="68"/>
      <c r="J1948" s="206"/>
      <c r="K1948" s="68">
        <f>IFERROR(SUMIF(INTAKE!$A:$A,$T1948,INTAKE!$P:$P),0)</f>
        <v>0</v>
      </c>
      <c r="L1948" s="1670">
        <f t="shared" si="1203"/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202"/>
        <v>Premix AmnilX3.346275</v>
      </c>
      <c r="U1948" s="787"/>
      <c r="V1948" s="787"/>
      <c r="W1948" s="785">
        <f>IFERROR(VLOOKUP($Q1948,'391'!$S:$AG,15,0),0)</f>
        <v>0</v>
      </c>
      <c r="X1948" s="1090">
        <f t="shared" si="1189"/>
        <v>1050</v>
      </c>
      <c r="Y1948" s="787"/>
      <c r="Z1948" s="791"/>
      <c r="AA1948" s="787"/>
      <c r="AB1948" s="787"/>
      <c r="AC1948" s="679"/>
    </row>
    <row r="1949" spans="1:45" ht="28.5" customHeight="1" x14ac:dyDescent="0.25">
      <c r="A1949" s="2010"/>
      <c r="B1949" s="1864" t="s">
        <v>2227</v>
      </c>
      <c r="C1949" s="186" t="s">
        <v>1949</v>
      </c>
      <c r="D1949" s="866" t="s">
        <v>10</v>
      </c>
      <c r="E1949" s="1134">
        <v>46275</v>
      </c>
      <c r="F1949" s="71">
        <f t="shared" si="1194"/>
        <v>1</v>
      </c>
      <c r="G1949" s="12">
        <v>1050</v>
      </c>
      <c r="H1949" s="130"/>
      <c r="I1949" s="68"/>
      <c r="J1949" s="206"/>
      <c r="K1949" s="68">
        <f>IFERROR(SUMIF(INTAKE!$A:$A,$T1949,INTAKE!$P:$P),0)</f>
        <v>0</v>
      </c>
      <c r="L1949" s="1670">
        <f t="shared" si="1203"/>
        <v>1050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02"/>
        <v>Premix AmnilX4.346275</v>
      </c>
      <c r="U1949" s="787"/>
      <c r="V1949" s="787"/>
      <c r="W1949" s="785">
        <f>IFERROR(VLOOKUP($Q1949,'391'!$S:$AG,15,0),0)</f>
        <v>0</v>
      </c>
      <c r="X1949" s="1090">
        <f t="shared" si="1189"/>
        <v>1050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10"/>
      <c r="B1950" s="1864" t="s">
        <v>2227</v>
      </c>
      <c r="C1950" s="186"/>
      <c r="D1950" s="866" t="s">
        <v>10</v>
      </c>
      <c r="E1950" s="1134">
        <v>46275</v>
      </c>
      <c r="F1950" s="71">
        <f t="shared" ref="F1950" si="1204">$L$7-E1950</f>
        <v>1</v>
      </c>
      <c r="G1950" s="12"/>
      <c r="H1950" s="130"/>
      <c r="I1950" s="68"/>
      <c r="J1950" s="206"/>
      <c r="K1950" s="68">
        <f>IFERROR(SUMIF(INTAKE!$A:$A,$T1950,INTAKE!$P:$P),0)</f>
        <v>0</v>
      </c>
      <c r="L1950" s="1670">
        <f t="shared" si="1203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02"/>
        <v>Premix Amnil46275</v>
      </c>
      <c r="U1950" s="787"/>
      <c r="V1950" s="787"/>
      <c r="W1950" s="785">
        <f>IFERROR(VLOOKUP($Q1950,'391'!$S:$AG,15,0),0)</f>
        <v>0</v>
      </c>
      <c r="X1950" s="1090">
        <f t="shared" si="1189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10"/>
      <c r="B1951" s="1864" t="s">
        <v>1883</v>
      </c>
      <c r="C1951" s="186"/>
      <c r="D1951" s="866" t="s">
        <v>10</v>
      </c>
      <c r="E1951" s="1134">
        <v>46227</v>
      </c>
      <c r="F1951" s="71">
        <f t="shared" ref="F1951" si="1205">$L$7-E1951</f>
        <v>49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70">
        <f t="shared" si="1203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02"/>
        <v>Premix Amnil46227</v>
      </c>
      <c r="U1951" s="787"/>
      <c r="V1951" s="787"/>
      <c r="W1951" s="785">
        <f>IFERROR(VLOOKUP($Q1951,'391'!$S:$AG,15,0),0)</f>
        <v>0</v>
      </c>
      <c r="X1951" s="1090">
        <f t="shared" si="1189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10"/>
      <c r="B1952" s="1864" t="s">
        <v>1883</v>
      </c>
      <c r="C1952" s="186"/>
      <c r="D1952" s="866" t="s">
        <v>10</v>
      </c>
      <c r="E1952" s="1134">
        <v>46227</v>
      </c>
      <c r="F1952" s="71">
        <f t="shared" ref="F1952:F1953" si="1206">$L$7-E1952</f>
        <v>49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70">
        <f t="shared" si="1195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02"/>
        <v>Premix Amnil46227</v>
      </c>
      <c r="U1952" s="787"/>
      <c r="V1952" s="787"/>
      <c r="W1952" s="785">
        <f>IFERROR(VLOOKUP($Q1952,'391'!$S:$AG,15,0),0)</f>
        <v>0</v>
      </c>
      <c r="X1952" s="1090">
        <f t="shared" ref="X1952:X1953" si="1207">G1952-W1952</f>
        <v>0</v>
      </c>
      <c r="Y1952" s="787"/>
      <c r="Z1952" s="791"/>
      <c r="AA1952" s="787"/>
      <c r="AB1952" s="787"/>
      <c r="AC1952" s="679"/>
    </row>
    <row r="1953" spans="1:45" s="6" customFormat="1" ht="30" customHeight="1" x14ac:dyDescent="0.25">
      <c r="A1953" s="2019"/>
      <c r="B1953" s="1026" t="s">
        <v>1950</v>
      </c>
      <c r="C1953" s="151" t="s">
        <v>46</v>
      </c>
      <c r="D1953" s="863" t="s">
        <v>10</v>
      </c>
      <c r="E1953" s="1123">
        <v>46262</v>
      </c>
      <c r="F1953" s="71">
        <f t="shared" si="1206"/>
        <v>14</v>
      </c>
      <c r="G1953" s="58">
        <v>558.42000000000075</v>
      </c>
      <c r="H1953" s="130"/>
      <c r="I1953" s="879">
        <f>+SUM(K1940:K1952)</f>
        <v>0</v>
      </c>
      <c r="J1953" s="1369">
        <f>usage!I253</f>
        <v>507.62</v>
      </c>
      <c r="K1953" s="68">
        <f>IFERROR(SUMIF(INTAKE!$A:$A,$T1953,INTAKE!$P:$P),0)</f>
        <v>0</v>
      </c>
      <c r="L1953" s="1534">
        <f t="shared" si="1195"/>
        <v>50.80000000000075</v>
      </c>
      <c r="M1953" s="24"/>
      <c r="N1953" s="920"/>
      <c r="O1953" s="24"/>
      <c r="P1953" s="740"/>
      <c r="Q1953" s="795"/>
      <c r="R1953" s="785">
        <f>IFERROR(VLOOKUP($Q1953,'391'!$S:$Z,8,0),"")</f>
        <v>0</v>
      </c>
      <c r="S1953" s="786"/>
      <c r="T1953" s="787" t="str">
        <f t="shared" si="1202"/>
        <v>Premix AmnilFeedmill46262</v>
      </c>
      <c r="U1953" s="787"/>
      <c r="V1953" s="787"/>
      <c r="W1953" s="785">
        <f>IFERROR(VLOOKUP($Q1953,'391'!$S:$AG,15,0),0)</f>
        <v>0</v>
      </c>
      <c r="X1953" s="1090">
        <f t="shared" si="1207"/>
        <v>558.42000000000075</v>
      </c>
      <c r="Y1953" s="787"/>
      <c r="Z1953" s="791"/>
      <c r="AA1953" s="787"/>
      <c r="AB1953" s="787"/>
      <c r="AC1953" s="679"/>
      <c r="AD1953" s="679"/>
      <c r="AE1953" s="679"/>
      <c r="AF1953" s="679"/>
      <c r="AG1953" s="679"/>
      <c r="AH1953" s="679"/>
      <c r="AI1953" s="682"/>
      <c r="AJ1953" s="682"/>
      <c r="AK1953" s="682"/>
      <c r="AL1953" s="682"/>
      <c r="AM1953" s="682"/>
      <c r="AN1953" s="682"/>
      <c r="AO1953" s="682"/>
      <c r="AP1953" s="682"/>
      <c r="AQ1953" s="682"/>
      <c r="AR1953" s="682"/>
      <c r="AS1953" s="682"/>
    </row>
    <row r="1954" spans="1:45" s="420" customFormat="1" ht="30" customHeight="1" x14ac:dyDescent="0.25">
      <c r="A1954" s="2011" t="s">
        <v>1675</v>
      </c>
      <c r="B1954" s="2012"/>
      <c r="C1954" s="90"/>
      <c r="D1954" s="142"/>
      <c r="E1954" s="93"/>
      <c r="F1954" s="94"/>
      <c r="G1954" s="234">
        <v>11058.42</v>
      </c>
      <c r="H1954" s="234">
        <f t="shared" ref="H1954:L1954" si="1208">SUM(H1940:H1953)</f>
        <v>0</v>
      </c>
      <c r="I1954" s="234">
        <f t="shared" si="1208"/>
        <v>0</v>
      </c>
      <c r="J1954" s="234">
        <f t="shared" si="1208"/>
        <v>507.62</v>
      </c>
      <c r="K1954" s="234">
        <f t="shared" si="1208"/>
        <v>0</v>
      </c>
      <c r="L1954" s="234">
        <f t="shared" si="1208"/>
        <v>10550.800000000001</v>
      </c>
      <c r="M1954" s="889">
        <f>IFERROR(R1954/$S$2,"")</f>
        <v>587.0577777777778</v>
      </c>
      <c r="N1954" s="1863">
        <f>IFERROR(L1954/M1954,0)</f>
        <v>17.972336624068802</v>
      </c>
      <c r="O1954" s="889">
        <f>IFERROR(SUMIF(ETM!$A:$A,$Q1954,ETM!$E:$E),"")</f>
        <v>577.83333333333326</v>
      </c>
      <c r="P1954" s="855">
        <f>IFERROR(L1954/O1954,0)</f>
        <v>18.259244303432368</v>
      </c>
      <c r="Q1954" s="784" t="s">
        <v>1674</v>
      </c>
      <c r="R1954" s="785">
        <f>IFERROR(VLOOKUP($Q1954,'391'!$S:$Z,8,0),"")</f>
        <v>2641.76</v>
      </c>
      <c r="S1954" s="786"/>
      <c r="T1954" s="787"/>
      <c r="U1954" s="787"/>
      <c r="V1954" s="787"/>
      <c r="W1954" s="785">
        <f>IFERROR(VLOOKUP($Q1954,'391'!$S:$AG,15,0),0)</f>
        <v>10182.02</v>
      </c>
      <c r="X1954" s="1090">
        <f>+G1954-W1954</f>
        <v>876.39999999999964</v>
      </c>
      <c r="Y1954" s="787"/>
      <c r="Z1954" s="791"/>
      <c r="AA1954" s="787"/>
      <c r="AB1954" s="787"/>
      <c r="AC1954" s="550"/>
      <c r="AD1954" s="550"/>
      <c r="AE1954" s="550"/>
      <c r="AF1954" s="550"/>
      <c r="AG1954" s="550"/>
      <c r="AH1954" s="550"/>
      <c r="AI1954" s="559"/>
      <c r="AJ1954" s="559"/>
      <c r="AK1954" s="559"/>
      <c r="AL1954" s="559"/>
      <c r="AM1954" s="559"/>
      <c r="AN1954" s="559"/>
      <c r="AO1954" s="559"/>
      <c r="AP1954" s="559"/>
      <c r="AQ1954" s="559"/>
      <c r="AR1954" s="559"/>
      <c r="AS1954" s="559"/>
    </row>
    <row r="1955" spans="1:45" ht="39.950000000000003" customHeight="1" x14ac:dyDescent="0.25">
      <c r="A1955" s="2191" t="s">
        <v>1473</v>
      </c>
      <c r="B1955" s="2192"/>
      <c r="C1955" s="2192"/>
      <c r="D1955" s="2192"/>
      <c r="E1955" s="2192"/>
      <c r="F1955" s="2193"/>
      <c r="G1955" s="1421">
        <f>SUM(G1606,G1609,G1612,G1624,G1839,G1867,G1627,G1646,G1803,G1700,G1712,G1733,G1765,G1786,G1822,G1911,G1917,G1931,G1935,G1899,G1793,G1665,G1635,G1642,G1657,G1690,G1654,G1673,G1875,)+G1772+G1749+G1859+G1681+G1813+G1831+G1779+G1759+G1721+G1740+G1954+G1844+G1881+G1850+G1905+G1908+G1939</f>
        <v>74766.49000000002</v>
      </c>
      <c r="H1955" s="1421">
        <f t="shared" ref="H1955:L1955" si="1209">SUM(H1606,H1609,H1612,H1624,H1839,H1867,H1627,H1646,H1803,H1700,H1712,H1733,H1765,H1786,H1822,H1911,H1917,H1931,H1935,H1899,H1793,H1665,H1635,H1642,H1657,H1690,H1654,H1673,H1875,)+H1772+H1749+H1859+H1681+H1813+H1831+H1779+H1759+H1721+H1740+H1954+H1844+H1881+H1850+H1905+H1908+H1939</f>
        <v>5000</v>
      </c>
      <c r="I1955" s="1421">
        <f t="shared" si="1209"/>
        <v>3910</v>
      </c>
      <c r="J1955" s="1421">
        <f t="shared" si="1209"/>
        <v>4514.420000000001</v>
      </c>
      <c r="K1955" s="1421">
        <f t="shared" si="1209"/>
        <v>3910</v>
      </c>
      <c r="L1955" s="1421">
        <f t="shared" si="1209"/>
        <v>75252.069999999992</v>
      </c>
      <c r="M1955" s="2048"/>
      <c r="N1955" s="2049"/>
      <c r="O1955" s="2049"/>
      <c r="P1955" s="2050"/>
      <c r="R1955" s="822">
        <f>+SUM(R1599:R1954)</f>
        <v>18678.97</v>
      </c>
      <c r="U1955" s="787"/>
      <c r="V1955" s="787"/>
      <c r="W1955" s="787"/>
      <c r="X1955" s="787"/>
      <c r="Y1955" s="787"/>
      <c r="Z1955" s="1207"/>
      <c r="AA1955" s="787"/>
      <c r="AB1955" s="787"/>
      <c r="AC1955" s="679"/>
    </row>
    <row r="1956" spans="1:45" ht="39.950000000000003" customHeight="1" x14ac:dyDescent="0.25">
      <c r="A1956" s="2191" t="s">
        <v>1474</v>
      </c>
      <c r="B1956" s="2192"/>
      <c r="C1956" s="2192"/>
      <c r="D1956" s="2192"/>
      <c r="E1956" s="2192"/>
      <c r="F1956" s="2193"/>
      <c r="G1956" s="1421">
        <f t="shared" ref="G1956:L1956" si="1210">G1598+G1955</f>
        <v>1287300.9999999998</v>
      </c>
      <c r="H1956" s="1421">
        <f t="shared" si="1210"/>
        <v>73080</v>
      </c>
      <c r="I1956" s="1421">
        <f t="shared" si="1210"/>
        <v>40212</v>
      </c>
      <c r="J1956" s="1421">
        <f t="shared" si="1210"/>
        <v>39475.230000000003</v>
      </c>
      <c r="K1956" s="1421">
        <f t="shared" si="1210"/>
        <v>40212</v>
      </c>
      <c r="L1956" s="1421">
        <f t="shared" si="1210"/>
        <v>1320905.7699999998</v>
      </c>
      <c r="M1956" s="2045" t="s">
        <v>35</v>
      </c>
      <c r="N1956" s="2046"/>
      <c r="O1956" s="2046"/>
      <c r="P1956" s="2047"/>
      <c r="U1956" s="787"/>
      <c r="V1956" s="787"/>
      <c r="W1956" s="787"/>
      <c r="X1956" s="787"/>
      <c r="Y1956" s="787"/>
      <c r="Z1956" s="791"/>
      <c r="AA1956" s="787"/>
      <c r="AB1956" s="787"/>
      <c r="AC1956" s="679"/>
    </row>
    <row r="1957" spans="1:45" ht="39.950000000000003" customHeight="1" x14ac:dyDescent="0.25">
      <c r="A1957" s="2191" t="s">
        <v>1475</v>
      </c>
      <c r="B1957" s="2192"/>
      <c r="C1957" s="2192"/>
      <c r="D1957" s="2192"/>
      <c r="E1957" s="2192"/>
      <c r="F1957" s="2193"/>
      <c r="G1957" s="1421">
        <f t="shared" ref="G1957:L1957" si="1211">G612+G1956</f>
        <v>29244842.93</v>
      </c>
      <c r="H1957" s="1421">
        <f t="shared" si="1211"/>
        <v>721653</v>
      </c>
      <c r="I1957" s="1421">
        <f t="shared" si="1211"/>
        <v>3424128</v>
      </c>
      <c r="J1957" s="1421">
        <f t="shared" si="1211"/>
        <v>2073637.65</v>
      </c>
      <c r="K1957" s="1421">
        <f t="shared" si="1211"/>
        <v>3005058</v>
      </c>
      <c r="L1957" s="1421">
        <f t="shared" si="1211"/>
        <v>28311928.279999997</v>
      </c>
      <c r="M1957" s="2045"/>
      <c r="N1957" s="2046"/>
      <c r="O1957" s="2046"/>
      <c r="P1957" s="2047"/>
      <c r="U1957" s="787"/>
      <c r="V1957" s="787"/>
      <c r="W1957" s="787"/>
      <c r="X1957" s="787"/>
      <c r="Y1957" s="787"/>
      <c r="Z1957" s="1207">
        <f>SUMIF('391'!O:O,"GRAND TOTAL",'391'!AC:AC)</f>
        <v>31066891.620000001</v>
      </c>
      <c r="AA1957" s="1208">
        <f>+Z1957-G1957</f>
        <v>1822048.6900000013</v>
      </c>
      <c r="AB1957" s="787"/>
      <c r="AC1957" s="679"/>
    </row>
    <row r="1958" spans="1:45" s="423" customFormat="1" ht="12" customHeight="1" x14ac:dyDescent="0.25">
      <c r="A1958" s="57"/>
      <c r="B1958" s="2"/>
      <c r="C1958" s="13"/>
      <c r="D1958" s="16"/>
      <c r="E1958" s="15"/>
      <c r="F1958" s="141"/>
      <c r="I1958"/>
      <c r="J1958" s="213"/>
      <c r="K1958" s="205"/>
      <c r="L1958" s="202"/>
      <c r="M1958" s="263"/>
      <c r="N1958" s="569"/>
      <c r="O1958" s="263"/>
      <c r="P1958" s="723"/>
      <c r="Q1958" s="784"/>
      <c r="R1958" s="785"/>
      <c r="S1958" s="786"/>
      <c r="T1958" s="787"/>
      <c r="U1958" s="787"/>
      <c r="V1958" s="787"/>
      <c r="W1958" s="787"/>
      <c r="X1958" s="787"/>
      <c r="Y1958" s="787"/>
      <c r="Z1958" s="791"/>
      <c r="AA1958" s="787"/>
      <c r="AB1958" s="787"/>
      <c r="AC1958" s="688"/>
      <c r="AD1958" s="688"/>
      <c r="AE1958" s="688"/>
      <c r="AF1958" s="688"/>
      <c r="AG1958" s="688"/>
      <c r="AH1958" s="688"/>
      <c r="AI1958" s="710"/>
      <c r="AJ1958" s="710"/>
      <c r="AK1958" s="710"/>
      <c r="AL1958" s="710"/>
      <c r="AM1958" s="710"/>
      <c r="AN1958" s="710"/>
      <c r="AO1958" s="710"/>
      <c r="AP1958" s="710"/>
      <c r="AQ1958" s="710"/>
      <c r="AR1958" s="710"/>
      <c r="AS1958" s="710"/>
    </row>
    <row r="1959" spans="1:45" s="3" customFormat="1" ht="22.5" customHeight="1" x14ac:dyDescent="0.25">
      <c r="A1959" s="57"/>
      <c r="B1959" s="5"/>
      <c r="C1959" s="89"/>
      <c r="D1959" s="16"/>
      <c r="E1959" s="15"/>
      <c r="G1959" s="1994"/>
      <c r="H1959" s="717"/>
      <c r="I1959" s="544"/>
      <c r="J1959" s="503"/>
      <c r="K1959" s="503"/>
      <c r="L1959" s="1245">
        <f>+G1957+H1957+I1957-J1957-K1957-L1957</f>
        <v>0</v>
      </c>
      <c r="M1959" s="1455">
        <f>+J1957-usage!I256</f>
        <v>0</v>
      </c>
      <c r="N1959" s="569"/>
      <c r="O1959" s="385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9"/>
      <c r="AD1959" s="689"/>
      <c r="AE1959" s="689"/>
      <c r="AF1959" s="689"/>
      <c r="AG1959" s="689"/>
      <c r="AH1959" s="689"/>
      <c r="AI1959" s="711"/>
      <c r="AJ1959" s="711"/>
      <c r="AK1959" s="711"/>
      <c r="AL1959" s="711"/>
      <c r="AM1959" s="711"/>
      <c r="AN1959" s="711"/>
      <c r="AO1959" s="711"/>
      <c r="AP1959" s="711"/>
      <c r="AQ1959" s="711"/>
      <c r="AR1959" s="711"/>
      <c r="AS1959" s="711"/>
    </row>
    <row r="1960" spans="1:45" s="3" customFormat="1" ht="22.5" customHeight="1" x14ac:dyDescent="0.25">
      <c r="A1960" s="2189" t="s">
        <v>332</v>
      </c>
      <c r="B1960" s="2189"/>
      <c r="C1960" s="13"/>
      <c r="D1960" s="16"/>
      <c r="E1960" s="15"/>
      <c r="F1960" s="141"/>
      <c r="G1960" s="556"/>
      <c r="H1960" s="717"/>
      <c r="I1960" s="216"/>
      <c r="J1960" s="665"/>
      <c r="K1960" s="1226"/>
      <c r="L1960" s="214"/>
      <c r="M1960" s="382"/>
      <c r="N1960" s="569"/>
      <c r="O1960" s="382"/>
      <c r="P1960" s="1475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124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24.75" customHeight="1" x14ac:dyDescent="0.25">
      <c r="A1961" s="2189" t="s">
        <v>1471</v>
      </c>
      <c r="B1961" s="2189"/>
      <c r="C1961" s="13"/>
      <c r="D1961" s="16"/>
      <c r="E1961" s="15"/>
      <c r="F1961" s="141"/>
      <c r="G1961" s="556"/>
      <c r="H1961" s="1986"/>
      <c r="I1961" s="503">
        <f>+I1959-I1960</f>
        <v>0</v>
      </c>
      <c r="J1961" s="665"/>
      <c r="K1961" s="665"/>
      <c r="L1961" s="214"/>
      <c r="M1961" s="535"/>
      <c r="N1961" s="569"/>
      <c r="O1961" s="382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x14ac:dyDescent="0.25">
      <c r="A1962" s="2189" t="s">
        <v>1472</v>
      </c>
      <c r="B1962" s="2189"/>
      <c r="C1962" s="13"/>
      <c r="D1962" s="16"/>
      <c r="E1962" s="15"/>
      <c r="F1962" s="141"/>
      <c r="G1962" s="503"/>
      <c r="H1962" s="503">
        <f>+H1960+H1961</f>
        <v>0</v>
      </c>
      <c r="I1962" s="665"/>
      <c r="J1962" s="665"/>
      <c r="K1962" s="665"/>
      <c r="L1962" s="214"/>
      <c r="M1962" s="536"/>
      <c r="N1962" s="569"/>
      <c r="O1962" s="382"/>
      <c r="P1962" s="723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78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x14ac:dyDescent="0.25">
      <c r="A1963" s="2189"/>
      <c r="B1963" s="2189"/>
      <c r="C1963" s="13"/>
      <c r="D1963" s="16"/>
      <c r="E1963" s="503"/>
      <c r="F1963" s="141"/>
      <c r="G1963" s="96"/>
      <c r="H1963" s="503"/>
      <c r="I1963" s="665">
        <f>+H1959+I1960</f>
        <v>0</v>
      </c>
      <c r="J1963" s="1494"/>
      <c r="K1963" s="665"/>
      <c r="L1963" s="214"/>
      <c r="M1963" s="536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ht="30" customHeight="1" x14ac:dyDescent="0.25">
      <c r="A1964" s="2189"/>
      <c r="B1964" s="2189"/>
      <c r="C1964" s="13"/>
      <c r="D1964" s="16"/>
      <c r="E1964" s="15"/>
      <c r="F1964" s="141"/>
      <c r="G1964" s="214"/>
      <c r="H1964" s="503"/>
      <c r="I1964" s="503"/>
      <c r="J1964" s="503"/>
      <c r="K1964" s="665"/>
      <c r="L1964" s="1840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ht="30" customHeight="1" x14ac:dyDescent="0.25">
      <c r="A1965" s="2189"/>
      <c r="B1965" s="2189"/>
      <c r="C1965" s="13"/>
      <c r="D1965" s="16"/>
      <c r="E1965" s="15"/>
      <c r="F1965" s="141"/>
      <c r="G1965" s="214"/>
      <c r="H1965" s="245"/>
      <c r="I1965" s="1142"/>
      <c r="J1965" s="244"/>
      <c r="K1965" s="1906"/>
      <c r="L1965" s="214"/>
      <c r="M1965" s="535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ht="30" customHeight="1" x14ac:dyDescent="0.25">
      <c r="B1966" s="3"/>
      <c r="G1966" s="214"/>
      <c r="I1966" s="1142"/>
      <c r="J1966" s="1787"/>
      <c r="K1966" s="1907"/>
      <c r="L1966" s="214"/>
      <c r="M1966" s="535"/>
      <c r="O1966" s="382"/>
      <c r="U1966" s="787"/>
      <c r="V1966" s="787"/>
      <c r="W1966" s="787"/>
      <c r="X1966" s="787"/>
      <c r="Y1966" s="787"/>
      <c r="Z1966" s="791"/>
      <c r="AA1966" s="787"/>
      <c r="AB1966" s="787"/>
      <c r="AC1966" s="679"/>
    </row>
    <row r="1967" spans="1:45" ht="30" customHeight="1" x14ac:dyDescent="0.25">
      <c r="E1967" s="15" t="s">
        <v>353</v>
      </c>
      <c r="G1967" s="328"/>
      <c r="J1967" s="1787"/>
      <c r="K1967" s="1903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ht="30" customHeight="1" x14ac:dyDescent="0.25">
      <c r="J1968" s="244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J1969" s="244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244"/>
      <c r="K1971" s="220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1903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ht="15.75" x14ac:dyDescent="0.25">
      <c r="A1973" s="2"/>
      <c r="C1973" s="2"/>
      <c r="D1973" s="2"/>
      <c r="E1973" s="2"/>
      <c r="F1973" s="2"/>
      <c r="G1973" s="2"/>
      <c r="H1973" s="2"/>
      <c r="J1973" s="244"/>
      <c r="K1973" s="203"/>
      <c r="L1973" s="2"/>
      <c r="M1973" s="322"/>
      <c r="N1973" s="13"/>
      <c r="O1973" s="322"/>
      <c r="P1973" s="1475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I1974" s="202"/>
      <c r="J1974" s="569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J1975" s="569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ht="16.5" x14ac:dyDescent="0.25">
      <c r="A1981" s="2"/>
      <c r="C1981" s="2"/>
      <c r="D1981" s="2"/>
      <c r="E1981" s="2"/>
      <c r="F1981" s="2"/>
      <c r="G1981" s="2"/>
      <c r="H1981" s="2"/>
      <c r="J1981" s="503"/>
      <c r="K1981" s="2"/>
      <c r="L1981" s="2"/>
      <c r="M1981" s="4"/>
      <c r="N1981" s="13"/>
      <c r="O1981" s="4"/>
      <c r="P1981" s="1475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I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5.75" x14ac:dyDescent="0.25">
      <c r="A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x14ac:dyDescent="0.25">
      <c r="I2480" s="2"/>
    </row>
  </sheetData>
  <sheetProtection formatRows="0" insertColumns="0" insertRows="0" insertHyperlinks="0" deleteColumns="0" deleteRows="0" sort="0" autoFilter="0" pivotTables="0"/>
  <mergeCells count="737">
    <mergeCell ref="A1665:B1665"/>
    <mergeCell ref="B1655:B1656"/>
    <mergeCell ref="A1654:B1654"/>
    <mergeCell ref="A1666:A1672"/>
    <mergeCell ref="A1647:A1653"/>
    <mergeCell ref="A1673:B1673"/>
    <mergeCell ref="A1606:B1606"/>
    <mergeCell ref="A1599:A1605"/>
    <mergeCell ref="A1642:B1642"/>
    <mergeCell ref="A1625:A1626"/>
    <mergeCell ref="A1628:A1634"/>
    <mergeCell ref="B1636:B1641"/>
    <mergeCell ref="A1609:B1609"/>
    <mergeCell ref="A1657:B1657"/>
    <mergeCell ref="A1658:A1664"/>
    <mergeCell ref="A1627:B1627"/>
    <mergeCell ref="A1646:B1646"/>
    <mergeCell ref="A1655:A1656"/>
    <mergeCell ref="A1613:A1623"/>
    <mergeCell ref="B1643:B1645"/>
    <mergeCell ref="A1636:A1641"/>
    <mergeCell ref="A1643:A1645"/>
    <mergeCell ref="A1635:B1635"/>
    <mergeCell ref="B1607:B1608"/>
    <mergeCell ref="A1582:A1584"/>
    <mergeCell ref="B1582:B1584"/>
    <mergeCell ref="A1590:A1592"/>
    <mergeCell ref="B1590:B1592"/>
    <mergeCell ref="A1598:D1598"/>
    <mergeCell ref="A1564:A1566"/>
    <mergeCell ref="B1564:B1566"/>
    <mergeCell ref="A1543:A1546"/>
    <mergeCell ref="B1543:B1546"/>
    <mergeCell ref="A1548:A1552"/>
    <mergeCell ref="B1548:B1552"/>
    <mergeCell ref="A1559:A1562"/>
    <mergeCell ref="B1559:B1562"/>
    <mergeCell ref="A1568:A1570"/>
    <mergeCell ref="B1568:B1570"/>
    <mergeCell ref="A1572:A1575"/>
    <mergeCell ref="B1572:B1575"/>
    <mergeCell ref="B1586:B1588"/>
    <mergeCell ref="A1554:A1557"/>
    <mergeCell ref="B1554:B1557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A1759:B1759"/>
    <mergeCell ref="A1740:B1740"/>
    <mergeCell ref="A1700:B1700"/>
    <mergeCell ref="B1691:B1699"/>
    <mergeCell ref="A1674:A1680"/>
    <mergeCell ref="A1681:B1681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7:A1608"/>
    <mergeCell ref="A1539:A1541"/>
    <mergeCell ref="B1539:B1541"/>
    <mergeCell ref="A1691:A1699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0:A1785"/>
    <mergeCell ref="A1749:B1749"/>
    <mergeCell ref="A1734:A1739"/>
    <mergeCell ref="B1741:B1748"/>
    <mergeCell ref="A1741:A1748"/>
    <mergeCell ref="A1529:A1531"/>
    <mergeCell ref="A1577:A1580"/>
    <mergeCell ref="B1577:B1580"/>
    <mergeCell ref="B1625:B1626"/>
    <mergeCell ref="A1624:B1624"/>
    <mergeCell ref="A1610:A1611"/>
    <mergeCell ref="A1612:B1612"/>
    <mergeCell ref="B1610:B1611"/>
    <mergeCell ref="B1594:B1596"/>
    <mergeCell ref="A1594:A1596"/>
    <mergeCell ref="A1586:A1588"/>
    <mergeCell ref="A1912:A1916"/>
    <mergeCell ref="A1900:A1904"/>
    <mergeCell ref="A1905:B1905"/>
    <mergeCell ref="A1867:B1867"/>
    <mergeCell ref="A1860:A1866"/>
    <mergeCell ref="A1875:B1875"/>
    <mergeCell ref="A1701:A1711"/>
    <mergeCell ref="A1682:A1689"/>
    <mergeCell ref="A1690:B1690"/>
    <mergeCell ref="A1713:A1720"/>
    <mergeCell ref="A1712:B1712"/>
    <mergeCell ref="A1765:B1765"/>
    <mergeCell ref="A1750:A1758"/>
    <mergeCell ref="A1876:A1880"/>
    <mergeCell ref="A1832:A1838"/>
    <mergeCell ref="A1831:B1831"/>
    <mergeCell ref="A1822:B1822"/>
    <mergeCell ref="A1722:A1732"/>
    <mergeCell ref="B1713:B1720"/>
    <mergeCell ref="B1823:B1830"/>
    <mergeCell ref="A1766:A1771"/>
    <mergeCell ref="B1734:B1739"/>
    <mergeCell ref="A1721:B1721"/>
    <mergeCell ref="A1733:B1733"/>
    <mergeCell ref="A1965:B1965"/>
    <mergeCell ref="A1881:B1881"/>
    <mergeCell ref="A1909:A1910"/>
    <mergeCell ref="A1964:B1964"/>
    <mergeCell ref="A1963:B1963"/>
    <mergeCell ref="A1940:A1953"/>
    <mergeCell ref="A1917:B1917"/>
    <mergeCell ref="A1931:B1931"/>
    <mergeCell ref="A1911:B1911"/>
    <mergeCell ref="A1899:B1899"/>
    <mergeCell ref="A1954:B1954"/>
    <mergeCell ref="A1932:A1934"/>
    <mergeCell ref="A1962:B1962"/>
    <mergeCell ref="A1957:F1957"/>
    <mergeCell ref="A1956:F1956"/>
    <mergeCell ref="A1955:F1955"/>
    <mergeCell ref="A1961:B1961"/>
    <mergeCell ref="A1960:B1960"/>
    <mergeCell ref="A1906:A1907"/>
    <mergeCell ref="A1908:B1908"/>
    <mergeCell ref="A1882:A1898"/>
    <mergeCell ref="A1918:A1930"/>
    <mergeCell ref="A1935:B1935"/>
    <mergeCell ref="A1936:A1938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932:B932"/>
    <mergeCell ref="B933:B940"/>
    <mergeCell ref="B900:B908"/>
    <mergeCell ref="A909:B909"/>
    <mergeCell ref="C1712:F1712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M1957:P1957"/>
    <mergeCell ref="B1422:B1426"/>
    <mergeCell ref="A1453:A1455"/>
    <mergeCell ref="A846:A852"/>
    <mergeCell ref="A1823:A1830"/>
    <mergeCell ref="C1721:F1721"/>
    <mergeCell ref="A969:B969"/>
    <mergeCell ref="B1882:B1898"/>
    <mergeCell ref="D1786:E1786"/>
    <mergeCell ref="A1760:A1764"/>
    <mergeCell ref="A1840:A1843"/>
    <mergeCell ref="A1868:A1874"/>
    <mergeCell ref="A1859:B1859"/>
    <mergeCell ref="A1793:B1793"/>
    <mergeCell ref="A1787:A1792"/>
    <mergeCell ref="A1786:B1786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6:P1956"/>
    <mergeCell ref="M1955:P1955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0:B1758"/>
    <mergeCell ref="A756:B756"/>
    <mergeCell ref="B703:B707"/>
    <mergeCell ref="A796:B796"/>
    <mergeCell ref="A608:B608"/>
    <mergeCell ref="A642:B642"/>
    <mergeCell ref="A1939:B1939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A942:A952"/>
    <mergeCell ref="A1851:A1858"/>
    <mergeCell ref="A1794:A1802"/>
    <mergeCell ref="A1803:B1803"/>
    <mergeCell ref="A1850:B1850"/>
    <mergeCell ref="A1845:A1849"/>
    <mergeCell ref="A1844:B1844"/>
    <mergeCell ref="A1813:B1813"/>
    <mergeCell ref="A1814:A1821"/>
    <mergeCell ref="A1839:B1839"/>
    <mergeCell ref="B1773:B1778"/>
    <mergeCell ref="A1773:A1778"/>
    <mergeCell ref="A1804:A1812"/>
    <mergeCell ref="A1779:B1779"/>
    <mergeCell ref="B1804:B1812"/>
    <mergeCell ref="A1772:B1772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09:L1910 L1956:L1957 L1196:L1240 L169:L183 L307:L311 L313 L360:L374 L376 L315:L329 L331:L338 L340 L81:L87 L1079:L1105 L1107:L1112 L803:L807 L1481:L1488 L1594:L1596 L1063:L1077 L1114:L1119 L161:L167 L1242:L1253 G278:K278 L225:L228 L954:L961 L614:L622 L1030:L1061 L16:L60 L210:L223 L1317:L1381 L748:L801 L1255:L1271 L230:L248 L963:L1028 L1383:L1420 L89:L118 L342:L358 L1422:L1468 L294:L299 L250:L292 L185:L208 L301:L305 L120:L153 L1599:L1907 L1121:L1194 H195:H203 L155:L159 L518:L567 L1912:L1949 L624:L746 L1952:L1954 L62:L79 L569:L611 L1273:L1312 L1314:L1315 L379:L516 L809:L952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4:L1565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6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8:L1569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0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2:L1574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5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7 L1579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0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6:L1587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88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2:L1583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4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8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0:L1591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2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2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0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1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7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5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A24" sqref="A24:XFD24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26" t="s">
        <v>511</v>
      </c>
      <c r="B1" s="2226"/>
      <c r="C1" s="2226"/>
      <c r="D1" s="2226"/>
      <c r="E1" s="2226"/>
      <c r="F1" s="2226"/>
      <c r="G1" s="2226"/>
      <c r="H1" s="2226"/>
      <c r="I1" s="2226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46276</v>
      </c>
    </row>
    <row r="3" spans="1:18" ht="30" customHeight="1" x14ac:dyDescent="0.25">
      <c r="A3" s="2229" t="s">
        <v>3</v>
      </c>
      <c r="B3" s="2245" t="s">
        <v>619</v>
      </c>
      <c r="C3" s="2231" t="s">
        <v>278</v>
      </c>
      <c r="D3" s="2231" t="s">
        <v>1376</v>
      </c>
      <c r="E3" s="2227" t="s">
        <v>46</v>
      </c>
      <c r="F3" s="2227"/>
      <c r="G3" s="2228" t="s">
        <v>366</v>
      </c>
      <c r="H3" s="2227"/>
      <c r="I3" s="2233" t="s">
        <v>460</v>
      </c>
      <c r="J3" s="2219" t="s">
        <v>461</v>
      </c>
    </row>
    <row r="4" spans="1:18" ht="30" customHeight="1" x14ac:dyDescent="0.25">
      <c r="A4" s="2230"/>
      <c r="B4" s="2246"/>
      <c r="C4" s="2232"/>
      <c r="D4" s="2232"/>
      <c r="E4" s="1192" t="s">
        <v>279</v>
      </c>
      <c r="F4" s="573" t="s">
        <v>1150</v>
      </c>
      <c r="G4" s="542" t="s">
        <v>279</v>
      </c>
      <c r="H4" s="541" t="s">
        <v>1150</v>
      </c>
      <c r="I4" s="2234"/>
      <c r="J4" s="2220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1897</v>
      </c>
      <c r="D5" s="612">
        <v>1.7999999999999999E-2</v>
      </c>
      <c r="E5" s="1193">
        <f>ROUND(SUMIF(sdmixer!$A:$A,usage!B5,sdmixer!$E:$E),0)</f>
        <v>90576</v>
      </c>
      <c r="F5" s="577">
        <f>ROUND(D5*E5,0)</f>
        <v>1630</v>
      </c>
      <c r="G5" s="603"/>
      <c r="H5" s="577">
        <f t="shared" ref="H5:H66" si="0">+G5*D5</f>
        <v>0</v>
      </c>
      <c r="I5" s="579">
        <f>+G5+H5+E5+F5</f>
        <v>92206</v>
      </c>
      <c r="J5" s="580">
        <f>+E5+G5</f>
        <v>90576</v>
      </c>
      <c r="K5" s="650"/>
      <c r="L5" s="1286"/>
      <c r="O5" s="666"/>
      <c r="P5" s="666"/>
      <c r="Q5" s="1727"/>
      <c r="R5" s="1728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1898</v>
      </c>
      <c r="D6" s="613">
        <v>1.7999999999999999E-2</v>
      </c>
      <c r="E6" s="1193">
        <f>sdmixer!K2-E5</f>
        <v>932627.75</v>
      </c>
      <c r="F6" s="577">
        <f t="shared" ref="F6:F66" si="1">ROUND(D6*E6,0)</f>
        <v>16787</v>
      </c>
      <c r="G6" s="603"/>
      <c r="H6" s="576">
        <f t="shared" si="0"/>
        <v>0</v>
      </c>
      <c r="I6" s="579">
        <f>+G6+H6+E6+F6</f>
        <v>949414.75</v>
      </c>
      <c r="J6" s="580">
        <f t="shared" ref="J6:J69" si="2">+E6+G6</f>
        <v>932627.75</v>
      </c>
      <c r="K6" s="650"/>
      <c r="L6" s="1286"/>
      <c r="O6" s="666"/>
      <c r="P6" s="1921"/>
      <c r="Q6" s="1727"/>
      <c r="R6" s="1728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3"/>
      <c r="P7" s="1921"/>
      <c r="Q7" s="1727"/>
      <c r="R7" s="1728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53725</v>
      </c>
      <c r="F8" s="577">
        <f t="shared" si="1"/>
        <v>2149</v>
      </c>
      <c r="G8" s="578"/>
      <c r="H8" s="576">
        <f t="shared" si="0"/>
        <v>0</v>
      </c>
      <c r="I8" s="579">
        <f t="shared" ref="I8:I66" si="3">+G8+H8+E8+F8</f>
        <v>55874</v>
      </c>
      <c r="J8" s="580">
        <f t="shared" si="2"/>
        <v>53725</v>
      </c>
      <c r="K8" s="650"/>
      <c r="L8" s="1286"/>
      <c r="O8" s="666"/>
      <c r="P8" s="1921"/>
      <c r="Q8" s="1727"/>
      <c r="R8" s="1728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1"/>
      <c r="Q9" s="1727"/>
      <c r="R9" s="1728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1441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1"/>
      <c r="Q10" s="1727"/>
      <c r="R10" s="1728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1"/>
      <c r="Q11" s="1727"/>
      <c r="R11" s="1728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82190</v>
      </c>
      <c r="F12" s="577">
        <f t="shared" si="1"/>
        <v>822</v>
      </c>
      <c r="G12" s="578"/>
      <c r="H12" s="576">
        <f t="shared" si="0"/>
        <v>0</v>
      </c>
      <c r="I12" s="579">
        <f t="shared" si="3"/>
        <v>83012</v>
      </c>
      <c r="J12" s="580">
        <f t="shared" si="2"/>
        <v>82190</v>
      </c>
      <c r="K12" s="650"/>
      <c r="L12" s="1286"/>
      <c r="O12" s="666"/>
      <c r="P12" s="1921"/>
      <c r="Q12" s="1727"/>
      <c r="R12" s="1728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1"/>
      <c r="Q13" s="1727"/>
      <c r="R13" s="1728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14597</v>
      </c>
      <c r="F14" s="577">
        <f t="shared" si="1"/>
        <v>146</v>
      </c>
      <c r="G14" s="578"/>
      <c r="H14" s="576">
        <f t="shared" si="0"/>
        <v>0</v>
      </c>
      <c r="I14" s="579">
        <f t="shared" si="3"/>
        <v>14743</v>
      </c>
      <c r="J14" s="580">
        <f t="shared" si="2"/>
        <v>14597</v>
      </c>
      <c r="K14" s="650"/>
      <c r="L14" s="1286"/>
      <c r="O14" s="666"/>
      <c r="P14" s="1921"/>
      <c r="Q14" s="1727"/>
      <c r="R14" s="1728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2137</v>
      </c>
      <c r="F15" s="577">
        <f t="shared" si="1"/>
        <v>21</v>
      </c>
      <c r="G15" s="578"/>
      <c r="H15" s="576">
        <f t="shared" si="0"/>
        <v>0</v>
      </c>
      <c r="I15" s="579">
        <f t="shared" si="3"/>
        <v>2158</v>
      </c>
      <c r="J15" s="580">
        <f t="shared" si="2"/>
        <v>2137</v>
      </c>
      <c r="K15" s="650"/>
      <c r="L15" s="1286"/>
      <c r="M15" s="637"/>
      <c r="O15" s="666"/>
      <c r="P15" s="666"/>
      <c r="Q15" s="1727"/>
      <c r="R15" s="1728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53656</v>
      </c>
      <c r="F16" s="577">
        <f t="shared" si="1"/>
        <v>537</v>
      </c>
      <c r="G16" s="578"/>
      <c r="H16" s="576">
        <f t="shared" si="0"/>
        <v>0</v>
      </c>
      <c r="I16" s="579">
        <f t="shared" si="3"/>
        <v>54193</v>
      </c>
      <c r="J16" s="580">
        <f t="shared" si="2"/>
        <v>53656</v>
      </c>
      <c r="K16" s="650"/>
      <c r="L16" s="1286"/>
      <c r="O16" s="1921"/>
      <c r="P16" s="1921"/>
      <c r="Q16" s="1727"/>
      <c r="R16" s="1728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6462</v>
      </c>
      <c r="F17" s="577">
        <f t="shared" si="1"/>
        <v>65</v>
      </c>
      <c r="G17" s="578"/>
      <c r="H17" s="576">
        <f t="shared" si="0"/>
        <v>0</v>
      </c>
      <c r="I17" s="579">
        <f t="shared" si="3"/>
        <v>6527</v>
      </c>
      <c r="J17" s="580">
        <f t="shared" si="2"/>
        <v>6462</v>
      </c>
      <c r="K17" s="650"/>
      <c r="L17" s="1286"/>
      <c r="O17" s="666"/>
      <c r="P17" s="666"/>
      <c r="Q17" s="1727"/>
      <c r="R17" s="1728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7"/>
      <c r="R18" s="1728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7"/>
      <c r="R19" s="1728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7"/>
      <c r="R20" s="1728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46587</v>
      </c>
      <c r="F21" s="577">
        <f t="shared" ref="F21" si="8">ROUND(D21*E21,0)</f>
        <v>466</v>
      </c>
      <c r="G21" s="578"/>
      <c r="H21" s="576">
        <f t="shared" ref="H21" si="9">+G21*D21</f>
        <v>0</v>
      </c>
      <c r="I21" s="579">
        <f t="shared" ref="I21" si="10">+G21+H21+E21+F21</f>
        <v>47053</v>
      </c>
      <c r="J21" s="580">
        <f t="shared" ref="J21" si="11">+E21+G21</f>
        <v>46587</v>
      </c>
      <c r="K21" s="650"/>
      <c r="L21" s="1286"/>
      <c r="O21" s="666"/>
      <c r="P21" s="666"/>
      <c r="Q21" s="1727"/>
      <c r="R21" s="1728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7"/>
      <c r="R22" s="1728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7"/>
      <c r="R23" s="1728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343468</v>
      </c>
      <c r="F24" s="577">
        <f t="shared" si="1"/>
        <v>3435</v>
      </c>
      <c r="G24" s="578"/>
      <c r="H24" s="576">
        <f>+G24*D24</f>
        <v>0</v>
      </c>
      <c r="I24" s="579">
        <f>+G24+H24+E24+F24</f>
        <v>346903</v>
      </c>
      <c r="J24" s="580">
        <f t="shared" si="2"/>
        <v>343468</v>
      </c>
      <c r="K24" s="650"/>
      <c r="L24" s="1286"/>
      <c r="O24" s="666"/>
      <c r="P24" s="666"/>
      <c r="Q24" s="1727"/>
      <c r="R24" s="1728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51835</v>
      </c>
      <c r="F25" s="577">
        <f t="shared" si="1"/>
        <v>2073</v>
      </c>
      <c r="G25" s="578"/>
      <c r="H25" s="576">
        <f t="shared" si="0"/>
        <v>0</v>
      </c>
      <c r="I25" s="579">
        <f t="shared" si="3"/>
        <v>53908</v>
      </c>
      <c r="J25" s="580">
        <f t="shared" si="2"/>
        <v>51835</v>
      </c>
      <c r="K25" s="650"/>
      <c r="L25" s="1286"/>
      <c r="O25" s="666"/>
      <c r="P25" s="666"/>
      <c r="Q25" s="1727"/>
      <c r="R25" s="1728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72601</v>
      </c>
      <c r="F26" s="577">
        <f t="shared" si="1"/>
        <v>726</v>
      </c>
      <c r="G26" s="578"/>
      <c r="H26" s="576">
        <f t="shared" si="0"/>
        <v>0</v>
      </c>
      <c r="I26" s="579">
        <f t="shared" si="3"/>
        <v>73327</v>
      </c>
      <c r="J26" s="580">
        <f t="shared" si="2"/>
        <v>72601</v>
      </c>
      <c r="K26" s="650"/>
      <c r="L26" s="1286"/>
      <c r="O26" s="666"/>
      <c r="P26" s="666"/>
      <c r="Q26" s="1727"/>
      <c r="R26" s="1728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1450</v>
      </c>
      <c r="F27" s="577">
        <f t="shared" si="1"/>
        <v>15</v>
      </c>
      <c r="G27" s="578"/>
      <c r="H27" s="576">
        <f t="shared" si="0"/>
        <v>0</v>
      </c>
      <c r="I27" s="579">
        <f t="shared" si="3"/>
        <v>1465</v>
      </c>
      <c r="J27" s="580">
        <f t="shared" si="2"/>
        <v>1450</v>
      </c>
      <c r="K27" s="650"/>
      <c r="L27" s="1286"/>
      <c r="O27" s="666"/>
      <c r="P27" s="666"/>
      <c r="Q27" s="1727"/>
      <c r="R27" s="1728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7"/>
      <c r="R28" s="1728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12854</v>
      </c>
      <c r="F29" s="577">
        <f t="shared" si="1"/>
        <v>129</v>
      </c>
      <c r="G29" s="578"/>
      <c r="H29" s="576">
        <f t="shared" si="0"/>
        <v>0</v>
      </c>
      <c r="I29" s="579">
        <f t="shared" si="3"/>
        <v>12983</v>
      </c>
      <c r="J29" s="580">
        <f t="shared" si="2"/>
        <v>12854</v>
      </c>
      <c r="K29" s="650"/>
      <c r="L29" s="1286"/>
      <c r="O29" s="666"/>
      <c r="P29" s="666"/>
      <c r="Q29" s="1727"/>
      <c r="R29" s="1728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7"/>
      <c r="R30" s="1728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104262</v>
      </c>
      <c r="F31" s="577">
        <f t="shared" si="1"/>
        <v>1043</v>
      </c>
      <c r="G31" s="578"/>
      <c r="H31" s="576">
        <f t="shared" si="0"/>
        <v>0</v>
      </c>
      <c r="I31" s="579">
        <f t="shared" si="3"/>
        <v>105305</v>
      </c>
      <c r="J31" s="580">
        <f t="shared" si="2"/>
        <v>104262</v>
      </c>
      <c r="K31" s="650"/>
      <c r="L31" s="1286"/>
      <c r="O31" s="666"/>
      <c r="P31" s="666"/>
      <c r="Q31" s="1727"/>
      <c r="R31" s="1728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7"/>
      <c r="R32" s="1728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5853</v>
      </c>
      <c r="F33" s="577">
        <f t="shared" si="1"/>
        <v>59</v>
      </c>
      <c r="G33" s="578"/>
      <c r="H33" s="576">
        <f t="shared" si="0"/>
        <v>0</v>
      </c>
      <c r="I33" s="579">
        <f t="shared" si="3"/>
        <v>5912</v>
      </c>
      <c r="J33" s="580">
        <f t="shared" si="2"/>
        <v>5853</v>
      </c>
      <c r="K33" s="650"/>
      <c r="L33" s="1286"/>
      <c r="O33" s="666"/>
      <c r="P33" s="666"/>
      <c r="Q33" s="1727"/>
      <c r="R33" s="1728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3965</v>
      </c>
      <c r="F34" s="577">
        <f t="shared" si="1"/>
        <v>20</v>
      </c>
      <c r="G34" s="578"/>
      <c r="H34" s="576">
        <f>+G34*D34</f>
        <v>0</v>
      </c>
      <c r="I34" s="579">
        <f t="shared" si="3"/>
        <v>3985</v>
      </c>
      <c r="J34" s="580">
        <f t="shared" si="2"/>
        <v>3965</v>
      </c>
      <c r="K34" s="650"/>
      <c r="L34" s="1286"/>
      <c r="O34" s="666"/>
      <c r="P34" s="666"/>
      <c r="Q34" s="1727"/>
      <c r="R34" s="1728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7"/>
      <c r="R35" s="1728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7"/>
      <c r="R36" s="1728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15552</v>
      </c>
      <c r="F37" s="577">
        <f t="shared" si="1"/>
        <v>78</v>
      </c>
      <c r="G37" s="578"/>
      <c r="H37" s="576">
        <f t="shared" si="0"/>
        <v>0</v>
      </c>
      <c r="I37" s="579">
        <f t="shared" si="3"/>
        <v>15630</v>
      </c>
      <c r="J37" s="580">
        <f t="shared" si="2"/>
        <v>15552</v>
      </c>
      <c r="K37" s="650"/>
      <c r="L37" s="1286"/>
      <c r="O37" s="666"/>
      <c r="P37" s="666"/>
      <c r="Q37" s="1727"/>
      <c r="R37" s="1728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7"/>
      <c r="R38" s="1728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7"/>
      <c r="R39" s="1728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9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11581</v>
      </c>
      <c r="F41" s="577">
        <f t="shared" si="1"/>
        <v>58</v>
      </c>
      <c r="G41" s="578"/>
      <c r="H41" s="576">
        <f t="shared" si="0"/>
        <v>0</v>
      </c>
      <c r="I41" s="579">
        <f t="shared" si="3"/>
        <v>11639</v>
      </c>
      <c r="J41" s="580">
        <f t="shared" si="2"/>
        <v>11581</v>
      </c>
      <c r="K41" s="650"/>
      <c r="L41" s="1286"/>
      <c r="R41" s="1729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25848</v>
      </c>
      <c r="F42" s="577">
        <f t="shared" si="1"/>
        <v>129</v>
      </c>
      <c r="G42" s="585"/>
      <c r="H42" s="576">
        <f>+G42*D42</f>
        <v>0</v>
      </c>
      <c r="I42" s="579">
        <f>+G42+H42+E42+F42</f>
        <v>25977</v>
      </c>
      <c r="J42" s="580">
        <f>+E42+G42</f>
        <v>25848</v>
      </c>
      <c r="K42" s="650"/>
      <c r="L42" s="1286"/>
      <c r="R42" s="1729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3129</v>
      </c>
      <c r="F43" s="577">
        <f t="shared" si="1"/>
        <v>16</v>
      </c>
      <c r="G43" s="585"/>
      <c r="H43" s="576">
        <f t="shared" si="0"/>
        <v>0</v>
      </c>
      <c r="I43" s="579">
        <f t="shared" si="3"/>
        <v>3145</v>
      </c>
      <c r="J43" s="580">
        <f t="shared" si="2"/>
        <v>3129</v>
      </c>
      <c r="K43" s="650"/>
      <c r="L43" s="1286"/>
      <c r="R43" s="1729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7432</v>
      </c>
      <c r="F44" s="577">
        <f t="shared" si="1"/>
        <v>37</v>
      </c>
      <c r="G44" s="578"/>
      <c r="H44" s="576">
        <f t="shared" si="0"/>
        <v>0</v>
      </c>
      <c r="I44" s="579">
        <f t="shared" si="3"/>
        <v>7469</v>
      </c>
      <c r="J44" s="580">
        <f t="shared" si="2"/>
        <v>7432</v>
      </c>
      <c r="K44" s="650"/>
      <c r="L44" s="1286"/>
      <c r="R44" s="1729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746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746</v>
      </c>
      <c r="J45" s="580">
        <f t="shared" si="2"/>
        <v>746</v>
      </c>
      <c r="K45" s="650"/>
      <c r="L45" s="1286"/>
      <c r="R45" s="1729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9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4096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4096</v>
      </c>
      <c r="J47" s="580">
        <f t="shared" si="2"/>
        <v>4096</v>
      </c>
      <c r="K47" s="650"/>
      <c r="L47" s="1286"/>
      <c r="R47" s="1729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2913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2913</v>
      </c>
      <c r="J48" s="580">
        <f t="shared" si="2"/>
        <v>2913</v>
      </c>
      <c r="K48" s="650"/>
      <c r="L48" s="1286"/>
      <c r="R48" s="1729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9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1439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1439</v>
      </c>
      <c r="J50" s="580">
        <f t="shared" si="2"/>
        <v>1439</v>
      </c>
      <c r="L50" s="1286"/>
      <c r="R50" s="1729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9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9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6044</v>
      </c>
      <c r="F53" s="577">
        <f t="shared" si="1"/>
        <v>30</v>
      </c>
      <c r="G53" s="578"/>
      <c r="H53" s="576">
        <f t="shared" si="0"/>
        <v>0</v>
      </c>
      <c r="I53" s="579">
        <f t="shared" si="3"/>
        <v>6074</v>
      </c>
      <c r="J53" s="580">
        <f t="shared" si="2"/>
        <v>6044</v>
      </c>
      <c r="L53" s="1286"/>
      <c r="R53" s="1729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9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4058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4058</v>
      </c>
      <c r="J55" s="580">
        <f t="shared" si="2"/>
        <v>4058</v>
      </c>
      <c r="L55" s="1286"/>
      <c r="R55" s="1729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241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241</v>
      </c>
      <c r="J56" s="580">
        <f t="shared" si="2"/>
        <v>241</v>
      </c>
      <c r="L56" s="1286"/>
      <c r="R56" s="1729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15979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15979</v>
      </c>
      <c r="J57" s="580">
        <f t="shared" si="2"/>
        <v>15979</v>
      </c>
      <c r="L57" s="1286"/>
      <c r="R57" s="1729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25299.67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25299.67</v>
      </c>
      <c r="J58" s="580">
        <f t="shared" si="2"/>
        <v>25299.67</v>
      </c>
      <c r="L58" s="1286"/>
      <c r="R58" s="1729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9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9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9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9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1493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9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9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9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1782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9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9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1931</v>
      </c>
      <c r="D68" s="616"/>
      <c r="E68" s="1193">
        <f>ROUND(SUMIF(sdmixer!$A:$A,usage!B68,sdmixer!$E:$E),0)</f>
        <v>488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488</v>
      </c>
      <c r="J68" s="586">
        <f t="shared" ref="J68" si="24">+E68+G68</f>
        <v>488</v>
      </c>
      <c r="L68" s="1286"/>
      <c r="R68" s="1729"/>
    </row>
    <row r="69" spans="1:18" s="279" customFormat="1" ht="30.75" customHeight="1" x14ac:dyDescent="0.2">
      <c r="A69" s="2239" t="s">
        <v>435</v>
      </c>
      <c r="B69" s="2240"/>
      <c r="C69" s="2240"/>
      <c r="D69" s="2241"/>
      <c r="E69" s="1194">
        <f>+SUM(E5:E68)</f>
        <v>2003691.42</v>
      </c>
      <c r="F69" s="1194">
        <f>+SUM(F5:F68)</f>
        <v>30471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2034162.42</v>
      </c>
      <c r="J69" s="587">
        <f t="shared" si="2"/>
        <v>2003691.42</v>
      </c>
      <c r="K69" s="692"/>
      <c r="L69" s="664"/>
      <c r="R69" s="1730"/>
    </row>
    <row r="70" spans="1:18" ht="29.25" customHeight="1" thickBot="1" x14ac:dyDescent="0.3">
      <c r="A70" s="2242"/>
      <c r="B70" s="2243"/>
      <c r="C70" s="2243"/>
      <c r="D70" s="2244"/>
      <c r="E70" s="2237">
        <f>+E69+F69</f>
        <v>2034162.42</v>
      </c>
      <c r="F70" s="2238"/>
      <c r="G70" s="2235">
        <f>+G69+H69</f>
        <v>0</v>
      </c>
      <c r="H70" s="2236"/>
      <c r="I70" s="588">
        <f>+E70+G70</f>
        <v>2034162.42</v>
      </c>
      <c r="J70" s="589"/>
      <c r="R70" s="1729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1611</v>
      </c>
      <c r="D71" s="617"/>
      <c r="E71" s="1287">
        <f>+SUMIF(sdmixer!$A:$A,usage!B71,sdmixer!$E:$E)</f>
        <v>291.86</v>
      </c>
      <c r="F71" s="1288"/>
      <c r="G71" s="591"/>
      <c r="H71" s="590"/>
      <c r="I71" s="592">
        <f t="shared" ref="I71:I87" si="26">+E71+G71</f>
        <v>291.86</v>
      </c>
      <c r="J71" s="563">
        <f>+E69+E222+E255+67054-10022.16+9885.12-162-43+172.02+8.4+4670.38+5621.94+5198+21753</f>
        <v>2147302.3499999996</v>
      </c>
      <c r="K71" s="646"/>
      <c r="L71" s="1286"/>
      <c r="N71" s="1723"/>
      <c r="R71" s="1729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9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1022.95</v>
      </c>
      <c r="F73" s="593"/>
      <c r="G73" s="594"/>
      <c r="H73" s="593"/>
      <c r="I73" s="595">
        <f t="shared" si="26"/>
        <v>1022.95</v>
      </c>
      <c r="J73" s="718">
        <f>+J71-J72</f>
        <v>78732.109999999637</v>
      </c>
      <c r="K73"/>
      <c r="L73" s="1286"/>
      <c r="R73" s="1729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1281.5</v>
      </c>
      <c r="F74" s="593"/>
      <c r="G74" s="594"/>
      <c r="H74" s="593"/>
      <c r="I74" s="595">
        <f t="shared" si="26"/>
        <v>1281.5</v>
      </c>
      <c r="J74" s="563"/>
      <c r="K74" s="646"/>
      <c r="L74" s="1286"/>
      <c r="R74" s="1729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9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2430.1799999999998</v>
      </c>
      <c r="F76" s="593"/>
      <c r="G76" s="594"/>
      <c r="H76" s="593"/>
      <c r="I76" s="595">
        <f t="shared" si="26"/>
        <v>2430.1799999999998</v>
      </c>
      <c r="J76" s="718"/>
      <c r="K76" s="646"/>
      <c r="L76" s="1286"/>
      <c r="R76" s="1729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9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3449.75</v>
      </c>
      <c r="F78" s="593"/>
      <c r="G78" s="594"/>
      <c r="H78" s="593"/>
      <c r="I78" s="595">
        <f t="shared" si="26"/>
        <v>3449.75</v>
      </c>
      <c r="J78" s="662"/>
      <c r="K78" s="646"/>
      <c r="L78" s="1286"/>
      <c r="R78" s="1729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5316.9</v>
      </c>
      <c r="F79" s="593"/>
      <c r="G79" s="594"/>
      <c r="H79" s="593"/>
      <c r="I79" s="595">
        <f t="shared" si="26"/>
        <v>5316.9</v>
      </c>
      <c r="J79"/>
      <c r="K79" s="646"/>
      <c r="L79" s="1286"/>
      <c r="R79" s="1729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322.95</v>
      </c>
      <c r="F80" s="593"/>
      <c r="G80" s="594"/>
      <c r="H80" s="593"/>
      <c r="I80" s="595">
        <f t="shared" si="26"/>
        <v>322.95</v>
      </c>
      <c r="J80"/>
      <c r="K80" s="646"/>
      <c r="L80" s="1286"/>
      <c r="R80" s="1729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1688.8700000000001</v>
      </c>
      <c r="F81" s="593"/>
      <c r="G81" s="594"/>
      <c r="H81" s="593"/>
      <c r="I81" s="595">
        <f t="shared" si="26"/>
        <v>1688.8700000000001</v>
      </c>
      <c r="J81"/>
      <c r="K81" s="646"/>
      <c r="L81" s="1286"/>
      <c r="R81" s="1729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9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1057.92</v>
      </c>
      <c r="F83" s="593"/>
      <c r="G83" s="594"/>
      <c r="H83" s="593"/>
      <c r="I83" s="595">
        <f t="shared" si="26"/>
        <v>1057.92</v>
      </c>
      <c r="J83"/>
      <c r="K83" s="646"/>
      <c r="L83" s="1286"/>
      <c r="R83" s="1729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9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1741.8</v>
      </c>
      <c r="F85" s="593"/>
      <c r="G85" s="594"/>
      <c r="H85" s="593"/>
      <c r="I85" s="595">
        <f t="shared" si="26"/>
        <v>1741.8</v>
      </c>
      <c r="J85"/>
      <c r="K85" s="646"/>
      <c r="L85" s="1286"/>
      <c r="R85" s="1729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220</v>
      </c>
      <c r="F86" s="593"/>
      <c r="G86" s="594"/>
      <c r="H86" s="593"/>
      <c r="I86" s="1241">
        <f t="shared" si="26"/>
        <v>220</v>
      </c>
      <c r="J86"/>
      <c r="K86" s="646"/>
      <c r="L86" s="1286"/>
      <c r="R86" s="1729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9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9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9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9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205.8</v>
      </c>
      <c r="F91" s="593"/>
      <c r="G91" s="594"/>
      <c r="H91" s="593"/>
      <c r="I91" s="595">
        <f t="shared" si="27"/>
        <v>205.8</v>
      </c>
      <c r="J91"/>
      <c r="K91" s="646"/>
      <c r="L91" s="1286"/>
      <c r="R91" s="1729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45.96</v>
      </c>
      <c r="F92" s="593"/>
      <c r="G92" s="594"/>
      <c r="H92" s="593"/>
      <c r="I92" s="595">
        <f t="shared" si="27"/>
        <v>45.96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20.399999999999999</v>
      </c>
      <c r="F93" s="593"/>
      <c r="G93" s="594"/>
      <c r="H93" s="593"/>
      <c r="I93" s="595">
        <f t="shared" si="27"/>
        <v>20.399999999999999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760.6</v>
      </c>
      <c r="F96" s="593"/>
      <c r="G96" s="594"/>
      <c r="H96" s="593"/>
      <c r="I96" s="595">
        <f t="shared" si="27"/>
        <v>760.6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1196</v>
      </c>
      <c r="D100" s="618"/>
      <c r="E100" s="1287">
        <f>+SUMIF(sdmixer!$A:$A,usage!B100,sdmixer!$E:$E)-sdmixer!M57</f>
        <v>8.98</v>
      </c>
      <c r="F100" s="593"/>
      <c r="G100" s="594"/>
      <c r="H100" s="593"/>
      <c r="I100" s="595">
        <f t="shared" si="27"/>
        <v>8.98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322.5</v>
      </c>
      <c r="F102" s="593"/>
      <c r="G102" s="594"/>
      <c r="H102" s="593"/>
      <c r="I102" s="595">
        <f t="shared" si="28"/>
        <v>322.5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2549.8199999999997</v>
      </c>
      <c r="F104" s="593"/>
      <c r="G104" s="594"/>
      <c r="H104" s="593"/>
      <c r="I104" s="595">
        <f t="shared" si="28"/>
        <v>2549.8199999999997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100.48</v>
      </c>
      <c r="F106" s="593"/>
      <c r="G106" s="594"/>
      <c r="H106" s="593"/>
      <c r="I106" s="595">
        <f t="shared" si="28"/>
        <v>100.48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209.78</v>
      </c>
      <c r="F108" s="593"/>
      <c r="G108" s="594"/>
      <c r="H108" s="593"/>
      <c r="I108" s="595">
        <f t="shared" si="28"/>
        <v>209.78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12.55</v>
      </c>
      <c r="F109" s="593"/>
      <c r="G109" s="594"/>
      <c r="H109" s="593"/>
      <c r="I109" s="595">
        <f t="shared" si="28"/>
        <v>12.55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982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122.07</v>
      </c>
      <c r="F113" s="593"/>
      <c r="G113" s="594"/>
      <c r="H113" s="593"/>
      <c r="I113" s="595">
        <f t="shared" si="28"/>
        <v>122.07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8"/>
        <v>0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1343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8"/>
        <v>0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30.24</v>
      </c>
      <c r="F117" s="593"/>
      <c r="G117" s="594"/>
      <c r="H117" s="593"/>
      <c r="I117" s="595">
        <f t="shared" si="28"/>
        <v>30.24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225.42</v>
      </c>
      <c r="F121" s="593"/>
      <c r="G121" s="594"/>
      <c r="H121" s="593"/>
      <c r="I121" s="595">
        <f t="shared" si="28"/>
        <v>225.42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2130.1</v>
      </c>
      <c r="F122" s="593"/>
      <c r="G122" s="594"/>
      <c r="H122" s="593"/>
      <c r="I122" s="595">
        <f t="shared" si="28"/>
        <v>2130.1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233.11</v>
      </c>
      <c r="F123" s="593"/>
      <c r="G123" s="594"/>
      <c r="H123" s="593"/>
      <c r="I123" s="595">
        <f t="shared" si="28"/>
        <v>233.11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87.08</v>
      </c>
      <c r="F125" s="593"/>
      <c r="G125" s="594"/>
      <c r="H125" s="593"/>
      <c r="I125" s="595">
        <f t="shared" si="28"/>
        <v>87.08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207.5</v>
      </c>
      <c r="F126" s="593"/>
      <c r="G126" s="594"/>
      <c r="H126" s="593"/>
      <c r="I126" s="595">
        <f t="shared" si="28"/>
        <v>207.5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675.64</v>
      </c>
      <c r="F127" s="593"/>
      <c r="G127" s="594"/>
      <c r="H127" s="593"/>
      <c r="I127" s="595">
        <f t="shared" si="28"/>
        <v>675.64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41.76</v>
      </c>
      <c r="F128" s="593"/>
      <c r="G128" s="594"/>
      <c r="H128" s="593"/>
      <c r="I128" s="595">
        <f t="shared" si="28"/>
        <v>41.76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278.2</v>
      </c>
      <c r="F129" s="593"/>
      <c r="G129" s="594"/>
      <c r="H129" s="593"/>
      <c r="I129" s="595">
        <f t="shared" si="28"/>
        <v>278.2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32.33</v>
      </c>
      <c r="F130" s="593"/>
      <c r="G130" s="594"/>
      <c r="H130" s="593"/>
      <c r="I130" s="595">
        <f t="shared" si="28"/>
        <v>32.33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962</v>
      </c>
      <c r="C131" s="518" t="s">
        <v>965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973</v>
      </c>
      <c r="D132" s="618"/>
      <c r="E132" s="1287">
        <f>+SUMIF(sdmixer!$A:$A,usage!B132,sdmixer!$E:$E)</f>
        <v>0</v>
      </c>
      <c r="F132" s="593"/>
      <c r="G132" s="594"/>
      <c r="H132" s="593"/>
      <c r="I132" s="595">
        <f>+E132+G132</f>
        <v>0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79.95</v>
      </c>
      <c r="F133" s="593"/>
      <c r="G133" s="594"/>
      <c r="H133" s="593"/>
      <c r="I133" s="595">
        <f t="shared" si="28"/>
        <v>79.95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44.74</v>
      </c>
      <c r="F135" s="593"/>
      <c r="G135" s="594"/>
      <c r="H135" s="593"/>
      <c r="I135" s="595">
        <f t="shared" si="28"/>
        <v>44.74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8"/>
        <v>0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40</v>
      </c>
      <c r="F138" s="593"/>
      <c r="G138" s="594"/>
      <c r="H138" s="593"/>
      <c r="I138" s="595">
        <f t="shared" si="28"/>
        <v>40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8"/>
        <v>0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50.85</v>
      </c>
      <c r="F141" s="593"/>
      <c r="G141" s="596"/>
      <c r="H141" s="593"/>
      <c r="I141" s="595">
        <f t="shared" si="28"/>
        <v>50.85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1831</v>
      </c>
      <c r="D144" s="618"/>
      <c r="E144" s="1287">
        <f>+SUMIF(sdmixer!$A:$A,usage!B144,sdmixer!$E:$E)</f>
        <v>20</v>
      </c>
      <c r="F144" s="593"/>
      <c r="G144" s="594"/>
      <c r="H144" s="593"/>
      <c r="I144" s="595">
        <f t="shared" si="28"/>
        <v>20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80</v>
      </c>
      <c r="F147" s="593"/>
      <c r="G147" s="594"/>
      <c r="H147" s="593"/>
      <c r="I147" s="595">
        <f t="shared" si="28"/>
        <v>80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66</v>
      </c>
      <c r="F151" s="593"/>
      <c r="G151" s="594"/>
      <c r="H151" s="593"/>
      <c r="I151" s="595">
        <f>+E151+G151</f>
        <v>66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1590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39</v>
      </c>
      <c r="F153" s="597"/>
      <c r="G153" s="598"/>
      <c r="H153" s="599"/>
      <c r="I153" s="1241">
        <f t="shared" si="28"/>
        <v>39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372.8</v>
      </c>
      <c r="F154" s="597"/>
      <c r="G154" s="598"/>
      <c r="H154" s="599"/>
      <c r="I154" s="595">
        <f t="shared" ref="I154:I161" si="29">+E154+G154</f>
        <v>372.8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41.89</v>
      </c>
      <c r="F155" s="597"/>
      <c r="G155" s="600"/>
      <c r="H155" s="597"/>
      <c r="I155" s="595">
        <f t="shared" si="29"/>
        <v>41.89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1650</v>
      </c>
      <c r="D160" s="619"/>
      <c r="E160" s="1287">
        <f>+SUMIF(sdmixer!$A:$A,usage!B160,sdmixer!$E:$E)</f>
        <v>3.78</v>
      </c>
      <c r="F160" s="597"/>
      <c r="G160" s="600"/>
      <c r="H160" s="597"/>
      <c r="I160" s="595">
        <f t="shared" si="29"/>
        <v>3.78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120.42</v>
      </c>
      <c r="F163" s="597"/>
      <c r="G163" s="600"/>
      <c r="H163" s="597"/>
      <c r="I163" s="595">
        <f t="shared" si="30"/>
        <v>120.42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994</v>
      </c>
      <c r="C167" s="1276" t="s">
        <v>903</v>
      </c>
      <c r="D167" s="618"/>
      <c r="E167" s="1287">
        <f>+SUMIF(sdmixer!$A:$A,usage!B167,sdmixer!$E:$E)</f>
        <v>0</v>
      </c>
      <c r="F167" s="597"/>
      <c r="G167" s="600"/>
      <c r="H167" s="597"/>
      <c r="I167" s="595">
        <f t="shared" si="30"/>
        <v>0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1112</v>
      </c>
      <c r="D171" s="619"/>
      <c r="E171" s="1287">
        <f>+SUMIF(sdmixer!$A:$A,usage!B171,sdmixer!$E:$E)</f>
        <v>27.72</v>
      </c>
      <c r="F171" s="1179"/>
      <c r="G171" s="598"/>
      <c r="H171" s="1179"/>
      <c r="I171" s="774">
        <f t="shared" ref="I171" si="31">+E171+G171</f>
        <v>27.72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1139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1154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1181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1176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1193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1269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1270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1301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1272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1226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1118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1314</v>
      </c>
      <c r="D185" s="619"/>
      <c r="E185" s="1287">
        <f>+SUMIF(sdmixer!$A:$A,usage!B185,sdmixer!$E:$E)</f>
        <v>529.22</v>
      </c>
      <c r="F185" s="597"/>
      <c r="G185" s="600"/>
      <c r="H185" s="597"/>
      <c r="I185" s="1271">
        <f t="shared" ref="I185" si="45">+E185+G185</f>
        <v>529.22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1340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1583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1370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1409</v>
      </c>
      <c r="D189" s="619"/>
      <c r="E189" s="1289">
        <f>+SUMIF(sdmixer!$A:$A,usage!B189,sdmixer!$E:$E)</f>
        <v>49.88</v>
      </c>
      <c r="F189" s="597"/>
      <c r="G189" s="600"/>
      <c r="H189" s="597"/>
      <c r="I189" s="1271">
        <f t="shared" si="46"/>
        <v>49.88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1518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8">
        <f>IF(C191="","",COUNT($A$70:A189)+1)</f>
        <v>120</v>
      </c>
      <c r="B191" s="1270">
        <v>842520</v>
      </c>
      <c r="C191" s="512" t="s">
        <v>1527</v>
      </c>
      <c r="D191" s="619"/>
      <c r="E191" s="1759">
        <f>+SUMIF(sdmixer!$A:$A,usage!B191,sdmixer!$E:$E)</f>
        <v>10.08</v>
      </c>
      <c r="F191" s="597"/>
      <c r="G191" s="600"/>
      <c r="H191" s="597"/>
      <c r="I191" s="1271">
        <f t="shared" si="47"/>
        <v>10.08</v>
      </c>
      <c r="J191" s="529"/>
      <c r="K191" s="646"/>
      <c r="L191" s="1286"/>
    </row>
    <row r="192" spans="1:12" ht="21" customHeight="1" x14ac:dyDescent="0.25">
      <c r="A192" s="1761">
        <f>IF(C192="","",COUNT($A$70:A190)+1)</f>
        <v>121</v>
      </c>
      <c r="B192" s="1270">
        <v>840224</v>
      </c>
      <c r="C192" s="512" t="s">
        <v>1533</v>
      </c>
      <c r="D192" s="619"/>
      <c r="E192" s="1759">
        <f>+SUMIF(sdmixer!$A:$A,usage!B192,sdmixer!$E:$E)</f>
        <v>7.56</v>
      </c>
      <c r="F192" s="597"/>
      <c r="G192" s="600"/>
      <c r="H192" s="597"/>
      <c r="I192" s="1271">
        <f t="shared" ref="I192" si="48">+E192+G192</f>
        <v>7.56</v>
      </c>
      <c r="J192" s="529"/>
      <c r="K192" s="646"/>
      <c r="L192" s="1286"/>
    </row>
    <row r="193" spans="1:12" ht="21" customHeight="1" x14ac:dyDescent="0.25">
      <c r="A193" s="1761">
        <f>IF(C193="","",COUNT($A$70:A191)+1)</f>
        <v>122</v>
      </c>
      <c r="B193" s="1270">
        <v>3589</v>
      </c>
      <c r="C193" s="512" t="s">
        <v>1612</v>
      </c>
      <c r="D193" s="619"/>
      <c r="E193" s="1759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1">
        <f>IF(C194="","",COUNT($A$70:A192)+1)</f>
        <v>123</v>
      </c>
      <c r="B194" s="1270">
        <v>840197</v>
      </c>
      <c r="C194" s="512" t="s">
        <v>1519</v>
      </c>
      <c r="D194" s="619"/>
      <c r="E194" s="1759">
        <f>+SUMIF(sdmixer!$A:$A,usage!B194,sdmixer!$E:$E)</f>
        <v>104.19</v>
      </c>
      <c r="F194" s="597"/>
      <c r="G194" s="600"/>
      <c r="H194" s="597"/>
      <c r="I194" s="1271">
        <f>+E194+G194</f>
        <v>104.19</v>
      </c>
      <c r="J194" s="529"/>
      <c r="K194" s="646"/>
      <c r="L194" s="1286"/>
    </row>
    <row r="195" spans="1:12" ht="21" customHeight="1" x14ac:dyDescent="0.25">
      <c r="A195" s="1761">
        <f>IF(C195="","",COUNT($A$70:A193)+1)</f>
        <v>124</v>
      </c>
      <c r="B195" s="1270">
        <v>842242</v>
      </c>
      <c r="C195" s="512" t="s">
        <v>1536</v>
      </c>
      <c r="D195" s="619"/>
      <c r="E195" s="1759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2">
        <f>IF(C196="","",COUNT($A$70:A194)+1)</f>
        <v>125</v>
      </c>
      <c r="B196" s="781">
        <v>842880</v>
      </c>
      <c r="C196" s="1843" t="s">
        <v>1632</v>
      </c>
      <c r="D196" s="618"/>
      <c r="E196" s="1844">
        <f>+SUMIF(sdmixer!$A:$A,usage!B196,sdmixer!$E:$E)</f>
        <v>316.56</v>
      </c>
      <c r="F196" s="593"/>
      <c r="G196" s="594"/>
      <c r="H196" s="593"/>
      <c r="I196" s="595">
        <f t="shared" ref="I196:I201" si="50">+E196+G196</f>
        <v>316.56</v>
      </c>
      <c r="J196" s="529"/>
      <c r="K196" s="646"/>
      <c r="L196" s="1286"/>
    </row>
    <row r="197" spans="1:12" ht="21" customHeight="1" x14ac:dyDescent="0.25">
      <c r="A197" s="1842">
        <f>IF(C197="","",COUNT($A$70:A195)+1)</f>
        <v>126</v>
      </c>
      <c r="B197">
        <v>3607</v>
      </c>
      <c r="C197" s="1843" t="s">
        <v>1634</v>
      </c>
      <c r="D197" s="618"/>
      <c r="E197" s="1844">
        <f>+SUMIF(sdmixer!$A:$A,usage!B197,sdmixer!$E:$E)</f>
        <v>77.8</v>
      </c>
      <c r="F197" s="593"/>
      <c r="G197" s="594"/>
      <c r="H197" s="593"/>
      <c r="I197" s="595">
        <f t="shared" si="50"/>
        <v>77.8</v>
      </c>
      <c r="J197" s="529"/>
      <c r="K197" s="646"/>
      <c r="L197" s="1286"/>
    </row>
    <row r="198" spans="1:12" ht="21" customHeight="1" x14ac:dyDescent="0.25">
      <c r="A198" s="1842">
        <f>IF(C198="","",COUNT($A$70:A195)+1)</f>
        <v>126</v>
      </c>
      <c r="B198">
        <v>3602</v>
      </c>
      <c r="C198" s="1843" t="s">
        <v>1647</v>
      </c>
      <c r="D198" s="618"/>
      <c r="E198" s="1844">
        <f>+SUMIF(sdmixer!$A:$A,usage!B198,sdmixer!$E:$E)</f>
        <v>105.68</v>
      </c>
      <c r="F198" s="593"/>
      <c r="G198" s="594"/>
      <c r="H198" s="593"/>
      <c r="I198" s="595">
        <f t="shared" ref="I198" si="51">+E198+G198</f>
        <v>105.68</v>
      </c>
      <c r="J198" s="529"/>
      <c r="K198" s="646"/>
      <c r="L198" s="1286"/>
    </row>
    <row r="199" spans="1:12" ht="21" customHeight="1" x14ac:dyDescent="0.25">
      <c r="A199" s="1842">
        <f>IF(C199="","",COUNT($A$70:A196)+1)</f>
        <v>127</v>
      </c>
      <c r="B199" s="781">
        <v>841327</v>
      </c>
      <c r="C199" s="1843" t="s">
        <v>1646</v>
      </c>
      <c r="D199" s="618"/>
      <c r="E199" s="1844">
        <f>+SUMIF(sdmixer!$A:$A,usage!B199,sdmixer!$E:$E)</f>
        <v>0</v>
      </c>
      <c r="F199" s="593"/>
      <c r="G199" s="594"/>
      <c r="H199" s="593"/>
      <c r="I199" s="595">
        <f t="shared" si="50"/>
        <v>0</v>
      </c>
      <c r="J199" s="529"/>
      <c r="K199" s="646"/>
      <c r="L199" s="1286"/>
    </row>
    <row r="200" spans="1:12" ht="21" customHeight="1" x14ac:dyDescent="0.25">
      <c r="A200" s="1842">
        <f>IF(C200="","",COUNT($A$70:A197)+1)</f>
        <v>128</v>
      </c>
      <c r="B200">
        <v>3606</v>
      </c>
      <c r="C200" s="1843" t="s">
        <v>1645</v>
      </c>
      <c r="D200" s="618"/>
      <c r="E200" s="1844">
        <f>+SUMIF(sdmixer!$A:$A,usage!B200,sdmixer!$E:$E)</f>
        <v>260.45</v>
      </c>
      <c r="F200" s="593"/>
      <c r="G200" s="594"/>
      <c r="H200" s="593"/>
      <c r="I200" s="595">
        <f t="shared" si="50"/>
        <v>260.45</v>
      </c>
      <c r="J200" s="529"/>
      <c r="K200" s="646"/>
      <c r="L200" s="1286"/>
    </row>
    <row r="201" spans="1:12" ht="21" customHeight="1" x14ac:dyDescent="0.25">
      <c r="A201" s="1758">
        <f>IF(C201="","",COUNT($A$70:A199)+1)</f>
        <v>130</v>
      </c>
      <c r="B201">
        <v>3603</v>
      </c>
      <c r="C201" s="1849" t="s">
        <v>1648</v>
      </c>
      <c r="D201" s="720"/>
      <c r="E201" s="1289">
        <f>+SUMIF(sdmixer!$A:$A,usage!B201,sdmixer!$E:$E)</f>
        <v>1661</v>
      </c>
      <c r="F201" s="1848"/>
      <c r="G201" s="598"/>
      <c r="H201" s="1848"/>
      <c r="I201" s="1264">
        <f t="shared" si="50"/>
        <v>1661</v>
      </c>
      <c r="J201" s="529"/>
      <c r="K201" s="646"/>
      <c r="L201" s="1286"/>
    </row>
    <row r="202" spans="1:12" ht="21" customHeight="1" x14ac:dyDescent="0.25">
      <c r="A202" s="1758">
        <f>IF(C202="","",COUNT($A$70:A200)+1)</f>
        <v>131</v>
      </c>
      <c r="B202" s="1856">
        <v>840929</v>
      </c>
      <c r="C202" s="512" t="s">
        <v>1658</v>
      </c>
      <c r="D202" s="619"/>
      <c r="E202" s="1289">
        <f>+SUMIF(sdmixer!$A:$A,usage!B202,sdmixer!$E:$E)</f>
        <v>74.73</v>
      </c>
      <c r="F202" s="597"/>
      <c r="G202" s="600"/>
      <c r="H202" s="597"/>
      <c r="I202" s="1271">
        <f t="shared" ref="I202:I209" si="52">+E202+G202</f>
        <v>74.73</v>
      </c>
      <c r="J202" s="529"/>
      <c r="K202" s="646"/>
      <c r="L202" s="1286"/>
    </row>
    <row r="203" spans="1:12" ht="21" customHeight="1" x14ac:dyDescent="0.25">
      <c r="A203" s="1758">
        <f>IF(C203="","",COUNT($A$70:A201)+1)</f>
        <v>132</v>
      </c>
      <c r="B203" s="1858">
        <v>840194</v>
      </c>
      <c r="C203" s="512" t="s">
        <v>1665</v>
      </c>
      <c r="D203" s="619"/>
      <c r="E203" s="1759">
        <f>+SUMIF(sdmixer!$A:$A,usage!B203,sdmixer!$E:$E)</f>
        <v>149.01</v>
      </c>
      <c r="F203" s="597"/>
      <c r="G203" s="600"/>
      <c r="H203" s="597"/>
      <c r="I203" s="1271">
        <f t="shared" si="52"/>
        <v>149.01</v>
      </c>
      <c r="J203" s="529"/>
      <c r="K203" s="646"/>
      <c r="L203" s="1286"/>
    </row>
    <row r="204" spans="1:12" ht="21" customHeight="1" x14ac:dyDescent="0.25">
      <c r="A204" s="1758">
        <f>IF(C204="","",COUNT($A$70:A201)+1)</f>
        <v>132</v>
      </c>
      <c r="B204" s="1858">
        <v>833113</v>
      </c>
      <c r="C204" s="512" t="s">
        <v>1698</v>
      </c>
      <c r="D204" s="619"/>
      <c r="E204" s="1759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8">
        <f>IF(C205="","",COUNT($A$70:A202)+1)</f>
        <v>133</v>
      </c>
      <c r="B205" s="1858">
        <v>3611</v>
      </c>
      <c r="C205" s="512" t="s">
        <v>1688</v>
      </c>
      <c r="D205" s="619"/>
      <c r="E205" s="1759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8">
        <f>IF(C206="","",COUNT($A$70:A202)+1)</f>
        <v>133</v>
      </c>
      <c r="B206" s="1858">
        <v>842154</v>
      </c>
      <c r="C206" s="512" t="s">
        <v>1707</v>
      </c>
      <c r="D206" s="619"/>
      <c r="E206" s="1759">
        <f>+SUMIF(sdmixer!$A:$A,usage!B206,sdmixer!$E:$E)</f>
        <v>565.6</v>
      </c>
      <c r="F206" s="597"/>
      <c r="G206" s="600"/>
      <c r="H206" s="597"/>
      <c r="I206" s="1271">
        <f t="shared" si="52"/>
        <v>565.6</v>
      </c>
      <c r="J206" s="529"/>
      <c r="K206" s="646"/>
      <c r="L206" s="1286"/>
    </row>
    <row r="207" spans="1:12" ht="21" customHeight="1" x14ac:dyDescent="0.25">
      <c r="A207" s="1758">
        <f>IF(C207="","",COUNT($A$70:A200)+1)</f>
        <v>131</v>
      </c>
      <c r="B207" s="638">
        <v>840108</v>
      </c>
      <c r="C207" s="512" t="s">
        <v>1721</v>
      </c>
      <c r="D207" s="619"/>
      <c r="E207" s="1759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8">
        <f>IF(C208="","",COUNT($A$70:A201)+1)</f>
        <v>132</v>
      </c>
      <c r="B208" s="638">
        <v>840909</v>
      </c>
      <c r="C208" s="512" t="s">
        <v>1713</v>
      </c>
      <c r="D208" s="619"/>
      <c r="E208" s="1759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8">
        <f>IF(C209="","",COUNT($A$70:A202)+1)</f>
        <v>133</v>
      </c>
      <c r="B209" s="638"/>
      <c r="C209" s="512" t="s">
        <v>1712</v>
      </c>
      <c r="D209" s="619"/>
      <c r="E209" s="1759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8">
        <f>IF(C210="","",COUNT($A$70:A203)+1)</f>
        <v>134</v>
      </c>
      <c r="B210" s="1858">
        <v>831035</v>
      </c>
      <c r="C210" s="512" t="s">
        <v>1669</v>
      </c>
      <c r="D210" s="619"/>
      <c r="E210" s="1759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8">
        <f>IF(C211="","",COUNT($A$70:A201)+1)</f>
        <v>132</v>
      </c>
      <c r="B211" s="1858">
        <v>3081</v>
      </c>
      <c r="C211" s="512" t="s">
        <v>1756</v>
      </c>
      <c r="D211" s="619"/>
      <c r="E211" s="1759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8">
        <f>IF(C212="","",COUNT($A$70:A202)+1)</f>
        <v>133</v>
      </c>
      <c r="B212" s="1858">
        <v>3619</v>
      </c>
      <c r="C212" s="512" t="s">
        <v>1755</v>
      </c>
      <c r="D212" s="619"/>
      <c r="E212" s="1759">
        <f>+SUMIF(sdmixer!$A:$A,usage!B212,sdmixer!$E:$E)</f>
        <v>7</v>
      </c>
      <c r="F212" s="597"/>
      <c r="G212" s="600"/>
      <c r="H212" s="597"/>
      <c r="I212" s="1271">
        <f t="shared" ref="I212" si="57">+E212+G212</f>
        <v>7</v>
      </c>
      <c r="J212" s="529"/>
      <c r="K212" s="646"/>
      <c r="L212" s="1286"/>
    </row>
    <row r="213" spans="1:15" ht="21" customHeight="1" x14ac:dyDescent="0.25">
      <c r="A213" s="1758">
        <f>IF(C213="","",COUNT($A$70:A203)+1)</f>
        <v>134</v>
      </c>
      <c r="B213" s="1858">
        <v>840550</v>
      </c>
      <c r="C213" s="512" t="s">
        <v>1733</v>
      </c>
      <c r="D213" s="619"/>
      <c r="E213" s="1759">
        <f>+SUMIF(sdmixer!$A:$A,usage!B213,sdmixer!$E:$E)</f>
        <v>3.95</v>
      </c>
      <c r="F213" s="597"/>
      <c r="G213" s="600"/>
      <c r="H213" s="597"/>
      <c r="I213" s="1271">
        <f t="shared" si="55"/>
        <v>3.95</v>
      </c>
      <c r="J213" s="529"/>
      <c r="K213" s="646"/>
      <c r="L213" s="1286"/>
    </row>
    <row r="214" spans="1:15" ht="21" customHeight="1" x14ac:dyDescent="0.25">
      <c r="A214" s="1758">
        <f>IF(C214="","",COUNT($A$70:A202)+1)</f>
        <v>133</v>
      </c>
      <c r="B214" s="1858">
        <v>3618</v>
      </c>
      <c r="C214" s="512" t="s">
        <v>1772</v>
      </c>
      <c r="D214" s="619"/>
      <c r="E214" s="1759">
        <f>+SUMIF(sdmixer!$A:$A,usage!B214,sdmixer!$E:$E)</f>
        <v>2.44</v>
      </c>
      <c r="F214" s="597"/>
      <c r="G214" s="600"/>
      <c r="H214" s="597"/>
      <c r="I214" s="1271">
        <f t="shared" ref="I214" si="58">+E214+G214</f>
        <v>2.44</v>
      </c>
      <c r="J214" s="529"/>
      <c r="K214" s="646"/>
      <c r="L214" s="1286"/>
    </row>
    <row r="215" spans="1:15" ht="21" customHeight="1" x14ac:dyDescent="0.25">
      <c r="A215" s="1758">
        <f>IF(C215="","",COUNT($A$70:A203)+1)</f>
        <v>134</v>
      </c>
      <c r="B215" s="1938">
        <v>5118</v>
      </c>
      <c r="C215" s="1843" t="s">
        <v>1773</v>
      </c>
      <c r="D215" s="618"/>
      <c r="E215" s="1844">
        <f>+SUMIF(sdmixer!$A:$A,usage!B215,sdmixer!$E:$E)</f>
        <v>707.64</v>
      </c>
      <c r="F215" s="1939"/>
      <c r="G215" s="1940"/>
      <c r="H215" s="593"/>
      <c r="I215" s="595">
        <f t="shared" si="55"/>
        <v>707.64</v>
      </c>
      <c r="J215" s="529"/>
      <c r="K215" s="646"/>
      <c r="L215" s="1286"/>
    </row>
    <row r="216" spans="1:15" ht="21" customHeight="1" x14ac:dyDescent="0.25">
      <c r="A216" s="1758">
        <f>IF(C216="","",COUNT($A$70:A203)+1)</f>
        <v>134</v>
      </c>
      <c r="B216" s="1938">
        <v>5121</v>
      </c>
      <c r="C216" s="1843" t="s">
        <v>1802</v>
      </c>
      <c r="D216" s="618"/>
      <c r="E216" s="1844">
        <f>+SUMIF(sdmixer!$A:$A,usage!B216,sdmixer!$E:$E)</f>
        <v>1837</v>
      </c>
      <c r="F216" s="1939"/>
      <c r="G216" s="1940"/>
      <c r="H216" s="593"/>
      <c r="I216" s="595">
        <f t="shared" si="55"/>
        <v>1837</v>
      </c>
      <c r="J216" s="529"/>
      <c r="K216" s="646"/>
      <c r="L216" s="1286"/>
    </row>
    <row r="217" spans="1:15" ht="21" customHeight="1" x14ac:dyDescent="0.25">
      <c r="A217" s="1758">
        <f>IF(C217="","",COUNT($A$70:A204)+1)</f>
        <v>135</v>
      </c>
      <c r="B217" s="1938">
        <v>5123</v>
      </c>
      <c r="C217" s="1843" t="s">
        <v>1826</v>
      </c>
      <c r="D217" s="618"/>
      <c r="E217" s="1844">
        <f>+SUMIF(sdmixer!$A:$A,usage!B217,sdmixer!$E:$E)</f>
        <v>305.3</v>
      </c>
      <c r="F217" s="1939"/>
      <c r="G217" s="1940"/>
      <c r="H217" s="593"/>
      <c r="I217" s="595">
        <f t="shared" ref="I217" si="59">+E217+G217</f>
        <v>305.3</v>
      </c>
      <c r="J217" s="529"/>
      <c r="K217" s="646"/>
      <c r="L217" s="1286"/>
    </row>
    <row r="218" spans="1:15" ht="21" customHeight="1" x14ac:dyDescent="0.25">
      <c r="A218" s="1758">
        <f>IF(C218="","",COUNT($A$70:A204)+1)</f>
        <v>135</v>
      </c>
      <c r="B218" s="1938">
        <v>791815</v>
      </c>
      <c r="C218" s="1843" t="s">
        <v>1753</v>
      </c>
      <c r="D218" s="618"/>
      <c r="E218" s="1844">
        <f>+SUMIF(sdmixer!$A:$A,usage!B218,sdmixer!$E:$E)</f>
        <v>0</v>
      </c>
      <c r="F218" s="1939"/>
      <c r="G218" s="1940"/>
      <c r="H218" s="593"/>
      <c r="I218" s="595">
        <f t="shared" ref="I218:I220" si="60">+E218+G218</f>
        <v>0</v>
      </c>
      <c r="J218" s="529"/>
      <c r="K218" s="646"/>
      <c r="L218" s="1286"/>
    </row>
    <row r="219" spans="1:15" ht="21" customHeight="1" x14ac:dyDescent="0.25">
      <c r="A219" s="1758">
        <f>IF(C219="","",COUNT($A$70:A204)+1)</f>
        <v>135</v>
      </c>
      <c r="B219" s="1938">
        <v>5114</v>
      </c>
      <c r="C219" s="1843" t="s">
        <v>1864</v>
      </c>
      <c r="D219" s="618"/>
      <c r="E219" s="1844">
        <f>+SUMIF(sdmixer!$A:$A,usage!B219,sdmixer!$E:$E)</f>
        <v>0</v>
      </c>
      <c r="F219" s="1939"/>
      <c r="G219" s="1940"/>
      <c r="H219" s="593"/>
      <c r="I219" s="595">
        <f t="shared" si="60"/>
        <v>0</v>
      </c>
      <c r="J219" s="529"/>
      <c r="K219" s="646"/>
      <c r="L219" s="1286"/>
    </row>
    <row r="220" spans="1:15" ht="21" customHeight="1" x14ac:dyDescent="0.25">
      <c r="A220" s="1758">
        <f>IF(C220="","",COUNT($A$70:A204)+1)</f>
        <v>135</v>
      </c>
      <c r="B220" s="1938">
        <v>5116</v>
      </c>
      <c r="C220" s="1843" t="s">
        <v>1866</v>
      </c>
      <c r="D220" s="618"/>
      <c r="E220" s="1844">
        <f>+SUMIF(sdmixer!$A:$A,usage!B220,sdmixer!$E:$E)</f>
        <v>67.63</v>
      </c>
      <c r="F220" s="1939"/>
      <c r="G220" s="1940"/>
      <c r="H220" s="593"/>
      <c r="I220" s="595">
        <f t="shared" si="60"/>
        <v>67.63</v>
      </c>
      <c r="J220" s="529"/>
      <c r="K220" s="646"/>
      <c r="L220" s="1286"/>
    </row>
    <row r="221" spans="1:15" ht="21" customHeight="1" x14ac:dyDescent="0.25">
      <c r="A221" s="1758">
        <f>IF(C221="","",COUNT($A$70:A205)+1)</f>
        <v>136</v>
      </c>
      <c r="B221" s="1938">
        <v>840101</v>
      </c>
      <c r="C221" s="1843" t="s">
        <v>1812</v>
      </c>
      <c r="D221" s="618"/>
      <c r="E221" s="1844">
        <f>+SUMIF(sdmixer!$A:$A,usage!B221,sdmixer!$E:$E)</f>
        <v>5.94</v>
      </c>
      <c r="F221" s="1939"/>
      <c r="G221" s="1940"/>
      <c r="H221" s="593"/>
      <c r="I221" s="595">
        <f t="shared" ref="I221" si="61">+E221+G221</f>
        <v>5.94</v>
      </c>
      <c r="J221" s="529"/>
      <c r="K221" s="646"/>
      <c r="L221" s="1286"/>
    </row>
    <row r="222" spans="1:15" ht="25.5" customHeight="1" thickBot="1" x14ac:dyDescent="0.3">
      <c r="A222" s="2221" t="s">
        <v>434</v>
      </c>
      <c r="B222" s="2222"/>
      <c r="C222" s="2223"/>
      <c r="D222" s="1936"/>
      <c r="E222" s="2224">
        <f>+SUM(E71:F221)</f>
        <v>34960.81</v>
      </c>
      <c r="F222" s="2225"/>
      <c r="G222" s="2224">
        <f>+SUM(G71:H221)</f>
        <v>0</v>
      </c>
      <c r="H222" s="2225"/>
      <c r="I222" s="1937">
        <f>+E222+G222</f>
        <v>34960.81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1099.8400000000001</v>
      </c>
      <c r="F224" s="593"/>
      <c r="G224" s="594"/>
      <c r="H224" s="593"/>
      <c r="I224" s="595">
        <f t="shared" ref="I224:I254" si="62">+E224+G224</f>
        <v>1099.8400000000001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281.88</v>
      </c>
      <c r="F226" s="593"/>
      <c r="G226" s="594"/>
      <c r="H226" s="593"/>
      <c r="I226" s="595">
        <f t="shared" si="62"/>
        <v>281.88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73.650000000000006</v>
      </c>
      <c r="F227" s="593"/>
      <c r="G227" s="594"/>
      <c r="H227" s="593"/>
      <c r="I227" s="595">
        <f t="shared" si="62"/>
        <v>73.650000000000006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24.84</v>
      </c>
      <c r="F228" s="593"/>
      <c r="G228" s="594"/>
      <c r="H228" s="593"/>
      <c r="I228" s="595">
        <f t="shared" si="62"/>
        <v>24.84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59.36</v>
      </c>
      <c r="F231" s="593"/>
      <c r="G231" s="594"/>
      <c r="H231" s="593"/>
      <c r="I231" s="595">
        <f t="shared" si="63"/>
        <v>59.36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366.82</v>
      </c>
      <c r="F232" s="593"/>
      <c r="G232" s="594"/>
      <c r="H232" s="593"/>
      <c r="I232" s="595">
        <f t="shared" si="63"/>
        <v>366.82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374.12</v>
      </c>
      <c r="F233" s="593"/>
      <c r="G233" s="594"/>
      <c r="H233" s="593"/>
      <c r="I233" s="595">
        <f>+E233+G233</f>
        <v>374.12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88.2</v>
      </c>
      <c r="F234" s="593"/>
      <c r="G234" s="594"/>
      <c r="H234" s="593"/>
      <c r="I234" s="595">
        <f t="shared" si="63"/>
        <v>88.2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100.8</v>
      </c>
      <c r="F235" s="593"/>
      <c r="G235" s="594"/>
      <c r="H235" s="593"/>
      <c r="I235" s="595">
        <f t="shared" si="63"/>
        <v>100.8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262.39999999999998</v>
      </c>
      <c r="F236" s="593"/>
      <c r="G236" s="594"/>
      <c r="H236" s="593"/>
      <c r="I236" s="595">
        <f t="shared" si="63"/>
        <v>262.39999999999998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266.62</v>
      </c>
      <c r="F237" s="593"/>
      <c r="G237" s="594"/>
      <c r="H237" s="593"/>
      <c r="I237" s="595">
        <f t="shared" si="62"/>
        <v>266.62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179.76</v>
      </c>
      <c r="F238" s="593"/>
      <c r="G238" s="594"/>
      <c r="H238" s="593"/>
      <c r="I238" s="595">
        <f t="shared" si="62"/>
        <v>179.76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49.99</v>
      </c>
      <c r="F239" s="593"/>
      <c r="G239" s="594"/>
      <c r="H239" s="593"/>
      <c r="I239" s="595">
        <f t="shared" si="62"/>
        <v>49.99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16.63</v>
      </c>
      <c r="F241" s="593"/>
      <c r="G241" s="594"/>
      <c r="H241" s="593"/>
      <c r="I241" s="595">
        <f t="shared" si="62"/>
        <v>16.63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49.92</v>
      </c>
      <c r="F243" s="593"/>
      <c r="G243" s="594"/>
      <c r="H243" s="593"/>
      <c r="I243" s="595">
        <f t="shared" si="62"/>
        <v>49.92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619.9</v>
      </c>
      <c r="F244" s="593"/>
      <c r="G244" s="594"/>
      <c r="H244" s="593"/>
      <c r="I244" s="595">
        <f t="shared" si="62"/>
        <v>619.9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50.4</v>
      </c>
      <c r="F245" s="593"/>
      <c r="G245" s="594"/>
      <c r="H245" s="593"/>
      <c r="I245" s="595">
        <f t="shared" si="62"/>
        <v>50.4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8.3699999999999992</v>
      </c>
      <c r="F246" s="593"/>
      <c r="G246" s="594"/>
      <c r="H246" s="593"/>
      <c r="I246" s="595">
        <f t="shared" si="62"/>
        <v>8.3699999999999992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1440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1504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1505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1871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9" t="s">
        <v>1679</v>
      </c>
      <c r="D253" s="620"/>
      <c r="E253" s="1870">
        <f>+SUMIF(sdmixer!$A:$A,usage!B253,sdmixer!$E:$E)</f>
        <v>507.62</v>
      </c>
      <c r="F253" s="1848"/>
      <c r="G253" s="598"/>
      <c r="H253" s="1848"/>
      <c r="I253" s="1271">
        <f t="shared" si="65"/>
        <v>507.62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1">
        <v>582</v>
      </c>
      <c r="D254" s="1872"/>
      <c r="E254" s="1857">
        <f>+SUMIF(sdmixer!$A:$A,usage!B254,sdmixer!$E:$E)</f>
        <v>33.299999999999997</v>
      </c>
      <c r="F254" s="1850"/>
      <c r="G254" s="1851"/>
      <c r="H254" s="1850"/>
      <c r="I254" s="1852">
        <f t="shared" si="62"/>
        <v>33.299999999999997</v>
      </c>
      <c r="J254" s="529"/>
      <c r="L254" s="1286"/>
    </row>
    <row r="255" spans="1:12" ht="25.5" customHeight="1" thickBot="1" x14ac:dyDescent="0.3">
      <c r="A255" s="2251" t="s">
        <v>436</v>
      </c>
      <c r="B255" s="2252"/>
      <c r="C255" s="2253"/>
      <c r="D255" s="622"/>
      <c r="E255" s="2254">
        <f>+SUM(E223:F254)</f>
        <v>4514.42</v>
      </c>
      <c r="F255" s="2255"/>
      <c r="G255" s="2256">
        <f>+SUM(G223:H254)</f>
        <v>0</v>
      </c>
      <c r="H255" s="2257"/>
      <c r="I255" s="601">
        <f>+E255+G255</f>
        <v>4514.42</v>
      </c>
      <c r="J255" s="529"/>
    </row>
    <row r="256" spans="1:12" ht="35.25" customHeight="1" thickBot="1" x14ac:dyDescent="0.3">
      <c r="A256" s="2250" t="s">
        <v>437</v>
      </c>
      <c r="B256" s="2250"/>
      <c r="C256" s="2250"/>
      <c r="D256" s="2250"/>
      <c r="E256" s="2247">
        <f>+E70+E222+E255</f>
        <v>2073637.65</v>
      </c>
      <c r="F256" s="2248"/>
      <c r="G256" s="2247">
        <f>+G70+G222+G255</f>
        <v>0</v>
      </c>
      <c r="H256" s="2249"/>
      <c r="I256" s="602">
        <f>+E256+G256</f>
        <v>2073637.65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2043166.65</v>
      </c>
    </row>
    <row r="266" spans="6:10" hidden="1" x14ac:dyDescent="0.25">
      <c r="I266" s="278">
        <f>+I265+60388.78+13631.4+13094.72+60.3+24494+786-71-12480-117+92.4</f>
        <v>2143046.2499999995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26786.279999999329</v>
      </c>
    </row>
    <row r="269" spans="6:10" hidden="1" x14ac:dyDescent="0.25"/>
  </sheetData>
  <mergeCells count="21">
    <mergeCell ref="E256:F256"/>
    <mergeCell ref="G256:H256"/>
    <mergeCell ref="A256:D256"/>
    <mergeCell ref="A255:C255"/>
    <mergeCell ref="E255:F255"/>
    <mergeCell ref="G255:H255"/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19" activePane="bottomLeft" state="frozen"/>
      <selection pane="bottomLeft" activeCell="G24" sqref="G24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156" t="s">
        <v>445</v>
      </c>
      <c r="B1" s="2156"/>
      <c r="C1" s="2156"/>
      <c r="D1" s="2156"/>
      <c r="E1" s="2156"/>
      <c r="F1" s="2156"/>
      <c r="G1" s="2156"/>
      <c r="H1" s="2156"/>
      <c r="I1" s="2156"/>
      <c r="J1" s="2156"/>
      <c r="K1" s="2156"/>
      <c r="L1" s="2156"/>
      <c r="M1" s="2156"/>
      <c r="N1" s="2156"/>
      <c r="O1" s="2156"/>
      <c r="P1" s="2156"/>
      <c r="Q1" s="2156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157" t="s">
        <v>446</v>
      </c>
      <c r="B2" s="2157"/>
      <c r="C2" s="2157"/>
      <c r="D2" s="2157"/>
      <c r="E2" s="2157"/>
      <c r="F2" s="2157"/>
      <c r="G2" s="2157"/>
      <c r="H2" s="2157"/>
      <c r="I2" s="2157"/>
      <c r="J2" s="2157"/>
      <c r="K2" s="2157"/>
      <c r="L2" s="2157"/>
      <c r="M2" s="2157"/>
      <c r="N2" s="2157"/>
      <c r="O2" s="2157"/>
      <c r="P2" s="2157"/>
      <c r="Q2" s="2157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10" t="s">
        <v>133</v>
      </c>
      <c r="B3" s="1510"/>
      <c r="C3" s="1510"/>
      <c r="D3" s="1510"/>
      <c r="E3" s="1510"/>
      <c r="F3" s="1511"/>
      <c r="G3" s="1511"/>
      <c r="H3" s="1512"/>
      <c r="I3" s="1513"/>
      <c r="J3" s="1512"/>
      <c r="K3" s="1514"/>
      <c r="L3" s="1515" t="s">
        <v>1483</v>
      </c>
      <c r="M3" s="1512"/>
      <c r="N3" s="1516" t="s">
        <v>1481</v>
      </c>
      <c r="O3" s="1458">
        <f>'Stock Rawmaterial'!N3</f>
        <v>46265</v>
      </c>
      <c r="P3" s="323" t="s">
        <v>463</v>
      </c>
      <c r="Q3" s="1517">
        <f>'Stock Rawmaterial'!P3</f>
        <v>46271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8" t="s">
        <v>1484</v>
      </c>
      <c r="M4" s="7"/>
      <c r="N4" s="1516" t="s">
        <v>1481</v>
      </c>
      <c r="O4" s="1458">
        <f>'Stock Rawmaterial'!N4</f>
        <v>46272</v>
      </c>
      <c r="P4" s="323" t="s">
        <v>463</v>
      </c>
      <c r="Q4" s="1517">
        <f>'Stock Rawmaterial'!P4</f>
        <v>46277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9"/>
      <c r="O5" s="1520"/>
      <c r="P5" s="368"/>
      <c r="Q5" s="1517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7" t="s">
        <v>1478</v>
      </c>
      <c r="B6" s="6" t="s">
        <v>1799</v>
      </c>
      <c r="C6" s="2176" t="s">
        <v>134</v>
      </c>
      <c r="D6" s="2176"/>
      <c r="E6" s="2176"/>
      <c r="F6" s="2176"/>
      <c r="G6" s="2176"/>
      <c r="H6" s="2176"/>
      <c r="I6" s="2176"/>
      <c r="J6" s="2176"/>
      <c r="K6" s="2176"/>
      <c r="L6" s="153"/>
      <c r="M6" s="623"/>
      <c r="N6" s="1443"/>
      <c r="O6" s="545"/>
      <c r="P6" s="1443"/>
      <c r="Q6" s="1520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7" t="s">
        <v>1479</v>
      </c>
      <c r="B7" s="6" t="s">
        <v>1801</v>
      </c>
      <c r="C7" s="2176" t="s">
        <v>1448</v>
      </c>
      <c r="D7" s="2176"/>
      <c r="E7" s="2176"/>
      <c r="F7" s="2176"/>
      <c r="G7" s="2176"/>
      <c r="H7" s="2176"/>
      <c r="I7" s="2176"/>
      <c r="J7" s="2176"/>
      <c r="K7" s="2176"/>
      <c r="L7" s="1503" t="s">
        <v>1482</v>
      </c>
      <c r="M7" s="386">
        <f>'Stock Rawmaterial'!L7</f>
        <v>46276</v>
      </c>
      <c r="N7" s="2181" t="s">
        <v>1462</v>
      </c>
      <c r="O7" s="2182"/>
      <c r="P7" s="2179" t="s">
        <v>1464</v>
      </c>
      <c r="Q7" s="2180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7" t="s">
        <v>1480</v>
      </c>
      <c r="B8" s="6" t="s">
        <v>1470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84" t="s">
        <v>1463</v>
      </c>
      <c r="O8" s="2185"/>
      <c r="P8" s="2177" t="s">
        <v>1465</v>
      </c>
      <c r="Q8" s="2178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20"/>
      <c r="P9" s="368"/>
      <c r="Q9" s="1521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158"/>
      <c r="B10" s="2158"/>
      <c r="C10" s="2158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  <c r="O10" s="2158"/>
      <c r="P10" s="2158"/>
      <c r="Q10" s="2158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59" t="s">
        <v>1449</v>
      </c>
      <c r="B12" s="2144" t="s">
        <v>1</v>
      </c>
      <c r="C12" s="2172" t="s">
        <v>41</v>
      </c>
      <c r="D12" s="2150" t="s">
        <v>1447</v>
      </c>
      <c r="E12" s="2170"/>
      <c r="F12" s="2302" t="s">
        <v>6</v>
      </c>
      <c r="G12" s="2269" t="s">
        <v>1488</v>
      </c>
      <c r="H12" s="1509" t="s">
        <v>5</v>
      </c>
      <c r="I12" s="1509" t="s">
        <v>11</v>
      </c>
      <c r="J12" s="1526" t="s">
        <v>316</v>
      </c>
      <c r="K12" s="1527" t="s">
        <v>307</v>
      </c>
      <c r="L12" s="1526" t="s">
        <v>315</v>
      </c>
      <c r="M12" s="1526" t="s">
        <v>12</v>
      </c>
      <c r="N12" s="1506" t="s">
        <v>313</v>
      </c>
      <c r="O12" s="2186" t="s">
        <v>1458</v>
      </c>
      <c r="P12" s="1506" t="s">
        <v>314</v>
      </c>
      <c r="Q12" s="2139" t="s">
        <v>1458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60"/>
      <c r="B13" s="2145"/>
      <c r="C13" s="2173"/>
      <c r="D13" s="2151"/>
      <c r="E13" s="2171"/>
      <c r="F13" s="2303"/>
      <c r="G13" s="2270"/>
      <c r="H13" s="1684" t="s">
        <v>1455</v>
      </c>
      <c r="I13" s="1499" t="s">
        <v>1485</v>
      </c>
      <c r="J13" s="1498" t="s">
        <v>1466</v>
      </c>
      <c r="K13" s="1522" t="s">
        <v>1461</v>
      </c>
      <c r="L13" s="1498" t="s">
        <v>1467</v>
      </c>
      <c r="M13" s="1498" t="s">
        <v>1456</v>
      </c>
      <c r="N13" s="1523" t="s">
        <v>1457</v>
      </c>
      <c r="O13" s="2187"/>
      <c r="P13" s="1523" t="s">
        <v>1460</v>
      </c>
      <c r="Q13" s="2140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8" t="s">
        <v>1450</v>
      </c>
      <c r="B14" s="2146" t="s">
        <v>1451</v>
      </c>
      <c r="C14" s="2150" t="s">
        <v>1452</v>
      </c>
      <c r="D14" s="2148" t="s">
        <v>1453</v>
      </c>
      <c r="E14" s="2152"/>
      <c r="F14" s="2154" t="s">
        <v>1454</v>
      </c>
      <c r="G14" s="2267" t="s">
        <v>1487</v>
      </c>
      <c r="H14" s="1684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88" t="s">
        <v>1459</v>
      </c>
      <c r="P14" s="1501" t="s">
        <v>308</v>
      </c>
      <c r="Q14" s="2146" t="s">
        <v>1459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9"/>
      <c r="B15" s="2147"/>
      <c r="C15" s="2151"/>
      <c r="D15" s="2149"/>
      <c r="E15" s="2153"/>
      <c r="F15" s="2155"/>
      <c r="G15" s="2268"/>
      <c r="H15" s="1685" t="s">
        <v>1468</v>
      </c>
      <c r="I15" s="1524" t="s">
        <v>1468</v>
      </c>
      <c r="J15" s="1524" t="s">
        <v>1468</v>
      </c>
      <c r="K15" s="1524" t="s">
        <v>1468</v>
      </c>
      <c r="L15" s="1524" t="s">
        <v>1468</v>
      </c>
      <c r="M15" s="1524" t="s">
        <v>1468</v>
      </c>
      <c r="N15" s="1508" t="s">
        <v>1469</v>
      </c>
      <c r="O15" s="2151"/>
      <c r="P15" s="1525" t="s">
        <v>1469</v>
      </c>
      <c r="Q15" s="2147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9">
        <f>IF(M24=0,"",MAX($A$15:A15)+1)</f>
        <v>1</v>
      </c>
      <c r="B16" s="2298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981</v>
      </c>
      <c r="G16" s="1686"/>
      <c r="H16" s="80"/>
      <c r="I16" s="80">
        <f>+'Stock Rawmaterial'!H774</f>
        <v>0</v>
      </c>
      <c r="J16" s="80">
        <f>+'Stock Rawmaterial'!I774</f>
        <v>0</v>
      </c>
      <c r="K16" s="1575">
        <f>+'Stock Rawmaterial'!J774</f>
        <v>0</v>
      </c>
      <c r="L16" s="80">
        <f>+'Stock Rawmaterial'!K774</f>
        <v>0</v>
      </c>
      <c r="M16" s="1576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30"/>
      <c r="B17" s="2299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521</v>
      </c>
      <c r="G17" s="1686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5">
        <f>+'Stock Rawmaterial'!J775</f>
        <v>0</v>
      </c>
      <c r="L17" s="80">
        <f>+'Stock Rawmaterial'!K775</f>
        <v>0</v>
      </c>
      <c r="M17" s="1672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30"/>
      <c r="B18" s="2299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505</v>
      </c>
      <c r="G18" s="1686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5">
        <f>+'Stock Rawmaterial'!J776</f>
        <v>0</v>
      </c>
      <c r="L18" s="80">
        <f>+'Stock Rawmaterial'!K776</f>
        <v>0</v>
      </c>
      <c r="M18" s="1672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30"/>
      <c r="B19" s="2299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65</v>
      </c>
      <c r="G19" s="1954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5">
        <f>+'Stock Rawmaterial'!J777</f>
        <v>0</v>
      </c>
      <c r="L19" s="80">
        <f>+'Stock Rawmaterial'!K777</f>
        <v>0</v>
      </c>
      <c r="M19" s="1672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30"/>
      <c r="B20" s="2299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22</v>
      </c>
      <c r="G20" s="1954">
        <v>46806</v>
      </c>
      <c r="H20" s="80">
        <f>+'Stock Rawmaterial'!G778</f>
        <v>1575</v>
      </c>
      <c r="I20" s="80">
        <f>+'Stock Rawmaterial'!H778</f>
        <v>0</v>
      </c>
      <c r="J20" s="80">
        <f>+'Stock Rawmaterial'!I778</f>
        <v>0</v>
      </c>
      <c r="K20" s="1575">
        <f>+'Stock Rawmaterial'!J778</f>
        <v>0</v>
      </c>
      <c r="L20" s="80">
        <f>+'Stock Rawmaterial'!K778</f>
        <v>125</v>
      </c>
      <c r="M20" s="1672">
        <f>+'Stock Rawmaterial'!L778</f>
        <v>1450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30"/>
      <c r="B21" s="2300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14</v>
      </c>
      <c r="G21" s="1954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5">
        <f>+'Stock Rawmaterial'!J779</f>
        <v>0</v>
      </c>
      <c r="L21" s="80">
        <f>+'Stock Rawmaterial'!K779</f>
        <v>0</v>
      </c>
      <c r="M21" s="1672">
        <f>+'Stock Rawmaterial'!L779</f>
        <v>1000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30"/>
      <c r="B22" s="2300"/>
      <c r="C22" s="160">
        <f>+'Stock Rawmaterial'!C780</f>
        <v>0</v>
      </c>
      <c r="D22" s="959" t="s">
        <v>10</v>
      </c>
      <c r="E22" s="935">
        <f>+'Stock Rawmaterial'!E780</f>
        <v>46262</v>
      </c>
      <c r="F22" s="75">
        <f>+'Stock Rawmaterial'!F780</f>
        <v>14</v>
      </c>
      <c r="G22" s="1954">
        <v>46818</v>
      </c>
      <c r="H22" s="80">
        <f>+'Stock Rawmaterial'!G780</f>
        <v>0</v>
      </c>
      <c r="I22" s="80">
        <f>+'Stock Rawmaterial'!H780</f>
        <v>0</v>
      </c>
      <c r="J22" s="80">
        <f>+'Stock Rawmaterial'!I780</f>
        <v>0</v>
      </c>
      <c r="K22" s="1575">
        <f>+'Stock Rawmaterial'!J780</f>
        <v>0</v>
      </c>
      <c r="L22" s="80">
        <f>+'Stock Rawmaterial'!K780</f>
        <v>0</v>
      </c>
      <c r="M22" s="1672">
        <f>+'Stock Rawmaterial'!L780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1"/>
      <c r="B23" s="2301"/>
      <c r="C23" s="1690" t="str">
        <f>+'Stock Rawmaterial'!C781</f>
        <v>Feedmill</v>
      </c>
      <c r="D23" s="1691" t="s">
        <v>10</v>
      </c>
      <c r="E23" s="1692">
        <f>+'Stock Rawmaterial'!E781</f>
        <v>46254</v>
      </c>
      <c r="F23" s="566">
        <f>+'Stock Rawmaterial'!F781</f>
        <v>22</v>
      </c>
      <c r="G23" s="1955">
        <v>46806</v>
      </c>
      <c r="H23" s="567">
        <f>+'Stock Rawmaterial'!G781</f>
        <v>100.76</v>
      </c>
      <c r="I23" s="567">
        <f>+'Stock Rawmaterial'!H781</f>
        <v>0</v>
      </c>
      <c r="J23" s="567">
        <f>+'Stock Rawmaterial'!I781</f>
        <v>125</v>
      </c>
      <c r="K23" s="1694">
        <f>+'Stock Rawmaterial'!J781</f>
        <v>50.85</v>
      </c>
      <c r="L23" s="567">
        <f>+'Stock Rawmaterial'!K781</f>
        <v>0</v>
      </c>
      <c r="M23" s="1695">
        <f>+'Stock Rawmaterial'!L781</f>
        <v>174.91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27" t="s">
        <v>615</v>
      </c>
      <c r="B24" s="2028"/>
      <c r="C24" s="88"/>
      <c r="D24" s="864"/>
      <c r="E24" s="864"/>
      <c r="F24" s="865"/>
      <c r="G24" s="865"/>
      <c r="H24" s="1577">
        <f>SUM(H16:H23)</f>
        <v>2675.76</v>
      </c>
      <c r="I24" s="1577">
        <f t="shared" ref="I24:M24" si="0">SUM(I16:I23)</f>
        <v>0</v>
      </c>
      <c r="J24" s="1577">
        <f t="shared" si="0"/>
        <v>125</v>
      </c>
      <c r="K24" s="1577">
        <f t="shared" si="0"/>
        <v>50.85</v>
      </c>
      <c r="L24" s="1577">
        <f t="shared" si="0"/>
        <v>125</v>
      </c>
      <c r="M24" s="1577">
        <f t="shared" si="0"/>
        <v>2624.91</v>
      </c>
      <c r="N24" s="133">
        <f>'Stock Rawmaterial'!M782</f>
        <v>179.30444444444444</v>
      </c>
      <c r="O24" s="133">
        <f>'Stock Rawmaterial'!N782</f>
        <v>14.639402877787003</v>
      </c>
      <c r="P24" s="133">
        <f>'Stock Rawmaterial'!O782</f>
        <v>184.00000000000003</v>
      </c>
      <c r="Q24" s="133">
        <f>'Stock Rawmaterial'!P782</f>
        <v>14.265815217391301</v>
      </c>
      <c r="R24" s="466"/>
      <c r="S24" s="264"/>
      <c r="T24" s="467"/>
    </row>
    <row r="25" spans="1:20" s="13" customFormat="1" ht="30" hidden="1" customHeight="1" x14ac:dyDescent="0.2">
      <c r="A25" s="2029" t="str">
        <f>IF(M32=0,"",MAX($A$15:A24)+1)</f>
        <v/>
      </c>
      <c r="B25" s="2273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8"/>
      <c r="I25" s="1579"/>
      <c r="J25" s="1580"/>
      <c r="K25" s="80"/>
      <c r="L25" s="80"/>
      <c r="M25" s="80"/>
      <c r="N25" s="287"/>
      <c r="O25" s="1636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30"/>
      <c r="B26" s="2274"/>
      <c r="C26" s="160" t="str">
        <f>+'Stock Rawmaterial'!C790</f>
        <v>X0</v>
      </c>
      <c r="D26" s="959" t="s">
        <v>10</v>
      </c>
      <c r="E26" s="935"/>
      <c r="F26" s="75"/>
      <c r="G26" s="358"/>
      <c r="H26" s="1578"/>
      <c r="I26" s="1579"/>
      <c r="J26" s="1580"/>
      <c r="K26" s="80"/>
      <c r="L26" s="80"/>
      <c r="M26" s="80"/>
      <c r="N26" s="287"/>
      <c r="O26" s="1636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30"/>
      <c r="B27" s="2274"/>
      <c r="C27" s="160" t="str">
        <f>+'Stock Rawmaterial'!C791</f>
        <v>X0</v>
      </c>
      <c r="D27" s="959" t="s">
        <v>10</v>
      </c>
      <c r="E27" s="935"/>
      <c r="F27" s="75"/>
      <c r="G27" s="358"/>
      <c r="H27" s="1578"/>
      <c r="I27" s="1579"/>
      <c r="J27" s="1580"/>
      <c r="K27" s="80"/>
      <c r="L27" s="80"/>
      <c r="M27" s="80"/>
      <c r="N27" s="287"/>
      <c r="O27" s="1636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30"/>
      <c r="B28" s="2274"/>
      <c r="C28" s="160" t="s">
        <v>284</v>
      </c>
      <c r="D28" s="959" t="s">
        <v>10</v>
      </c>
      <c r="E28" s="935"/>
      <c r="F28" s="75"/>
      <c r="G28" s="358"/>
      <c r="H28" s="1578"/>
      <c r="I28" s="1579"/>
      <c r="J28" s="1580"/>
      <c r="K28" s="80"/>
      <c r="L28" s="80"/>
      <c r="M28" s="80"/>
      <c r="N28" s="287"/>
      <c r="O28" s="1636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30"/>
      <c r="B29" s="2274"/>
      <c r="C29" s="160" t="s">
        <v>283</v>
      </c>
      <c r="D29" s="959" t="s">
        <v>10</v>
      </c>
      <c r="E29" s="935"/>
      <c r="F29" s="75"/>
      <c r="G29" s="358"/>
      <c r="H29" s="1578"/>
      <c r="I29" s="1579"/>
      <c r="J29" s="1580"/>
      <c r="K29" s="80"/>
      <c r="L29" s="80"/>
      <c r="M29" s="80"/>
      <c r="N29" s="287"/>
      <c r="O29" s="1636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30"/>
      <c r="B30" s="2274"/>
      <c r="C30" s="160" t="s">
        <v>283</v>
      </c>
      <c r="D30" s="959" t="s">
        <v>10</v>
      </c>
      <c r="E30" s="935"/>
      <c r="F30" s="75"/>
      <c r="G30" s="358"/>
      <c r="H30" s="1578"/>
      <c r="I30" s="1579"/>
      <c r="J30" s="1580"/>
      <c r="K30" s="80"/>
      <c r="L30" s="80"/>
      <c r="M30" s="80"/>
      <c r="N30" s="287"/>
      <c r="O30" s="1636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31"/>
      <c r="B31" s="2275"/>
      <c r="C31" s="106" t="s">
        <v>46</v>
      </c>
      <c r="D31" s="850" t="s">
        <v>10</v>
      </c>
      <c r="E31" s="935"/>
      <c r="F31" s="283"/>
      <c r="G31" s="283"/>
      <c r="H31" s="1581"/>
      <c r="I31" s="1582"/>
      <c r="J31" s="1583"/>
      <c r="K31" s="1584"/>
      <c r="L31" s="80"/>
      <c r="M31" s="1584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76" t="s">
        <v>222</v>
      </c>
      <c r="B32" s="2044"/>
      <c r="C32" s="88"/>
      <c r="D32" s="864"/>
      <c r="E32" s="864"/>
      <c r="F32" s="865"/>
      <c r="G32" s="865"/>
      <c r="H32" s="1585"/>
      <c r="I32" s="1586"/>
      <c r="J32" s="1587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9">
        <f>IF(M39=0,"",MAX($A$15:A32)+1)</f>
        <v>2</v>
      </c>
      <c r="B33" s="2161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237</v>
      </c>
      <c r="G33" s="1955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8">
        <f>+'Stock Rawmaterial'!J994</f>
        <v>0</v>
      </c>
      <c r="L33" s="77">
        <f>+'Stock Rawmaterial'!K994</f>
        <v>0</v>
      </c>
      <c r="M33" s="1672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30"/>
      <c r="B34" s="2163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197</v>
      </c>
      <c r="G34" s="1954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8">
        <f>+'Stock Rawmaterial'!J995</f>
        <v>0</v>
      </c>
      <c r="L34" s="77">
        <f>+'Stock Rawmaterial'!K995</f>
        <v>0</v>
      </c>
      <c r="M34" s="1672">
        <f>+'Stock Rawmaterial'!L995</f>
        <v>0</v>
      </c>
      <c r="N34" s="332"/>
      <c r="O34" s="1636"/>
      <c r="P34" s="332"/>
      <c r="Q34" s="332"/>
      <c r="R34" s="486"/>
      <c r="S34" s="487"/>
      <c r="T34" s="488"/>
    </row>
    <row r="35" spans="1:20" s="417" customFormat="1" ht="24.75" customHeight="1" x14ac:dyDescent="0.2">
      <c r="A35" s="2030"/>
      <c r="B35" s="2163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14</v>
      </c>
      <c r="G35" s="1954">
        <v>47249</v>
      </c>
      <c r="H35" s="77">
        <f>+'Stock Rawmaterial'!G996</f>
        <v>950</v>
      </c>
      <c r="I35" s="986">
        <f>+'Stock Rawmaterial'!H996</f>
        <v>0</v>
      </c>
      <c r="J35" s="82">
        <f>+'Stock Rawmaterial'!I996</f>
        <v>0</v>
      </c>
      <c r="K35" s="1588">
        <f>+'Stock Rawmaterial'!J996</f>
        <v>0</v>
      </c>
      <c r="L35" s="77">
        <f>+'Stock Rawmaterial'!K996</f>
        <v>150</v>
      </c>
      <c r="M35" s="1672">
        <f>+'Stock Rawmaterial'!L996</f>
        <v>800</v>
      </c>
      <c r="N35" s="878"/>
      <c r="O35" s="1637"/>
      <c r="P35" s="878"/>
      <c r="Q35" s="332"/>
      <c r="R35" s="489"/>
      <c r="S35" s="490"/>
      <c r="T35" s="491"/>
    </row>
    <row r="36" spans="1:20" s="417" customFormat="1" ht="30" customHeight="1" x14ac:dyDescent="0.2">
      <c r="A36" s="2030"/>
      <c r="B36" s="2164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14</v>
      </c>
      <c r="G36" s="1954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8">
        <f>+'Stock Rawmaterial'!J997</f>
        <v>0</v>
      </c>
      <c r="L36" s="77">
        <f>+'Stock Rawmaterial'!K997</f>
        <v>0</v>
      </c>
      <c r="M36" s="1672">
        <f>+'Stock Rawmaterial'!L997</f>
        <v>0</v>
      </c>
      <c r="N36" s="878"/>
      <c r="O36" s="1637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30"/>
      <c r="B37" s="2164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343</v>
      </c>
      <c r="G37" s="1954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8">
        <f>+'Stock Rawmaterial'!J998</f>
        <v>0</v>
      </c>
      <c r="L37" s="77">
        <f>+'Stock Rawmaterial'!K998</f>
        <v>0</v>
      </c>
      <c r="M37" s="1672">
        <f>+'Stock Rawmaterial'!L998</f>
        <v>0</v>
      </c>
      <c r="N37" s="878"/>
      <c r="O37" s="1637"/>
      <c r="P37" s="878"/>
      <c r="Q37" s="332"/>
      <c r="R37" s="489"/>
      <c r="S37" s="490"/>
      <c r="T37" s="491"/>
    </row>
    <row r="38" spans="1:20" s="401" customFormat="1" ht="30" customHeight="1" x14ac:dyDescent="0.2">
      <c r="A38" s="2031"/>
      <c r="B38" s="2165"/>
      <c r="C38" s="1153" t="str">
        <f>+'Stock Rawmaterial'!C999</f>
        <v>Feedmill</v>
      </c>
      <c r="D38" s="1691" t="str">
        <f>+'Stock Rawmaterial'!D999</f>
        <v>Rec.</v>
      </c>
      <c r="E38" s="1696">
        <f>+'Stock Rawmaterial'!E999</f>
        <v>46262</v>
      </c>
      <c r="F38" s="566">
        <f>+'Stock Rawmaterial'!F999</f>
        <v>14</v>
      </c>
      <c r="G38" s="1955">
        <v>47217</v>
      </c>
      <c r="H38" s="1697">
        <f>+'Stock Rawmaterial'!G999</f>
        <v>9.2299999999999045</v>
      </c>
      <c r="I38" s="567">
        <f>+'Stock Rawmaterial'!H999</f>
        <v>0</v>
      </c>
      <c r="J38" s="567">
        <f>+'Stock Rawmaterial'!I999</f>
        <v>150</v>
      </c>
      <c r="K38" s="1694">
        <f>+'Stock Rawmaterial'!J999</f>
        <v>0</v>
      </c>
      <c r="L38" s="1697">
        <f>+'Stock Rawmaterial'!K999</f>
        <v>0</v>
      </c>
      <c r="M38" s="1695">
        <f>+'Stock Rawmaterial'!L999</f>
        <v>159.2299999999999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27" t="s">
        <v>61</v>
      </c>
      <c r="B39" s="2028"/>
      <c r="C39" s="88"/>
      <c r="D39" s="864"/>
      <c r="E39" s="864"/>
      <c r="F39" s="865"/>
      <c r="G39" s="865"/>
      <c r="H39" s="1577">
        <f t="shared" ref="H39:M39" si="2">SUM(H33:H38)</f>
        <v>959.2299999999999</v>
      </c>
      <c r="I39" s="1577">
        <f t="shared" si="2"/>
        <v>0</v>
      </c>
      <c r="J39" s="1577">
        <f t="shared" si="2"/>
        <v>150</v>
      </c>
      <c r="K39" s="1577">
        <f t="shared" si="2"/>
        <v>0</v>
      </c>
      <c r="L39" s="1577">
        <f t="shared" si="2"/>
        <v>150</v>
      </c>
      <c r="M39" s="1577">
        <f t="shared" si="2"/>
        <v>959.2299999999999</v>
      </c>
      <c r="N39" s="133">
        <f>'Stock Rawmaterial'!M1000</f>
        <v>25.457777777777778</v>
      </c>
      <c r="O39" s="133">
        <f>'Stock Rawmaterial'!N1000</f>
        <v>37.679251047486026</v>
      </c>
      <c r="P39" s="133">
        <f>'Stock Rawmaterial'!O1000</f>
        <v>9.1666666666666661</v>
      </c>
      <c r="Q39" s="133">
        <f>'Stock Rawmaterial'!P1000</f>
        <v>104.64327272727273</v>
      </c>
      <c r="R39" s="466"/>
      <c r="S39" s="264"/>
      <c r="T39" s="467"/>
    </row>
    <row r="40" spans="1:20" s="409" customFormat="1" ht="30" hidden="1" customHeight="1" x14ac:dyDescent="0.2">
      <c r="A40" s="2029">
        <f>IF(M47=0,"",MAX($A$15:A39)+1)</f>
        <v>3</v>
      </c>
      <c r="B40" s="2161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1148</v>
      </c>
      <c r="G40" s="1673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8">
        <f>+'Stock Rawmaterial'!J1049</f>
        <v>0</v>
      </c>
      <c r="L40" s="77">
        <f>+'Stock Rawmaterial'!K1049</f>
        <v>0</v>
      </c>
      <c r="M40" s="1672">
        <f>+'Stock Rawmaterial'!L1049</f>
        <v>0</v>
      </c>
      <c r="N40" s="335"/>
      <c r="O40" s="1636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30"/>
      <c r="B41" s="2163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596</v>
      </c>
      <c r="G41" s="1686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8">
        <f>+'Stock Rawmaterial'!J1050</f>
        <v>0</v>
      </c>
      <c r="L41" s="77">
        <f>+'Stock Rawmaterial'!K1050</f>
        <v>0</v>
      </c>
      <c r="M41" s="1672">
        <f>+'Stock Rawmaterial'!L1050</f>
        <v>0</v>
      </c>
      <c r="N41" s="335"/>
      <c r="O41" s="1636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30"/>
      <c r="B42" s="2163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280</v>
      </c>
      <c r="G42" s="1686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8">
        <f>+'Stock Rawmaterial'!J1051</f>
        <v>0</v>
      </c>
      <c r="L42" s="77">
        <f>+'Stock Rawmaterial'!K1051</f>
        <v>0</v>
      </c>
      <c r="M42" s="1672">
        <f>+'Stock Rawmaterial'!L1051</f>
        <v>0</v>
      </c>
      <c r="N42" s="335"/>
      <c r="O42" s="1636"/>
      <c r="P42" s="287"/>
      <c r="Q42" s="287"/>
      <c r="R42" s="478"/>
      <c r="S42" s="338"/>
      <c r="T42" s="479"/>
    </row>
    <row r="43" spans="1:20" s="409" customFormat="1" ht="30" customHeight="1" x14ac:dyDescent="0.2">
      <c r="A43" s="2030"/>
      <c r="B43" s="2163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22</v>
      </c>
      <c r="G43" s="1954">
        <v>46803</v>
      </c>
      <c r="H43" s="77">
        <f>+'Stock Rawmaterial'!G1052</f>
        <v>700</v>
      </c>
      <c r="I43" s="986">
        <f>+'Stock Rawmaterial'!H1052</f>
        <v>0</v>
      </c>
      <c r="J43" s="82">
        <f>+'Stock Rawmaterial'!I1052</f>
        <v>0</v>
      </c>
      <c r="K43" s="1588">
        <f>+'Stock Rawmaterial'!J1052</f>
        <v>0</v>
      </c>
      <c r="L43" s="77">
        <f>+'Stock Rawmaterial'!K1052</f>
        <v>80</v>
      </c>
      <c r="M43" s="1672">
        <f>+'Stock Rawmaterial'!L1052</f>
        <v>620</v>
      </c>
      <c r="N43" s="335"/>
      <c r="O43" s="1636"/>
      <c r="P43" s="287"/>
      <c r="Q43" s="287"/>
      <c r="R43" s="478"/>
      <c r="S43" s="338"/>
      <c r="T43" s="479"/>
    </row>
    <row r="44" spans="1:20" s="409" customFormat="1" ht="30" customHeight="1" x14ac:dyDescent="0.2">
      <c r="A44" s="2030"/>
      <c r="B44" s="2163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1</v>
      </c>
      <c r="G44" s="1954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8">
        <f>+'Stock Rawmaterial'!J1053</f>
        <v>0</v>
      </c>
      <c r="L44" s="77">
        <f>+'Stock Rawmaterial'!K1053</f>
        <v>0</v>
      </c>
      <c r="M44" s="1672">
        <f>+'Stock Rawmaterial'!L1053</f>
        <v>800</v>
      </c>
      <c r="N44" s="335"/>
      <c r="O44" s="1636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30"/>
      <c r="B45" s="2164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455</v>
      </c>
      <c r="G45" s="1954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8">
        <f>+'Stock Rawmaterial'!J1054</f>
        <v>0</v>
      </c>
      <c r="L45" s="77">
        <f>+'Stock Rawmaterial'!K1054</f>
        <v>0</v>
      </c>
      <c r="M45" s="1672">
        <f>+'Stock Rawmaterial'!L1054</f>
        <v>0</v>
      </c>
      <c r="N45" s="335"/>
      <c r="O45" s="1636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31"/>
      <c r="B46" s="2165"/>
      <c r="C46" s="1153" t="str">
        <f>+'Stock Rawmaterial'!C1055</f>
        <v>Feedmill</v>
      </c>
      <c r="D46" s="1691" t="str">
        <f>+'Stock Rawmaterial'!D1055</f>
        <v>Rec.</v>
      </c>
      <c r="E46" s="1696">
        <f>+'Stock Rawmaterial'!E1055</f>
        <v>46254</v>
      </c>
      <c r="F46" s="566">
        <f>+'Stock Rawmaterial'!F1055</f>
        <v>22</v>
      </c>
      <c r="G46" s="1955">
        <v>46803</v>
      </c>
      <c r="H46" s="1697">
        <f>+'Stock Rawmaterial'!G1055</f>
        <v>66</v>
      </c>
      <c r="I46" s="567">
        <f>+'Stock Rawmaterial'!H1055</f>
        <v>0</v>
      </c>
      <c r="J46" s="567">
        <f>+'Stock Rawmaterial'!I1055</f>
        <v>80</v>
      </c>
      <c r="K46" s="1694">
        <f>+'Stock Rawmaterial'!J1055</f>
        <v>40</v>
      </c>
      <c r="L46" s="1697">
        <f>+'Stock Rawmaterial'!K1055</f>
        <v>0</v>
      </c>
      <c r="M46" s="1695">
        <f>+'Stock Rawmaterial'!L1055</f>
        <v>106</v>
      </c>
      <c r="N46" s="331"/>
      <c r="O46" s="1530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27" t="s">
        <v>218</v>
      </c>
      <c r="B47" s="2028"/>
      <c r="C47" s="88"/>
      <c r="D47" s="864"/>
      <c r="E47" s="864"/>
      <c r="F47" s="865"/>
      <c r="G47" s="865"/>
      <c r="H47" s="230">
        <f t="shared" ref="H47:L47" si="3">+SUM(H40:H46)</f>
        <v>1566</v>
      </c>
      <c r="I47" s="230">
        <f t="shared" si="3"/>
        <v>0</v>
      </c>
      <c r="J47" s="230">
        <f t="shared" si="3"/>
        <v>80</v>
      </c>
      <c r="K47" s="230">
        <f t="shared" si="3"/>
        <v>40</v>
      </c>
      <c r="L47" s="230">
        <f t="shared" si="3"/>
        <v>80</v>
      </c>
      <c r="M47" s="230">
        <f>+SUM(M40:M46)</f>
        <v>1526</v>
      </c>
      <c r="N47" s="133">
        <f>'Stock Rawmaterial'!M1056</f>
        <v>16.888888888888889</v>
      </c>
      <c r="O47" s="133">
        <f>'Stock Rawmaterial'!N1056</f>
        <v>90.35526315789474</v>
      </c>
      <c r="P47" s="133">
        <f>'Stock Rawmaterial'!O1056</f>
        <v>32.833333333333336</v>
      </c>
      <c r="Q47" s="133">
        <f>'Stock Rawmaterial'!P1056</f>
        <v>46.477157360406089</v>
      </c>
      <c r="R47" s="466"/>
      <c r="S47" s="264"/>
      <c r="T47" s="467"/>
    </row>
    <row r="48" spans="1:20" s="409" customFormat="1" ht="30" hidden="1" customHeight="1" x14ac:dyDescent="0.2">
      <c r="A48" s="2029">
        <f>IF(M53=0,"",MAX($A$16:A47)+1)</f>
        <v>4</v>
      </c>
      <c r="B48" s="2161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407</v>
      </c>
      <c r="G48" s="1686">
        <v>46491</v>
      </c>
      <c r="H48" s="1823">
        <f>'Stock Rawmaterial'!G1057</f>
        <v>0</v>
      </c>
      <c r="I48" s="1823">
        <f>'Stock Rawmaterial'!H1057</f>
        <v>0</v>
      </c>
      <c r="J48" s="1823">
        <f>'Stock Rawmaterial'!I1057</f>
        <v>0</v>
      </c>
      <c r="K48" s="1823">
        <f>'Stock Rawmaterial'!J1057</f>
        <v>0</v>
      </c>
      <c r="L48" s="1823">
        <f>'Stock Rawmaterial'!K1057</f>
        <v>0</v>
      </c>
      <c r="M48" s="1823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30"/>
      <c r="B49" s="2163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289</v>
      </c>
      <c r="G49" s="1686">
        <v>46628</v>
      </c>
      <c r="H49" s="1823">
        <f>'Stock Rawmaterial'!G1058</f>
        <v>0</v>
      </c>
      <c r="I49" s="1823">
        <f>'Stock Rawmaterial'!H1058</f>
        <v>0</v>
      </c>
      <c r="J49" s="1823">
        <f>'Stock Rawmaterial'!I1058</f>
        <v>0</v>
      </c>
      <c r="K49" s="1823">
        <f>'Stock Rawmaterial'!J1058</f>
        <v>0</v>
      </c>
      <c r="L49" s="1823">
        <f>'Stock Rawmaterial'!K1058</f>
        <v>0</v>
      </c>
      <c r="M49" s="1823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30"/>
      <c r="B50" s="2163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239</v>
      </c>
      <c r="G50" s="1954">
        <v>46733</v>
      </c>
      <c r="H50" s="1823">
        <f>'Stock Rawmaterial'!G1059</f>
        <v>220</v>
      </c>
      <c r="I50" s="1823">
        <f>'Stock Rawmaterial'!H1059</f>
        <v>0</v>
      </c>
      <c r="J50" s="1823">
        <f>'Stock Rawmaterial'!I1059</f>
        <v>0</v>
      </c>
      <c r="K50" s="1823">
        <f>'Stock Rawmaterial'!J1059</f>
        <v>0</v>
      </c>
      <c r="L50" s="1823">
        <f>'Stock Rawmaterial'!K1059</f>
        <v>0</v>
      </c>
      <c r="M50" s="1823">
        <f>'Stock Rawmaterial'!L1059</f>
        <v>220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30"/>
      <c r="B51" s="2164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239</v>
      </c>
      <c r="G51" s="1954">
        <v>46715</v>
      </c>
      <c r="H51" s="1823">
        <f>'Stock Rawmaterial'!G1060</f>
        <v>0</v>
      </c>
      <c r="I51" s="1823">
        <f>'Stock Rawmaterial'!H1060</f>
        <v>0</v>
      </c>
      <c r="J51" s="1823">
        <f>'Stock Rawmaterial'!I1060</f>
        <v>0</v>
      </c>
      <c r="K51" s="1823">
        <f>'Stock Rawmaterial'!J1060</f>
        <v>0</v>
      </c>
      <c r="L51" s="1823">
        <f>'Stock Rawmaterial'!K1060</f>
        <v>0</v>
      </c>
      <c r="M51" s="1823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31"/>
      <c r="B52" s="2163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239</v>
      </c>
      <c r="G52" s="1954">
        <v>46733</v>
      </c>
      <c r="H52" s="1823">
        <f>'Stock Rawmaterial'!G1061</f>
        <v>7.6599999999999859</v>
      </c>
      <c r="I52" s="1823">
        <f>'Stock Rawmaterial'!H1061</f>
        <v>0</v>
      </c>
      <c r="J52" s="1823">
        <f>'Stock Rawmaterial'!I1061</f>
        <v>0</v>
      </c>
      <c r="K52" s="1823">
        <f>'Stock Rawmaterial'!J1061</f>
        <v>0</v>
      </c>
      <c r="L52" s="1823">
        <f>'Stock Rawmaterial'!K1061</f>
        <v>0</v>
      </c>
      <c r="M52" s="1823">
        <f>'Stock Rawmaterial'!L1061</f>
        <v>7.6599999999999859</v>
      </c>
      <c r="N52" s="1647"/>
      <c r="O52" s="1647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27" t="s">
        <v>594</v>
      </c>
      <c r="B53" s="2028"/>
      <c r="C53" s="88"/>
      <c r="D53" s="864"/>
      <c r="E53" s="864"/>
      <c r="F53" s="865"/>
      <c r="G53" s="865"/>
      <c r="H53" s="230">
        <f t="shared" ref="H53:L53" si="4">+SUM(H48:H52)</f>
        <v>227.66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227.66</v>
      </c>
      <c r="N53" s="133">
        <f>'Stock Rawmaterial'!M1062</f>
        <v>3.7333333333333334</v>
      </c>
      <c r="O53" s="133">
        <f>'Stock Rawmaterial'!N1062</f>
        <v>60.980357142857144</v>
      </c>
      <c r="P53" s="133">
        <f>'Stock Rawmaterial'!O1062</f>
        <v>0</v>
      </c>
      <c r="Q53" s="133">
        <f>'Stock Rawmaterial'!P1062</f>
        <v>0</v>
      </c>
      <c r="R53" s="466"/>
      <c r="S53" s="264"/>
      <c r="T53" s="467"/>
    </row>
    <row r="54" spans="1:20" s="409" customFormat="1" ht="30" hidden="1" customHeight="1" x14ac:dyDescent="0.2">
      <c r="A54" s="2029" t="str">
        <f>IF(M60=0,"",MAX($A$16:A53)+1)</f>
        <v/>
      </c>
      <c r="B54" s="2161" t="s">
        <v>963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9"/>
      <c r="I54" s="1590"/>
      <c r="J54" s="1591"/>
      <c r="K54" s="80"/>
      <c r="L54" s="80"/>
      <c r="M54" s="80"/>
      <c r="N54" s="287"/>
      <c r="O54" s="1636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30"/>
      <c r="B55" s="2163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9"/>
      <c r="I55" s="1590"/>
      <c r="J55" s="1591"/>
      <c r="K55" s="80"/>
      <c r="L55" s="80"/>
      <c r="M55" s="80"/>
      <c r="N55" s="287"/>
      <c r="O55" s="1636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30"/>
      <c r="B56" s="2163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9"/>
      <c r="I56" s="1590"/>
      <c r="J56" s="1591"/>
      <c r="K56" s="80"/>
      <c r="L56" s="80"/>
      <c r="M56" s="80"/>
      <c r="N56" s="287"/>
      <c r="O56" s="1636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30"/>
      <c r="B57" s="2163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9"/>
      <c r="I57" s="1590"/>
      <c r="J57" s="1591"/>
      <c r="K57" s="80"/>
      <c r="L57" s="80"/>
      <c r="M57" s="80"/>
      <c r="N57" s="287"/>
      <c r="O57" s="1636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30"/>
      <c r="B58" s="2163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9"/>
      <c r="I58" s="1590"/>
      <c r="J58" s="1591"/>
      <c r="K58" s="80"/>
      <c r="L58" s="80"/>
      <c r="M58" s="80"/>
      <c r="N58" s="287"/>
      <c r="O58" s="1636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31"/>
      <c r="B59" s="2165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5"/>
      <c r="H59" s="1593"/>
      <c r="I59" s="1594"/>
      <c r="J59" s="1583"/>
      <c r="K59" s="1584"/>
      <c r="L59" s="80"/>
      <c r="M59" s="1584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27" t="s">
        <v>617</v>
      </c>
      <c r="B60" s="2028"/>
      <c r="C60" s="1146"/>
      <c r="D60" s="864"/>
      <c r="E60" s="864"/>
      <c r="F60" s="865"/>
      <c r="G60" s="865"/>
      <c r="H60" s="231">
        <f>SUM(H54:H59)</f>
        <v>0</v>
      </c>
      <c r="I60" s="326"/>
      <c r="J60" s="1595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9">
        <f>IF(M69=0,"",MAX($A$16:A60)+1)</f>
        <v>5</v>
      </c>
      <c r="B61" s="2161" t="s">
        <v>967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76</v>
      </c>
      <c r="G61" s="1954">
        <v>46907</v>
      </c>
      <c r="H61" s="1590">
        <f>'Stock Rawmaterial'!G1070</f>
        <v>0</v>
      </c>
      <c r="I61" s="1589">
        <f>'Stock Rawmaterial'!H1070</f>
        <v>0</v>
      </c>
      <c r="J61" s="1823">
        <f>'Stock Rawmaterial'!I1070</f>
        <v>0</v>
      </c>
      <c r="K61" s="1823">
        <f>'Stock Rawmaterial'!J1070</f>
        <v>0</v>
      </c>
      <c r="L61" s="1823">
        <f>'Stock Rawmaterial'!K1070</f>
        <v>0</v>
      </c>
      <c r="M61" s="1823">
        <f>'Stock Rawmaterial'!L1070</f>
        <v>0</v>
      </c>
      <c r="N61" s="287"/>
      <c r="O61" s="1636"/>
      <c r="P61" s="287"/>
      <c r="Q61" s="287"/>
      <c r="R61" s="478"/>
      <c r="S61" s="338"/>
      <c r="T61" s="479"/>
    </row>
    <row r="62" spans="1:20" s="409" customFormat="1" ht="30" customHeight="1" x14ac:dyDescent="0.2">
      <c r="A62" s="2030"/>
      <c r="B62" s="2163"/>
      <c r="C62" s="127" t="str">
        <f>+'Stock Rawmaterial'!C1071</f>
        <v>D1</v>
      </c>
      <c r="D62" s="881" t="s">
        <v>10</v>
      </c>
      <c r="E62" s="882">
        <f>+'Stock Rawmaterial'!E1071</f>
        <v>46219</v>
      </c>
      <c r="F62" s="938">
        <f>+'Stock Rawmaterial'!F1071</f>
        <v>57</v>
      </c>
      <c r="G62" s="1954">
        <v>46920</v>
      </c>
      <c r="H62" s="1590">
        <f>'Stock Rawmaterial'!G1071</f>
        <v>5000</v>
      </c>
      <c r="I62" s="1589">
        <f>'Stock Rawmaterial'!H1071</f>
        <v>0</v>
      </c>
      <c r="J62" s="1823">
        <f>'Stock Rawmaterial'!I1071</f>
        <v>0</v>
      </c>
      <c r="K62" s="1823">
        <f>'Stock Rawmaterial'!J1071</f>
        <v>0</v>
      </c>
      <c r="L62" s="1823">
        <f>'Stock Rawmaterial'!K1071</f>
        <v>0</v>
      </c>
      <c r="M62" s="1823">
        <f>'Stock Rawmaterial'!L1071</f>
        <v>5000</v>
      </c>
      <c r="N62" s="287"/>
      <c r="O62" s="1636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30"/>
      <c r="B63" s="2163"/>
      <c r="C63" s="127">
        <f>+'Stock Rawmaterial'!C1072</f>
        <v>0</v>
      </c>
      <c r="D63" s="881" t="s">
        <v>10</v>
      </c>
      <c r="E63" s="882">
        <f>+'Stock Rawmaterial'!E1072</f>
        <v>45226</v>
      </c>
      <c r="F63" s="938">
        <f>+'Stock Rawmaterial'!F1072</f>
        <v>1050</v>
      </c>
      <c r="G63" s="1686"/>
      <c r="H63" s="1589">
        <f>'Stock Rawmaterial'!G1072</f>
        <v>0</v>
      </c>
      <c r="I63" s="1589">
        <f>'Stock Rawmaterial'!H1072</f>
        <v>0</v>
      </c>
      <c r="J63" s="1823">
        <f>'Stock Rawmaterial'!I1072</f>
        <v>0</v>
      </c>
      <c r="K63" s="1823">
        <f>'Stock Rawmaterial'!J1072</f>
        <v>0</v>
      </c>
      <c r="L63" s="1823">
        <f>'Stock Rawmaterial'!K1072</f>
        <v>0</v>
      </c>
      <c r="M63" s="1823">
        <f>'Stock Rawmaterial'!L1072</f>
        <v>0</v>
      </c>
      <c r="N63" s="287"/>
      <c r="O63" s="1636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30"/>
      <c r="B64" s="2163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1050</v>
      </c>
      <c r="G64" s="1686"/>
      <c r="H64" s="1589">
        <f>'Stock Rawmaterial'!G1073</f>
        <v>0</v>
      </c>
      <c r="I64" s="1589">
        <f>'Stock Rawmaterial'!H1073</f>
        <v>0</v>
      </c>
      <c r="J64" s="1823">
        <f>'Stock Rawmaterial'!I1073</f>
        <v>0</v>
      </c>
      <c r="K64" s="1823">
        <f>'Stock Rawmaterial'!J1073</f>
        <v>0</v>
      </c>
      <c r="L64" s="1823">
        <f>'Stock Rawmaterial'!K1073</f>
        <v>0</v>
      </c>
      <c r="M64" s="1823">
        <f>'Stock Rawmaterial'!L1073</f>
        <v>0</v>
      </c>
      <c r="N64" s="287"/>
      <c r="O64" s="1636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30"/>
      <c r="B65" s="2163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1050</v>
      </c>
      <c r="G65" s="1686"/>
      <c r="H65" s="1589">
        <f>'Stock Rawmaterial'!G1074</f>
        <v>0</v>
      </c>
      <c r="I65" s="1589">
        <f>'Stock Rawmaterial'!H1074</f>
        <v>0</v>
      </c>
      <c r="J65" s="1823">
        <f>'Stock Rawmaterial'!I1074</f>
        <v>0</v>
      </c>
      <c r="K65" s="1823">
        <f>'Stock Rawmaterial'!J1074</f>
        <v>0</v>
      </c>
      <c r="L65" s="1823">
        <f>'Stock Rawmaterial'!K1074</f>
        <v>0</v>
      </c>
      <c r="M65" s="1823">
        <f>'Stock Rawmaterial'!L1074</f>
        <v>0</v>
      </c>
      <c r="N65" s="287"/>
      <c r="O65" s="1636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30"/>
      <c r="B66" s="2164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1050</v>
      </c>
      <c r="G66" s="1686"/>
      <c r="H66" s="1589">
        <f>'Stock Rawmaterial'!G1075</f>
        <v>0</v>
      </c>
      <c r="I66" s="1589">
        <f>'Stock Rawmaterial'!H1075</f>
        <v>0</v>
      </c>
      <c r="J66" s="1823">
        <f>'Stock Rawmaterial'!I1075</f>
        <v>0</v>
      </c>
      <c r="K66" s="1823">
        <f>'Stock Rawmaterial'!J1075</f>
        <v>0</v>
      </c>
      <c r="L66" s="1823">
        <f>'Stock Rawmaterial'!K1075</f>
        <v>0</v>
      </c>
      <c r="M66" s="1823">
        <f>'Stock Rawmaterial'!L1075</f>
        <v>0</v>
      </c>
      <c r="N66" s="287"/>
      <c r="O66" s="1636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30"/>
      <c r="B67" s="2164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1050</v>
      </c>
      <c r="G67" s="1686"/>
      <c r="H67" s="1589">
        <f>'Stock Rawmaterial'!G1076</f>
        <v>0</v>
      </c>
      <c r="I67" s="1589">
        <f>'Stock Rawmaterial'!H1076</f>
        <v>0</v>
      </c>
      <c r="J67" s="1823">
        <f>'Stock Rawmaterial'!I1076</f>
        <v>0</v>
      </c>
      <c r="K67" s="1823">
        <f>'Stock Rawmaterial'!J1076</f>
        <v>0</v>
      </c>
      <c r="L67" s="1823">
        <f>'Stock Rawmaterial'!K1076</f>
        <v>0</v>
      </c>
      <c r="M67" s="1823">
        <f>'Stock Rawmaterial'!L1076</f>
        <v>0</v>
      </c>
      <c r="N67" s="287"/>
      <c r="O67" s="1636"/>
      <c r="P67" s="287"/>
      <c r="Q67" s="287"/>
      <c r="R67" s="478"/>
      <c r="S67" s="338"/>
      <c r="T67" s="479"/>
    </row>
    <row r="68" spans="1:20" s="401" customFormat="1" ht="30" customHeight="1" x14ac:dyDescent="0.2">
      <c r="A68" s="2031"/>
      <c r="B68" s="2165"/>
      <c r="C68" s="1153" t="str">
        <f>+'Stock Rawmaterial'!C1077</f>
        <v>Feedmill</v>
      </c>
      <c r="D68" s="1691" t="s">
        <v>10</v>
      </c>
      <c r="E68" s="1696">
        <f>+'Stock Rawmaterial'!E1077</f>
        <v>46219</v>
      </c>
      <c r="F68" s="938">
        <f>+'Stock Rawmaterial'!F1077</f>
        <v>57</v>
      </c>
      <c r="G68" s="1955">
        <v>46907</v>
      </c>
      <c r="H68" s="80">
        <f>'Stock Rawmaterial'!G1077</f>
        <v>962.27999999999986</v>
      </c>
      <c r="I68" s="1589">
        <f>'Stock Rawmaterial'!H1077</f>
        <v>0</v>
      </c>
      <c r="J68" s="1823">
        <f>'Stock Rawmaterial'!I1077</f>
        <v>0</v>
      </c>
      <c r="K68" s="1823">
        <f>'Stock Rawmaterial'!J1077</f>
        <v>0</v>
      </c>
      <c r="L68" s="1823">
        <f>'Stock Rawmaterial'!K1077</f>
        <v>0</v>
      </c>
      <c r="M68" s="1823">
        <f>'Stock Rawmaterial'!L1077</f>
        <v>962.27999999999986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27" t="s">
        <v>968</v>
      </c>
      <c r="B69" s="2028"/>
      <c r="C69" s="1146"/>
      <c r="D69" s="864"/>
      <c r="E69" s="864"/>
      <c r="F69" s="865"/>
      <c r="G69" s="865"/>
      <c r="H69" s="231">
        <f>SUM(H61:H68)</f>
        <v>5962.28</v>
      </c>
      <c r="I69" s="326"/>
      <c r="J69" s="1824"/>
      <c r="K69" s="230">
        <f>+SUM(K61:K68)</f>
        <v>0</v>
      </c>
      <c r="L69" s="230">
        <f t="shared" ref="L69:M69" si="7">SUM(L61:L68)</f>
        <v>0</v>
      </c>
      <c r="M69" s="230">
        <f t="shared" si="7"/>
        <v>5962.28</v>
      </c>
      <c r="N69" s="133">
        <f>'Stock Rawmaterial'!M1078</f>
        <v>407.89333333333332</v>
      </c>
      <c r="O69" s="133">
        <f>'Stock Rawmaterial'!N1078</f>
        <v>14.617252876569038</v>
      </c>
      <c r="P69" s="133">
        <f>'Stock Rawmaterial'!O1078</f>
        <v>300</v>
      </c>
      <c r="Q69" s="133">
        <f>'Stock Rawmaterial'!P1078</f>
        <v>19.874266666666667</v>
      </c>
      <c r="R69" s="466"/>
      <c r="S69" s="264"/>
      <c r="T69" s="467"/>
    </row>
    <row r="70" spans="1:20" s="409" customFormat="1" ht="30" hidden="1" customHeight="1" x14ac:dyDescent="0.2">
      <c r="A70" s="2029" t="str">
        <f>IF(M75=0,"",MAX($A$16:A60)+1)</f>
        <v/>
      </c>
      <c r="B70" s="2161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6"/>
      <c r="I70" s="1597"/>
      <c r="J70" s="1598"/>
      <c r="K70" s="294"/>
      <c r="L70" s="253"/>
      <c r="M70" s="253"/>
      <c r="N70" s="336"/>
      <c r="O70" s="1638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30"/>
      <c r="B71" s="2163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6"/>
      <c r="I71" s="1597"/>
      <c r="J71" s="1599"/>
      <c r="K71" s="294"/>
      <c r="L71" s="80"/>
      <c r="M71" s="80"/>
      <c r="N71" s="287"/>
      <c r="O71" s="1636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30"/>
      <c r="B72" s="2163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9"/>
      <c r="I72" s="1590"/>
      <c r="J72" s="1599"/>
      <c r="K72" s="80"/>
      <c r="L72" s="80"/>
      <c r="M72" s="80"/>
      <c r="N72" s="287"/>
      <c r="O72" s="1636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30"/>
      <c r="B73" s="2163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6"/>
      <c r="H73" s="1596"/>
      <c r="I73" s="1597"/>
      <c r="J73" s="1598"/>
      <c r="K73" s="294"/>
      <c r="L73" s="294"/>
      <c r="M73" s="294"/>
      <c r="N73" s="335"/>
      <c r="O73" s="1639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31"/>
      <c r="B74" s="2165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5"/>
      <c r="H74" s="1593"/>
      <c r="I74" s="1594"/>
      <c r="J74" s="1600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27" t="s">
        <v>364</v>
      </c>
      <c r="B75" s="2028"/>
      <c r="C75" s="88"/>
      <c r="D75" s="864"/>
      <c r="E75" s="864"/>
      <c r="F75" s="865"/>
      <c r="G75" s="865"/>
      <c r="H75" s="1585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9" t="str">
        <f>IF(M82=0,"",MAX($A$15:A75)+1)</f>
        <v/>
      </c>
      <c r="B76" s="2161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9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30"/>
      <c r="B77" s="2163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9"/>
      <c r="I77" s="1590"/>
      <c r="J77" s="1598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30"/>
      <c r="B78" s="2163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9"/>
      <c r="I78" s="1590"/>
      <c r="J78" s="1599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30"/>
      <c r="B79" s="2163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9"/>
      <c r="I79" s="1590"/>
      <c r="J79" s="1599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30"/>
      <c r="B80" s="2163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9"/>
      <c r="I80" s="1590"/>
      <c r="J80" s="1599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31"/>
      <c r="B81" s="2163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5"/>
      <c r="H81" s="1593"/>
      <c r="I81" s="1594"/>
      <c r="J81" s="1600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27" t="s">
        <v>507</v>
      </c>
      <c r="B82" s="2028"/>
      <c r="C82" s="929"/>
      <c r="D82" s="864"/>
      <c r="E82" s="864"/>
      <c r="F82" s="865"/>
      <c r="G82" s="931"/>
      <c r="H82" s="1601"/>
      <c r="I82" s="1602"/>
      <c r="J82" s="1603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58" t="str">
        <f>IF(M89=0,"",MAX($A$15:A82)+1)</f>
        <v/>
      </c>
      <c r="B83" s="2273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504</v>
      </c>
      <c r="G83" s="1686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4">
        <f>+'Stock Rawmaterial'!J1107</f>
        <v>0</v>
      </c>
      <c r="L83" s="1605">
        <f>+'Stock Rawmaterial'!K1107</f>
        <v>0</v>
      </c>
      <c r="M83" s="1576">
        <f>+'Stock Rawmaterial'!L1107</f>
        <v>0</v>
      </c>
      <c r="N83" s="336"/>
      <c r="O83" s="1638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59"/>
      <c r="B84" s="2274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2276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4">
        <f>+'Stock Rawmaterial'!J1108</f>
        <v>0</v>
      </c>
      <c r="L84" s="1605">
        <f>+'Stock Rawmaterial'!K1108</f>
        <v>0</v>
      </c>
      <c r="M84" s="1576">
        <f>+'Stock Rawmaterial'!L1108</f>
        <v>0</v>
      </c>
      <c r="N84" s="287"/>
      <c r="O84" s="1636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59"/>
      <c r="B85" s="2274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2298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4">
        <f>+'Stock Rawmaterial'!J1109</f>
        <v>0</v>
      </c>
      <c r="L85" s="1605">
        <f>+'Stock Rawmaterial'!K1109</f>
        <v>0</v>
      </c>
      <c r="M85" s="1576">
        <f>+'Stock Rawmaterial'!L1109</f>
        <v>0</v>
      </c>
      <c r="N85" s="287"/>
      <c r="O85" s="1636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59"/>
      <c r="B86" s="2274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2276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4">
        <f>+'Stock Rawmaterial'!J1110</f>
        <v>0</v>
      </c>
      <c r="L86" s="1605">
        <f>+'Stock Rawmaterial'!K1110</f>
        <v>0</v>
      </c>
      <c r="M86" s="1576">
        <f>+'Stock Rawmaterial'!L1110</f>
        <v>0</v>
      </c>
      <c r="N86" s="287"/>
      <c r="O86" s="1636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59"/>
      <c r="B87" s="2274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2298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4">
        <f>+'Stock Rawmaterial'!J1111</f>
        <v>0</v>
      </c>
      <c r="L87" s="1605">
        <f>+'Stock Rawmaterial'!K1111</f>
        <v>0</v>
      </c>
      <c r="M87" s="1576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60"/>
      <c r="B88" s="2275"/>
      <c r="C88" s="1836" t="str">
        <f>+'Stock Rawmaterial'!C1112</f>
        <v>Feedmill</v>
      </c>
      <c r="D88" s="1691" t="str">
        <f>+'Stock Rawmaterial'!D1112</f>
        <v>Rec.</v>
      </c>
      <c r="E88" s="1696">
        <f>+'Stock Rawmaterial'!E1112</f>
        <v>45772</v>
      </c>
      <c r="F88" s="938">
        <f>+'Stock Rawmaterial'!F1112</f>
        <v>504</v>
      </c>
      <c r="G88" s="1693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4">
        <f>+'Stock Rawmaterial'!J1112</f>
        <v>0</v>
      </c>
      <c r="L88" s="1605">
        <f>+'Stock Rawmaterial'!K1112</f>
        <v>0</v>
      </c>
      <c r="M88" s="1576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76" t="s">
        <v>1580</v>
      </c>
      <c r="B89" s="2044"/>
      <c r="C89" s="2044"/>
      <c r="D89" s="864"/>
      <c r="E89" s="864"/>
      <c r="F89" s="865"/>
      <c r="G89" s="865"/>
      <c r="H89" s="1577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40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58" t="str">
        <f>IF(M96=0,"",MAX($A$15:A89)+1)</f>
        <v/>
      </c>
      <c r="B90" s="2261" t="s">
        <v>1352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421</v>
      </c>
      <c r="G90" s="1686">
        <v>45930</v>
      </c>
      <c r="H90" s="1740">
        <f>'Stock Rawmaterial'!G1114</f>
        <v>0</v>
      </c>
      <c r="I90" s="1740">
        <f>'Stock Rawmaterial'!H1114</f>
        <v>0</v>
      </c>
      <c r="J90" s="1740">
        <f>'Stock Rawmaterial'!I1114</f>
        <v>0</v>
      </c>
      <c r="K90" s="1740">
        <f>'Stock Rawmaterial'!J1114</f>
        <v>0</v>
      </c>
      <c r="L90" s="1740">
        <f>'Stock Rawmaterial'!K1114</f>
        <v>0</v>
      </c>
      <c r="M90" s="1740">
        <f>'Stock Rawmaterial'!L1114</f>
        <v>0</v>
      </c>
      <c r="N90" s="336"/>
      <c r="O90" s="1638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59"/>
      <c r="B91" s="2262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2276</v>
      </c>
      <c r="G91" s="72"/>
      <c r="H91" s="1841">
        <f>'Stock Rawmaterial'!G1115</f>
        <v>0</v>
      </c>
      <c r="I91" s="1841">
        <f>'Stock Rawmaterial'!H1115</f>
        <v>0</v>
      </c>
      <c r="J91" s="1841">
        <f>'Stock Rawmaterial'!I1115</f>
        <v>0</v>
      </c>
      <c r="K91" s="1841">
        <f>'Stock Rawmaterial'!J1115</f>
        <v>0</v>
      </c>
      <c r="L91" s="1841">
        <f>'Stock Rawmaterial'!K1115</f>
        <v>0</v>
      </c>
      <c r="M91" s="1841">
        <f>'Stock Rawmaterial'!L1115</f>
        <v>0</v>
      </c>
      <c r="N91" s="287"/>
      <c r="O91" s="1636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59"/>
      <c r="B92" s="2262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2298</v>
      </c>
      <c r="G92" s="72"/>
      <c r="H92" s="1841">
        <f>'Stock Rawmaterial'!G1116</f>
        <v>0</v>
      </c>
      <c r="I92" s="1841">
        <f>'Stock Rawmaterial'!H1116</f>
        <v>0</v>
      </c>
      <c r="J92" s="1841">
        <f>'Stock Rawmaterial'!I1116</f>
        <v>0</v>
      </c>
      <c r="K92" s="1841">
        <f>'Stock Rawmaterial'!J1116</f>
        <v>0</v>
      </c>
      <c r="L92" s="1841">
        <f>'Stock Rawmaterial'!K1116</f>
        <v>0</v>
      </c>
      <c r="M92" s="1841">
        <f>'Stock Rawmaterial'!L1116</f>
        <v>0</v>
      </c>
      <c r="N92" s="287"/>
      <c r="O92" s="1636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59"/>
      <c r="B93" s="2262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2276</v>
      </c>
      <c r="G93" s="72"/>
      <c r="H93" s="1841">
        <f>'Stock Rawmaterial'!G1117</f>
        <v>0</v>
      </c>
      <c r="I93" s="1841">
        <f>'Stock Rawmaterial'!H1117</f>
        <v>0</v>
      </c>
      <c r="J93" s="1841">
        <f>'Stock Rawmaterial'!I1117</f>
        <v>0</v>
      </c>
      <c r="K93" s="1841">
        <f>'Stock Rawmaterial'!J1117</f>
        <v>0</v>
      </c>
      <c r="L93" s="1841">
        <f>'Stock Rawmaterial'!K1117</f>
        <v>0</v>
      </c>
      <c r="M93" s="1841">
        <f>'Stock Rawmaterial'!L1117</f>
        <v>0</v>
      </c>
      <c r="N93" s="287"/>
      <c r="O93" s="1636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59"/>
      <c r="B94" s="2262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2298</v>
      </c>
      <c r="G94" s="72"/>
      <c r="H94" s="1841">
        <f>'Stock Rawmaterial'!G1118</f>
        <v>0</v>
      </c>
      <c r="I94" s="1841">
        <f>'Stock Rawmaterial'!H1118</f>
        <v>0</v>
      </c>
      <c r="J94" s="1841">
        <f>'Stock Rawmaterial'!I1118</f>
        <v>0</v>
      </c>
      <c r="K94" s="1841">
        <f>'Stock Rawmaterial'!J1118</f>
        <v>0</v>
      </c>
      <c r="L94" s="1841">
        <f>'Stock Rawmaterial'!K1118</f>
        <v>0</v>
      </c>
      <c r="M94" s="1841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60"/>
      <c r="B95" s="2263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421</v>
      </c>
      <c r="G95" s="1686">
        <v>45930</v>
      </c>
      <c r="H95" s="1841">
        <f>'Stock Rawmaterial'!G1119</f>
        <v>0</v>
      </c>
      <c r="I95" s="1841">
        <f>'Stock Rawmaterial'!H1119</f>
        <v>0</v>
      </c>
      <c r="J95" s="1841">
        <f>'Stock Rawmaterial'!I1119</f>
        <v>0</v>
      </c>
      <c r="K95" s="1841">
        <f>'Stock Rawmaterial'!J1119</f>
        <v>0</v>
      </c>
      <c r="L95" s="1841">
        <f>'Stock Rawmaterial'!K1119</f>
        <v>0</v>
      </c>
      <c r="M95" s="1841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76" t="s">
        <v>1353</v>
      </c>
      <c r="B96" s="2044"/>
      <c r="C96" s="2044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40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58">
        <f>IF(M104=0,"",MAX($A$15:A96)+1)</f>
        <v>6</v>
      </c>
      <c r="B97" s="2261" t="s">
        <v>1345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447</v>
      </c>
      <c r="G97" s="1687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4">
        <f>+'Stock Rawmaterial'!J1121</f>
        <v>0</v>
      </c>
      <c r="L97" s="1605">
        <f>+'Stock Rawmaterial'!K1121</f>
        <v>0</v>
      </c>
      <c r="M97" s="1672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59"/>
      <c r="B98" s="2262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105</v>
      </c>
      <c r="G98" s="1686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4">
        <f>+'Stock Rawmaterial'!J1122</f>
        <v>0</v>
      </c>
      <c r="L98" s="1605">
        <f>+'Stock Rawmaterial'!K1122</f>
        <v>0</v>
      </c>
      <c r="M98" s="1847">
        <f>+'Stock Rawmaterial'!L1122</f>
        <v>0</v>
      </c>
      <c r="N98" s="162"/>
      <c r="O98" s="1966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customHeight="1" x14ac:dyDescent="0.2">
      <c r="A99" s="2259"/>
      <c r="B99" s="2262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77</v>
      </c>
      <c r="G99" s="1954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4">
        <f>+'Stock Rawmaterial'!J1123</f>
        <v>0</v>
      </c>
      <c r="L99" s="1605">
        <f>+'Stock Rawmaterial'!K1123</f>
        <v>0</v>
      </c>
      <c r="M99" s="1576">
        <f>+'Stock Rawmaterial'!L1123</f>
        <v>0</v>
      </c>
      <c r="N99" s="287"/>
      <c r="O99" s="1968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59"/>
      <c r="B100" s="2262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29</v>
      </c>
      <c r="G100" s="1954">
        <v>46861</v>
      </c>
      <c r="H100" s="80">
        <f>+'Stock Rawmaterial'!G1124</f>
        <v>780</v>
      </c>
      <c r="I100" s="80">
        <f>+'Stock Rawmaterial'!H1124</f>
        <v>0</v>
      </c>
      <c r="J100" s="80">
        <f>+'Stock Rawmaterial'!I1124</f>
        <v>0</v>
      </c>
      <c r="K100" s="1604">
        <f>+'Stock Rawmaterial'!J1124</f>
        <v>0</v>
      </c>
      <c r="L100" s="1605">
        <f>+'Stock Rawmaterial'!K1124</f>
        <v>100</v>
      </c>
      <c r="M100" s="1576">
        <f>+'Stock Rawmaterial'!L1124</f>
        <v>680</v>
      </c>
      <c r="N100" s="287"/>
      <c r="O100" s="1968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59"/>
      <c r="B101" s="2262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22</v>
      </c>
      <c r="G101" s="1954">
        <v>46870</v>
      </c>
      <c r="H101" s="80">
        <f>+'Stock Rawmaterial'!G1125</f>
        <v>1000</v>
      </c>
      <c r="I101" s="80">
        <f>+'Stock Rawmaterial'!H1125</f>
        <v>0</v>
      </c>
      <c r="J101" s="80">
        <f>+'Stock Rawmaterial'!I1125</f>
        <v>0</v>
      </c>
      <c r="K101" s="1604">
        <f>+'Stock Rawmaterial'!J1125</f>
        <v>0</v>
      </c>
      <c r="L101" s="1605">
        <f>+'Stock Rawmaterial'!K1125</f>
        <v>0</v>
      </c>
      <c r="M101" s="1576">
        <f>+'Stock Rawmaterial'!L1125</f>
        <v>1000</v>
      </c>
      <c r="N101" s="1273"/>
      <c r="O101" s="1967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hidden="1" customHeight="1" x14ac:dyDescent="0.2">
      <c r="A102" s="2259"/>
      <c r="B102" s="2297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46275</v>
      </c>
      <c r="F102" s="71">
        <f>+'Stock Rawmaterial'!F1126</f>
        <v>1</v>
      </c>
      <c r="G102" s="1954">
        <v>46771</v>
      </c>
      <c r="H102" s="80">
        <f>+'Stock Rawmaterial'!G1126</f>
        <v>1000</v>
      </c>
      <c r="I102" s="80">
        <f>+'Stock Rawmaterial'!H1126</f>
        <v>0</v>
      </c>
      <c r="J102" s="80">
        <f>+'Stock Rawmaterial'!I1126</f>
        <v>0</v>
      </c>
      <c r="K102" s="1604">
        <f>+'Stock Rawmaterial'!J1126</f>
        <v>0</v>
      </c>
      <c r="L102" s="1605">
        <f>+'Stock Rawmaterial'!K1126</f>
        <v>0</v>
      </c>
      <c r="M102" s="1576">
        <f>+'Stock Rawmaterial'!L1126</f>
        <v>1000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60"/>
      <c r="B103" s="2263"/>
      <c r="C103" s="1836" t="str">
        <f>+'Stock Rawmaterial'!C1127</f>
        <v>Feedmill</v>
      </c>
      <c r="D103" s="1691" t="str">
        <f>+'Stock Rawmaterial'!D1127</f>
        <v>Rec.</v>
      </c>
      <c r="E103" s="1696">
        <f>+'Stock Rawmaterial'!E1127</f>
        <v>46247</v>
      </c>
      <c r="F103" s="938">
        <f>+'Stock Rawmaterial'!F1127</f>
        <v>29</v>
      </c>
      <c r="G103" s="1955">
        <v>46972</v>
      </c>
      <c r="H103" s="80">
        <f>+'Stock Rawmaterial'!G1127</f>
        <v>83.449999999999932</v>
      </c>
      <c r="I103" s="80">
        <f>+'Stock Rawmaterial'!H1127</f>
        <v>0</v>
      </c>
      <c r="J103" s="80">
        <f>+'Stock Rawmaterial'!I1127</f>
        <v>100</v>
      </c>
      <c r="K103" s="1604">
        <f>+'Stock Rawmaterial'!J1127</f>
        <v>79.95</v>
      </c>
      <c r="L103" s="1605">
        <f>+'Stock Rawmaterial'!K1127</f>
        <v>0</v>
      </c>
      <c r="M103" s="1576">
        <f>+'Stock Rawmaterial'!L1127</f>
        <v>103.49999999999993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27" t="s">
        <v>75</v>
      </c>
      <c r="B104" s="2028"/>
      <c r="C104" s="88"/>
      <c r="D104" s="864"/>
      <c r="E104" s="864">
        <f>+'Stock Rawmaterial'!E1128</f>
        <v>0</v>
      </c>
      <c r="F104" s="865"/>
      <c r="G104" s="1825"/>
      <c r="H104" s="231">
        <f>SUM(H97:H103)</f>
        <v>2863.45</v>
      </c>
      <c r="I104" s="231">
        <f t="shared" ref="I104:M104" si="12">SUM(I97:I103)</f>
        <v>0</v>
      </c>
      <c r="J104" s="231">
        <f t="shared" si="12"/>
        <v>100</v>
      </c>
      <c r="K104" s="231">
        <f t="shared" si="12"/>
        <v>79.95</v>
      </c>
      <c r="L104" s="231">
        <f t="shared" si="12"/>
        <v>100</v>
      </c>
      <c r="M104" s="231">
        <f t="shared" si="12"/>
        <v>2783.5</v>
      </c>
      <c r="N104" s="133">
        <f>'Stock Rawmaterial'!M1128</f>
        <v>112.53333333333335</v>
      </c>
      <c r="O104" s="133">
        <f>'Stock Rawmaterial'!N1128</f>
        <v>24.734893364928908</v>
      </c>
      <c r="P104" s="133">
        <f>'Stock Rawmaterial'!O1128</f>
        <v>90.500000000000014</v>
      </c>
      <c r="Q104" s="133">
        <f>'Stock Rawmaterial'!P1128</f>
        <v>30.756906077348063</v>
      </c>
      <c r="R104" s="466"/>
      <c r="S104" s="264"/>
      <c r="T104" s="467"/>
    </row>
    <row r="105" spans="1:20" s="409" customFormat="1" ht="30" hidden="1" customHeight="1" x14ac:dyDescent="0.2">
      <c r="A105" s="2258" t="str">
        <f>IF(M109=0,"",MAX($A$15:A104)+1)</f>
        <v/>
      </c>
      <c r="B105" s="2261" t="s">
        <v>1574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144</v>
      </c>
      <c r="G105" s="1830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4">
        <f>+'Stock Rawmaterial'!J1129</f>
        <v>0</v>
      </c>
      <c r="L105" s="1605">
        <f>+'Stock Rawmaterial'!K1129</f>
        <v>0</v>
      </c>
      <c r="M105" s="1672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59"/>
      <c r="B106" s="2262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1008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4">
        <f>+'Stock Rawmaterial'!J1130</f>
        <v>0</v>
      </c>
      <c r="L106" s="1605">
        <f>+'Stock Rawmaterial'!K1130</f>
        <v>0</v>
      </c>
      <c r="M106" s="1576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59"/>
      <c r="B107" s="2262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3255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4">
        <f>+'Stock Rawmaterial'!J1131</f>
        <v>0</v>
      </c>
      <c r="L107" s="1605">
        <f>+'Stock Rawmaterial'!K1131</f>
        <v>0</v>
      </c>
      <c r="M107" s="1576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60"/>
      <c r="B108" s="2263"/>
      <c r="C108" s="1153" t="str">
        <f>+'Stock Rawmaterial'!C1132</f>
        <v>Feedmill</v>
      </c>
      <c r="D108" s="1691" t="str">
        <f>+'Stock Rawmaterial'!D1132</f>
        <v>Rec.</v>
      </c>
      <c r="E108" s="1696">
        <f>+'Stock Rawmaterial'!E1132</f>
        <v>46132</v>
      </c>
      <c r="F108" s="71">
        <f>+'Stock Rawmaterial'!F1132</f>
        <v>144</v>
      </c>
      <c r="G108" s="1830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4">
        <f>+'Stock Rawmaterial'!J1132</f>
        <v>0</v>
      </c>
      <c r="L108" s="1605">
        <f>+'Stock Rawmaterial'!K1132</f>
        <v>0</v>
      </c>
      <c r="M108" s="1576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27" t="s">
        <v>1575</v>
      </c>
      <c r="B109" s="2028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37.666666666666664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35" t="str">
        <f>IF(M115=0,"",MAX($A$15:A104)+1)</f>
        <v/>
      </c>
      <c r="B110" s="2161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6"/>
      <c r="I110" s="1590"/>
      <c r="J110" s="1591"/>
      <c r="K110" s="80"/>
      <c r="L110" s="80">
        <f>+'Stock Rawmaterial'!H1151</f>
        <v>0</v>
      </c>
      <c r="M110" s="80">
        <f>+'Stock Rawmaterial'!I1151</f>
        <v>0</v>
      </c>
      <c r="N110" s="287"/>
      <c r="O110" s="1636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36"/>
      <c r="B111" s="2163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6"/>
      <c r="I111" s="1590"/>
      <c r="J111" s="1591"/>
      <c r="K111" s="80"/>
      <c r="L111" s="80">
        <f>+'Stock Rawmaterial'!H1152</f>
        <v>0</v>
      </c>
      <c r="M111" s="80">
        <f>+'Stock Rawmaterial'!I1152</f>
        <v>0</v>
      </c>
      <c r="N111" s="287"/>
      <c r="O111" s="1636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36"/>
      <c r="B112" s="2163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6"/>
      <c r="I112" s="1590"/>
      <c r="J112" s="1591"/>
      <c r="K112" s="80"/>
      <c r="L112" s="80">
        <f>'Stock Rawmaterial'!H1153</f>
        <v>0</v>
      </c>
      <c r="M112" s="80">
        <f>+'Stock Rawmaterial'!I1153</f>
        <v>0</v>
      </c>
      <c r="N112" s="287"/>
      <c r="O112" s="1636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36"/>
      <c r="B113" s="2163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6"/>
      <c r="I113" s="1590"/>
      <c r="J113" s="1591"/>
      <c r="K113" s="80"/>
      <c r="L113" s="80">
        <f>+'Stock Rawmaterial'!H1154</f>
        <v>0</v>
      </c>
      <c r="M113" s="80">
        <f>+'Stock Rawmaterial'!I1154</f>
        <v>0</v>
      </c>
      <c r="N113" s="287"/>
      <c r="O113" s="1636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37"/>
      <c r="B114" s="2165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7"/>
      <c r="H114" s="1607"/>
      <c r="I114" s="1594"/>
      <c r="J114" s="1600"/>
      <c r="K114" s="1584"/>
      <c r="L114" s="80">
        <f>+'Stock Rawmaterial'!H1155</f>
        <v>0</v>
      </c>
      <c r="M114" s="1584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1"/>
      <c r="I115" s="537"/>
      <c r="J115" s="1608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5">
        <f>IF(M122=0,"",MAX($A$15:A115)+1)</f>
        <v>7</v>
      </c>
      <c r="B116" s="2277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46225</v>
      </c>
      <c r="F116" s="75">
        <f>'Stock Rawmaterial'!F1157</f>
        <v>51</v>
      </c>
      <c r="G116" s="1689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5">
        <f>'Stock Rawmaterial'!J1157</f>
        <v>0</v>
      </c>
      <c r="L116" s="1605">
        <f>'Stock Rawmaterial'!K1157</f>
        <v>0</v>
      </c>
      <c r="M116" s="1672">
        <f>'Stock Rawmaterial'!L1157</f>
        <v>0</v>
      </c>
      <c r="N116" s="163"/>
      <c r="O116" s="1636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6"/>
      <c r="B117" s="2277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518</v>
      </c>
      <c r="G117" s="1688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5">
        <f>'Stock Rawmaterial'!J1158</f>
        <v>0</v>
      </c>
      <c r="L117" s="1605">
        <f>'Stock Rawmaterial'!K1158</f>
        <v>0</v>
      </c>
      <c r="M117" s="1672">
        <f>'Stock Rawmaterial'!L1158</f>
        <v>0</v>
      </c>
      <c r="N117" s="287"/>
      <c r="O117" s="1636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6"/>
      <c r="B118" s="2277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616</v>
      </c>
      <c r="G118" s="1688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5">
        <f>'Stock Rawmaterial'!J1159</f>
        <v>0</v>
      </c>
      <c r="L118" s="1605">
        <f>'Stock Rawmaterial'!K1159</f>
        <v>0</v>
      </c>
      <c r="M118" s="1672">
        <f>'Stock Rawmaterial'!L1159</f>
        <v>0</v>
      </c>
      <c r="N118" s="287"/>
      <c r="O118" s="1636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6"/>
      <c r="B119" s="2277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638</v>
      </c>
      <c r="G119" s="1688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5">
        <f>'Stock Rawmaterial'!J1160</f>
        <v>0</v>
      </c>
      <c r="L119" s="1605">
        <f>'Stock Rawmaterial'!K1160</f>
        <v>0</v>
      </c>
      <c r="M119" s="1672">
        <f>'Stock Rawmaterial'!L1160</f>
        <v>0</v>
      </c>
      <c r="N119" s="287"/>
      <c r="O119" s="1636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6"/>
      <c r="B120" s="2277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2864</v>
      </c>
      <c r="G120" s="1682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5">
        <f>'Stock Rawmaterial'!J1161</f>
        <v>0</v>
      </c>
      <c r="L120" s="1605">
        <f>'Stock Rawmaterial'!K1161</f>
        <v>0</v>
      </c>
      <c r="M120" s="1672">
        <f>'Stock Rawmaterial'!L1161</f>
        <v>0</v>
      </c>
      <c r="N120" s="287"/>
      <c r="O120" s="1636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37"/>
      <c r="B121" s="2277"/>
      <c r="C121" s="1748" t="str">
        <f>'Stock Rawmaterial'!C1162</f>
        <v>Feedmill</v>
      </c>
      <c r="D121" s="1154" t="str">
        <f>'Stock Rawmaterial'!D1162</f>
        <v>Rec.</v>
      </c>
      <c r="E121" s="1155">
        <f>'Stock Rawmaterial'!E1162</f>
        <v>46225</v>
      </c>
      <c r="F121" s="566">
        <f>'Stock Rawmaterial'!F1162</f>
        <v>51</v>
      </c>
      <c r="G121" s="1704">
        <v>46609</v>
      </c>
      <c r="H121" s="567">
        <f>'Stock Rawmaterial'!G1162</f>
        <v>6.33</v>
      </c>
      <c r="I121" s="567">
        <f>'Stock Rawmaterial'!H1162</f>
        <v>0</v>
      </c>
      <c r="J121" s="567">
        <f>'Stock Rawmaterial'!I1162</f>
        <v>0</v>
      </c>
      <c r="K121" s="1694">
        <f>'Stock Rawmaterial'!J1162</f>
        <v>0</v>
      </c>
      <c r="L121" s="1698">
        <f>'Stock Rawmaterial'!K1162</f>
        <v>0</v>
      </c>
      <c r="M121" s="1695">
        <f>'Stock Rawmaterial'!L1162</f>
        <v>6.33</v>
      </c>
      <c r="N121" s="1005"/>
      <c r="O121" s="1641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50"/>
      <c r="D122" s="930"/>
      <c r="E122" s="930"/>
      <c r="F122" s="931"/>
      <c r="G122" s="931"/>
      <c r="H122" s="230">
        <f t="shared" ref="H122:L122" si="16">SUM(H116:H121)</f>
        <v>6.33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6.33</v>
      </c>
      <c r="N122" s="133">
        <f>'Stock Rawmaterial'!M1163</f>
        <v>1.6800000000000002</v>
      </c>
      <c r="O122" s="133">
        <f>'Stock Rawmaterial'!N1163</f>
        <v>3.7678571428571423</v>
      </c>
      <c r="P122" s="133">
        <f>'Stock Rawmaterial'!O1163</f>
        <v>0</v>
      </c>
      <c r="Q122" s="133">
        <f>'Stock Rawmaterial'!P1163</f>
        <v>0</v>
      </c>
      <c r="R122" s="466"/>
      <c r="S122" s="264"/>
      <c r="T122" s="467"/>
    </row>
    <row r="123" spans="1:20" s="265" customFormat="1" ht="30" hidden="1" customHeight="1" x14ac:dyDescent="0.2">
      <c r="A123" s="2035" t="str">
        <f>IF(M131=0,"",MAX($A$15:A122)+1)</f>
        <v/>
      </c>
      <c r="B123" s="2277" t="s">
        <v>459</v>
      </c>
      <c r="C123" s="1751" t="str">
        <f>+'Stock Rawmaterial'!C1172</f>
        <v>V7.2</v>
      </c>
      <c r="D123" s="1743" t="s">
        <v>10</v>
      </c>
      <c r="E123" s="888">
        <f>+'Stock Rawmaterial'!E1172</f>
        <v>43630</v>
      </c>
      <c r="F123" s="71" t="e">
        <f>#REF!-E123</f>
        <v>#REF!</v>
      </c>
      <c r="G123" s="1674"/>
      <c r="H123" s="1609"/>
      <c r="I123" s="1592"/>
      <c r="J123" s="1610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6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36"/>
      <c r="B124" s="2277"/>
      <c r="C124" s="1751" t="str">
        <f>+'Stock Rawmaterial'!C1173</f>
        <v>V7.2</v>
      </c>
      <c r="D124" s="1743" t="s">
        <v>10</v>
      </c>
      <c r="E124" s="888">
        <f>+'Stock Rawmaterial'!E1173</f>
        <v>43630</v>
      </c>
      <c r="F124" s="71" t="e">
        <f>#REF!-E124</f>
        <v>#REF!</v>
      </c>
      <c r="G124" s="1674"/>
      <c r="H124" s="1609"/>
      <c r="I124" s="1592"/>
      <c r="J124" s="1610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6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36"/>
      <c r="B125" s="2277"/>
      <c r="C125" s="1751" t="str">
        <f>+'Stock Rawmaterial'!C1174</f>
        <v>V7.2</v>
      </c>
      <c r="D125" s="1743" t="s">
        <v>10</v>
      </c>
      <c r="E125" s="888">
        <f>+'Stock Rawmaterial'!E1174</f>
        <v>43630</v>
      </c>
      <c r="F125" s="71" t="e">
        <f>#REF!-E125</f>
        <v>#REF!</v>
      </c>
      <c r="G125" s="1674"/>
      <c r="H125" s="1609"/>
      <c r="I125" s="1592"/>
      <c r="J125" s="1610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6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36"/>
      <c r="B126" s="2277"/>
      <c r="C126" s="1751" t="str">
        <f>+'Stock Rawmaterial'!C1175</f>
        <v>Z5.1</v>
      </c>
      <c r="D126" s="1743" t="s">
        <v>10</v>
      </c>
      <c r="E126" s="888">
        <f>+'Stock Rawmaterial'!E1175</f>
        <v>43175</v>
      </c>
      <c r="F126" s="71" t="e">
        <f>#REF!-E126</f>
        <v>#REF!</v>
      </c>
      <c r="G126" s="1674"/>
      <c r="H126" s="1609"/>
      <c r="I126" s="1592"/>
      <c r="J126" s="1610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6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36"/>
      <c r="B127" s="2277"/>
      <c r="C127" s="1751" t="str">
        <f>+'Stock Rawmaterial'!C1176</f>
        <v>Z5.1</v>
      </c>
      <c r="D127" s="1743" t="s">
        <v>10</v>
      </c>
      <c r="E127" s="888">
        <f>+'Stock Rawmaterial'!E1176</f>
        <v>42614</v>
      </c>
      <c r="F127" s="71" t="e">
        <f>#REF!-E127</f>
        <v>#REF!</v>
      </c>
      <c r="G127" s="1674"/>
      <c r="H127" s="1609"/>
      <c r="I127" s="1592"/>
      <c r="J127" s="1610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6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36"/>
      <c r="B128" s="2277"/>
      <c r="C128" s="1751" t="str">
        <f>+'Stock Rawmaterial'!C1177</f>
        <v>Z5.1</v>
      </c>
      <c r="D128" s="1743" t="s">
        <v>10</v>
      </c>
      <c r="E128" s="888">
        <f>+'Stock Rawmaterial'!E1177</f>
        <v>42448</v>
      </c>
      <c r="F128" s="71" t="e">
        <f>#REF!-E128</f>
        <v>#REF!</v>
      </c>
      <c r="G128" s="1674"/>
      <c r="H128" s="1609"/>
      <c r="I128" s="1592"/>
      <c r="J128" s="1610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6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36"/>
      <c r="B129" s="2277"/>
      <c r="C129" s="1752" t="str">
        <f>+'Stock Rawmaterial'!C1178</f>
        <v>Feedmil</v>
      </c>
      <c r="D129" s="1744" t="s">
        <v>10</v>
      </c>
      <c r="E129" s="1004">
        <f>+'Stock Rawmaterial'!E1178</f>
        <v>43630</v>
      </c>
      <c r="F129" s="1151" t="e">
        <f>#REF!-E129</f>
        <v>#REF!</v>
      </c>
      <c r="G129" s="1678"/>
      <c r="H129" s="1611"/>
      <c r="I129" s="1612"/>
      <c r="J129" s="1600"/>
      <c r="K129" s="508">
        <f>+'Stock Rawmaterial'!G1178</f>
        <v>0</v>
      </c>
      <c r="L129" s="80">
        <f>+'Stock Rawmaterial'!H1178</f>
        <v>0</v>
      </c>
      <c r="M129" s="1584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37"/>
      <c r="B130" s="2277"/>
      <c r="C130" s="1751" t="str">
        <f>+'Stock Rawmaterial'!C1179</f>
        <v>Feedmil</v>
      </c>
      <c r="D130" s="1745" t="s">
        <v>10</v>
      </c>
      <c r="E130" s="888">
        <f>+'Stock Rawmaterial'!E1178</f>
        <v>43630</v>
      </c>
      <c r="F130" s="39" t="e">
        <f>#REF!-E130</f>
        <v>#REF!</v>
      </c>
      <c r="G130" s="1677"/>
      <c r="H130" s="1607"/>
      <c r="I130" s="1594"/>
      <c r="J130" s="1600"/>
      <c r="K130" s="1584"/>
      <c r="L130" s="80">
        <f>+'Stock Rawmaterial'!H1179</f>
        <v>0</v>
      </c>
      <c r="M130" s="1584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3"/>
      <c r="D131" s="1746"/>
      <c r="E131" s="864"/>
      <c r="F131" s="865"/>
      <c r="G131" s="865"/>
      <c r="H131" s="1585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5" t="str">
        <f>IF(M139=0,"",MAX($A$15:A131)+1)</f>
        <v/>
      </c>
      <c r="B132" s="2277" t="s">
        <v>237</v>
      </c>
      <c r="C132" s="1754" t="str">
        <f>+'Stock Rawmaterial'!C1181</f>
        <v>Y3.3</v>
      </c>
      <c r="D132" s="1747" t="s">
        <v>10</v>
      </c>
      <c r="E132" s="888">
        <f>+'Stock Rawmaterial'!E1181</f>
        <v>43717</v>
      </c>
      <c r="F132" s="70" t="e">
        <f>#REF!-E132</f>
        <v>#REF!</v>
      </c>
      <c r="G132" s="1674"/>
      <c r="H132" s="1613"/>
      <c r="I132" s="1614"/>
      <c r="J132" s="1615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6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36"/>
      <c r="B133" s="2277"/>
      <c r="C133" s="1754" t="str">
        <f>+'Stock Rawmaterial'!C1182</f>
        <v>Y3.3</v>
      </c>
      <c r="D133" s="1747" t="s">
        <v>10</v>
      </c>
      <c r="E133" s="888">
        <v>43056</v>
      </c>
      <c r="F133" s="70" t="e">
        <f>#REF!-E133</f>
        <v>#REF!</v>
      </c>
      <c r="G133" s="1674"/>
      <c r="H133" s="1613"/>
      <c r="I133" s="1614"/>
      <c r="J133" s="1615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6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36"/>
      <c r="B134" s="2277"/>
      <c r="C134" s="1754" t="str">
        <f>+'Stock Rawmaterial'!C1183</f>
        <v>Z5.3</v>
      </c>
      <c r="D134" s="1747" t="s">
        <v>10</v>
      </c>
      <c r="E134" s="888">
        <v>43056</v>
      </c>
      <c r="F134" s="70" t="e">
        <f>#REF!-E134</f>
        <v>#REF!</v>
      </c>
      <c r="G134" s="1674"/>
      <c r="H134" s="1613"/>
      <c r="I134" s="1614"/>
      <c r="J134" s="1615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6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36"/>
      <c r="B135" s="2277"/>
      <c r="C135" s="1754" t="str">
        <f>+'Stock Rawmaterial'!C1184</f>
        <v>Z5.3</v>
      </c>
      <c r="D135" s="1747" t="s">
        <v>10</v>
      </c>
      <c r="E135" s="888">
        <v>43056</v>
      </c>
      <c r="F135" s="70" t="e">
        <f>#REF!-E135</f>
        <v>#REF!</v>
      </c>
      <c r="G135" s="1674"/>
      <c r="H135" s="1613"/>
      <c r="I135" s="1614"/>
      <c r="J135" s="1615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6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36"/>
      <c r="B136" s="2277"/>
      <c r="C136" s="1754" t="str">
        <f>+'Stock Rawmaterial'!C1185</f>
        <v>Z5.3</v>
      </c>
      <c r="D136" s="1747" t="s">
        <v>10</v>
      </c>
      <c r="E136" s="888">
        <v>43056</v>
      </c>
      <c r="F136" s="70" t="e">
        <f>#REF!-E136</f>
        <v>#REF!</v>
      </c>
      <c r="G136" s="1674"/>
      <c r="H136" s="1613"/>
      <c r="I136" s="1614"/>
      <c r="J136" s="1615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36"/>
      <c r="B137" s="2277"/>
      <c r="C137" s="1754" t="str">
        <f>+'Stock Rawmaterial'!C1186</f>
        <v>V8.2</v>
      </c>
      <c r="D137" s="1747" t="s">
        <v>10</v>
      </c>
      <c r="E137" s="888">
        <v>42971</v>
      </c>
      <c r="F137" s="70" t="e">
        <f>#REF!-E137</f>
        <v>#REF!</v>
      </c>
      <c r="G137" s="1674"/>
      <c r="H137" s="1613"/>
      <c r="I137" s="1614"/>
      <c r="J137" s="1615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36"/>
      <c r="B138" s="2277"/>
      <c r="C138" s="1755" t="s">
        <v>76</v>
      </c>
      <c r="D138" s="1745" t="s">
        <v>10</v>
      </c>
      <c r="E138" s="886">
        <f>+'Stock Rawmaterial'!E1187</f>
        <v>43729</v>
      </c>
      <c r="F138" s="39" t="e">
        <f>#REF!-E138</f>
        <v>#REF!</v>
      </c>
      <c r="G138" s="1677"/>
      <c r="H138" s="1607"/>
      <c r="I138" s="1594"/>
      <c r="J138" s="1600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3"/>
      <c r="D139" s="1746"/>
      <c r="E139" s="901"/>
      <c r="F139" s="902"/>
      <c r="G139" s="902"/>
      <c r="H139" s="1616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5">
        <f>IF(M145=0,"",MAX($A$15:A139)+1)</f>
        <v>8</v>
      </c>
      <c r="B140" s="2271" t="s">
        <v>462</v>
      </c>
      <c r="C140" s="1756" t="str">
        <f>+'Stock Rawmaterial'!C1196</f>
        <v>E3</v>
      </c>
      <c r="D140" s="1743" t="str">
        <f>+'Stock Rawmaterial'!D1196</f>
        <v>Rec.</v>
      </c>
      <c r="E140" s="882">
        <f>+'Stock Rawmaterial'!E1196</f>
        <v>46254</v>
      </c>
      <c r="F140" s="71">
        <f>+'Stock Rawmaterial'!F1196</f>
        <v>22</v>
      </c>
      <c r="G140" s="1689">
        <v>46630</v>
      </c>
      <c r="H140" s="77">
        <f>+'Stock Rawmaterial'!G1196</f>
        <v>0</v>
      </c>
      <c r="I140" s="77">
        <f>+'Stock Rawmaterial'!H1196</f>
        <v>0</v>
      </c>
      <c r="J140" s="77">
        <f>+'Stock Rawmaterial'!I1196</f>
        <v>0</v>
      </c>
      <c r="K140" s="1617">
        <f>+'Stock Rawmaterial'!J1196</f>
        <v>0</v>
      </c>
      <c r="L140" s="77">
        <f>+'Stock Rawmaterial'!K1196</f>
        <v>0</v>
      </c>
      <c r="M140" s="1576">
        <f>+'Stock Rawmaterial'!L1196</f>
        <v>0</v>
      </c>
      <c r="N140" s="287"/>
      <c r="O140" s="1636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6"/>
      <c r="B141" s="2271"/>
      <c r="C141" s="1756" t="str">
        <f>+'Stock Rawmaterial'!C1197</f>
        <v>E3</v>
      </c>
      <c r="D141" s="1743" t="str">
        <f>+'Stock Rawmaterial'!D1197</f>
        <v>Rec.</v>
      </c>
      <c r="E141" s="882">
        <f>+'Stock Rawmaterial'!E1197</f>
        <v>46262</v>
      </c>
      <c r="F141" s="71">
        <f>+'Stock Rawmaterial'!F1197</f>
        <v>14</v>
      </c>
      <c r="G141" s="1688">
        <v>46630</v>
      </c>
      <c r="H141" s="77">
        <f>+'Stock Rawmaterial'!G1197</f>
        <v>300</v>
      </c>
      <c r="I141" s="77">
        <f>+'Stock Rawmaterial'!H1197</f>
        <v>0</v>
      </c>
      <c r="J141" s="77">
        <f>+'Stock Rawmaterial'!I1197</f>
        <v>0</v>
      </c>
      <c r="K141" s="1617">
        <f>+'Stock Rawmaterial'!J1197</f>
        <v>0</v>
      </c>
      <c r="L141" s="77">
        <f>+'Stock Rawmaterial'!K1197</f>
        <v>25</v>
      </c>
      <c r="M141" s="1672">
        <f>+'Stock Rawmaterial'!L1197</f>
        <v>275</v>
      </c>
      <c r="N141" s="287"/>
      <c r="O141" s="1636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36"/>
      <c r="B142" s="2271"/>
      <c r="C142" s="1756">
        <f>+'Stock Rawmaterial'!C1198</f>
        <v>0</v>
      </c>
      <c r="D142" s="1743" t="str">
        <f>+'Stock Rawmaterial'!D1198</f>
        <v>Rec.</v>
      </c>
      <c r="E142" s="882">
        <f>+'Stock Rawmaterial'!E1198</f>
        <v>46254</v>
      </c>
      <c r="F142" s="71">
        <f>+'Stock Rawmaterial'!F1198</f>
        <v>22</v>
      </c>
      <c r="G142" s="1688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7">
        <f>+'Stock Rawmaterial'!J1198</f>
        <v>0</v>
      </c>
      <c r="L142" s="77">
        <f>+'Stock Rawmaterial'!K1198</f>
        <v>0</v>
      </c>
      <c r="M142" s="1672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36"/>
      <c r="B143" s="2271"/>
      <c r="C143" s="1894">
        <f>+'Stock Rawmaterial'!C1199</f>
        <v>0</v>
      </c>
      <c r="D143" s="1743" t="str">
        <f>+'Stock Rawmaterial'!D1199</f>
        <v>Rec.</v>
      </c>
      <c r="E143" s="882">
        <f>+'Stock Rawmaterial'!E1199</f>
        <v>46247</v>
      </c>
      <c r="F143" s="71">
        <f>+'Stock Rawmaterial'!F1199</f>
        <v>29</v>
      </c>
      <c r="G143" s="1991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7">
        <f>+'Stock Rawmaterial'!J1199</f>
        <v>0</v>
      </c>
      <c r="L143" s="77">
        <f>+'Stock Rawmaterial'!K1199</f>
        <v>0</v>
      </c>
      <c r="M143" s="1576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37"/>
      <c r="B144" s="2272"/>
      <c r="C144" s="1895" t="str">
        <f>+'Stock Rawmaterial'!C1200</f>
        <v>Feedmill</v>
      </c>
      <c r="D144" s="1743" t="str">
        <f>+'Stock Rawmaterial'!D1200</f>
        <v>Rec.</v>
      </c>
      <c r="E144" s="882">
        <f>+'Stock Rawmaterial'!E1200</f>
        <v>46262</v>
      </c>
      <c r="F144" s="71">
        <f>+'Stock Rawmaterial'!F1200</f>
        <v>14</v>
      </c>
      <c r="G144" s="1955">
        <v>46630</v>
      </c>
      <c r="H144" s="77">
        <f>+'Stock Rawmaterial'!G1200</f>
        <v>37.920000000000016</v>
      </c>
      <c r="I144" s="77">
        <f>+'Stock Rawmaterial'!H1200</f>
        <v>0</v>
      </c>
      <c r="J144" s="77">
        <f>+'Stock Rawmaterial'!I1200</f>
        <v>25</v>
      </c>
      <c r="K144" s="1617">
        <f>+'Stock Rawmaterial'!J1200</f>
        <v>30.24</v>
      </c>
      <c r="L144" s="77">
        <f>+'Stock Rawmaterial'!K1200</f>
        <v>0</v>
      </c>
      <c r="M144" s="1576">
        <f>+'Stock Rawmaterial'!L1200</f>
        <v>32.680000000000021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9"/>
      <c r="D145" s="900"/>
      <c r="E145" s="901"/>
      <c r="F145" s="902"/>
      <c r="G145" s="902"/>
      <c r="H145" s="230">
        <f t="shared" ref="H145:L145" si="19">SUM(H140:H144)</f>
        <v>337.92</v>
      </c>
      <c r="I145" s="230">
        <f t="shared" si="19"/>
        <v>0</v>
      </c>
      <c r="J145" s="230">
        <f t="shared" si="19"/>
        <v>25</v>
      </c>
      <c r="K145" s="230">
        <f t="shared" si="19"/>
        <v>30.24</v>
      </c>
      <c r="L145" s="230">
        <f t="shared" si="19"/>
        <v>25</v>
      </c>
      <c r="M145" s="230">
        <f>SUM(M140:M144)</f>
        <v>307.68</v>
      </c>
      <c r="N145" s="133">
        <f>'Stock Rawmaterial'!M1201</f>
        <v>20</v>
      </c>
      <c r="O145" s="133">
        <f>'Stock Rawmaterial'!N1201</f>
        <v>15.384</v>
      </c>
      <c r="P145" s="133">
        <f>'Stock Rawmaterial'!O1201</f>
        <v>6.666666666666667</v>
      </c>
      <c r="Q145" s="133">
        <f>'Stock Rawmaterial'!P1201</f>
        <v>46.152000000000001</v>
      </c>
      <c r="R145" s="466"/>
      <c r="S145" s="264"/>
      <c r="T145" s="467"/>
    </row>
    <row r="146" spans="1:20" s="265" customFormat="1" ht="30" hidden="1" customHeight="1" x14ac:dyDescent="0.2">
      <c r="A146" s="2035">
        <f>IF(M153=0,"",MAX($A$15:A145)+1)</f>
        <v>9</v>
      </c>
      <c r="B146" s="2161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1512</v>
      </c>
      <c r="G146" s="1674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7">
        <f>+'Stock Rawmaterial'!J1242</f>
        <v>0</v>
      </c>
      <c r="L146" s="77">
        <f>+'Stock Rawmaterial'!K1242</f>
        <v>0</v>
      </c>
      <c r="M146" s="1672">
        <f>+'Stock Rawmaterial'!L1242</f>
        <v>0</v>
      </c>
      <c r="N146" s="287"/>
      <c r="O146" s="1636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36"/>
      <c r="B147" s="2163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1439</v>
      </c>
      <c r="G147" s="1674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7">
        <f>+'Stock Rawmaterial'!J1243</f>
        <v>0</v>
      </c>
      <c r="L147" s="77">
        <f>+'Stock Rawmaterial'!K1243</f>
        <v>0</v>
      </c>
      <c r="M147" s="1672">
        <f>+'Stock Rawmaterial'!L1243</f>
        <v>0</v>
      </c>
      <c r="N147" s="287"/>
      <c r="O147" s="1636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36"/>
      <c r="B148" s="2163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832</v>
      </c>
      <c r="G148" s="1674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7">
        <f>+'Stock Rawmaterial'!J1244</f>
        <v>0</v>
      </c>
      <c r="L148" s="77">
        <f>+'Stock Rawmaterial'!K1244</f>
        <v>0</v>
      </c>
      <c r="M148" s="1672">
        <f>+'Stock Rawmaterial'!L1244</f>
        <v>0</v>
      </c>
      <c r="N148" s="287"/>
      <c r="O148" s="1636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36"/>
      <c r="B149" s="2163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475</v>
      </c>
      <c r="G149" s="1686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7">
        <f>+'Stock Rawmaterial'!J1245</f>
        <v>0</v>
      </c>
      <c r="L149" s="77">
        <f>+'Stock Rawmaterial'!K1245</f>
        <v>0</v>
      </c>
      <c r="M149" s="1672">
        <f>+'Stock Rawmaterial'!L1245</f>
        <v>0</v>
      </c>
      <c r="N149" s="287"/>
      <c r="O149" s="1636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6"/>
      <c r="B150" s="2163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149</v>
      </c>
      <c r="G150" s="1954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7">
        <f>+'Stock Rawmaterial'!J1246</f>
        <v>0</v>
      </c>
      <c r="L150" s="77">
        <f>+'Stock Rawmaterial'!K1246</f>
        <v>0</v>
      </c>
      <c r="M150" s="1672">
        <f>+'Stock Rawmaterial'!L1246</f>
        <v>125</v>
      </c>
      <c r="N150" s="287"/>
      <c r="O150" s="1636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36"/>
      <c r="B151" s="2163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149</v>
      </c>
      <c r="G151" s="1954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7">
        <f>+'Stock Rawmaterial'!J1247</f>
        <v>0</v>
      </c>
      <c r="L151" s="77">
        <f>+'Stock Rawmaterial'!K1247</f>
        <v>0</v>
      </c>
      <c r="M151" s="1672">
        <f>+'Stock Rawmaterial'!L1247</f>
        <v>0</v>
      </c>
      <c r="N151" s="287"/>
      <c r="O151" s="1636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37"/>
      <c r="B152" s="2165"/>
      <c r="C152" s="1699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149</v>
      </c>
      <c r="G152" s="1955">
        <v>46856</v>
      </c>
      <c r="H152" s="1697">
        <f>+'Stock Rawmaterial'!G1248</f>
        <v>9.9</v>
      </c>
      <c r="I152" s="1697">
        <f>+'Stock Rawmaterial'!H1248</f>
        <v>0</v>
      </c>
      <c r="J152" s="1697">
        <f>+'Stock Rawmaterial'!I1248</f>
        <v>0</v>
      </c>
      <c r="K152" s="1700">
        <f>+'Stock Rawmaterial'!J1248</f>
        <v>0</v>
      </c>
      <c r="L152" s="1697">
        <f>+'Stock Rawmaterial'!K1248</f>
        <v>0</v>
      </c>
      <c r="M152" s="1695">
        <f>+'Stock Rawmaterial'!L1248</f>
        <v>9.9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134.9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134.9</v>
      </c>
      <c r="N153" s="928">
        <f>'Stock Rawmaterial'!M1249</f>
        <v>0</v>
      </c>
      <c r="O153" s="928">
        <f>'Stock Rawmaterial'!N1249</f>
        <v>0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91" t="str">
        <f>IF(M161=0,"",MAX($A$15:A153)+1)</f>
        <v/>
      </c>
      <c r="B154" s="2277" t="s">
        <v>1218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8"/>
      <c r="I154" s="1619"/>
      <c r="J154" s="1620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8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92"/>
      <c r="B155" s="2277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8"/>
      <c r="I155" s="1619"/>
      <c r="J155" s="1620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6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92"/>
      <c r="B156" s="2277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8"/>
      <c r="I156" s="1619"/>
      <c r="J156" s="1620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6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92"/>
      <c r="B157" s="2277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8"/>
      <c r="I157" s="1619"/>
      <c r="J157" s="1620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6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92"/>
      <c r="B158" s="2277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8"/>
      <c r="I158" s="1619"/>
      <c r="J158" s="1620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6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92"/>
      <c r="B159" s="2277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1"/>
      <c r="I159" s="1582"/>
      <c r="J159" s="1600"/>
      <c r="K159" s="1584">
        <f>+'Stock Rawmaterial'!G1278</f>
        <v>0</v>
      </c>
      <c r="L159" s="77">
        <f>+'Stock Rawmaterial'!H1278</f>
        <v>0</v>
      </c>
      <c r="M159" s="1584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93"/>
      <c r="B160" s="2293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1"/>
      <c r="I160" s="1622"/>
      <c r="J160" s="1623"/>
      <c r="K160" s="166">
        <v>0</v>
      </c>
      <c r="L160" s="166"/>
      <c r="M160" s="166"/>
      <c r="N160" s="331"/>
      <c r="O160" s="1530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4"/>
      <c r="I161" s="1624"/>
      <c r="J161" s="1625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91">
        <f>IF(M168=0,"",MAX($A$15:A161)+1)</f>
        <v>10</v>
      </c>
      <c r="B162" s="2289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238</v>
      </c>
      <c r="G162" s="1686">
        <v>46446</v>
      </c>
      <c r="H162" s="1740">
        <f>'Stock Rawmaterial'!G1189</f>
        <v>0</v>
      </c>
      <c r="I162" s="1740">
        <f>'Stock Rawmaterial'!H1189</f>
        <v>0</v>
      </c>
      <c r="J162" s="1740">
        <f>'Stock Rawmaterial'!I1189</f>
        <v>0</v>
      </c>
      <c r="K162" s="1740">
        <f>'Stock Rawmaterial'!J1189</f>
        <v>0</v>
      </c>
      <c r="L162" s="1740">
        <f>'Stock Rawmaterial'!K1189</f>
        <v>0</v>
      </c>
      <c r="M162" s="1672">
        <f>'Stock Rawmaterial'!L1189</f>
        <v>0</v>
      </c>
      <c r="N162" s="287"/>
      <c r="O162" s="1636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92"/>
      <c r="B163" s="2290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43</v>
      </c>
      <c r="G163" s="1954">
        <v>46446</v>
      </c>
      <c r="H163" s="1740">
        <f>'Stock Rawmaterial'!G1190</f>
        <v>0</v>
      </c>
      <c r="I163" s="1740">
        <f>'Stock Rawmaterial'!H1190</f>
        <v>0</v>
      </c>
      <c r="J163" s="1740">
        <f>'Stock Rawmaterial'!I1190</f>
        <v>0</v>
      </c>
      <c r="K163" s="1740">
        <f>'Stock Rawmaterial'!J1190</f>
        <v>0</v>
      </c>
      <c r="L163" s="1740">
        <f>'Stock Rawmaterial'!K1190</f>
        <v>0</v>
      </c>
      <c r="M163" s="1672">
        <f>'Stock Rawmaterial'!L1190</f>
        <v>0</v>
      </c>
      <c r="N163" s="287"/>
      <c r="O163" s="1636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92"/>
      <c r="B164" s="2290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29</v>
      </c>
      <c r="G164" s="1954">
        <v>46446</v>
      </c>
      <c r="H164" s="1740">
        <f>'Stock Rawmaterial'!G1191</f>
        <v>25</v>
      </c>
      <c r="I164" s="1740">
        <f>'Stock Rawmaterial'!H1191</f>
        <v>0</v>
      </c>
      <c r="J164" s="1740">
        <f>'Stock Rawmaterial'!I1191</f>
        <v>0</v>
      </c>
      <c r="K164" s="1740">
        <f>'Stock Rawmaterial'!J1191</f>
        <v>0</v>
      </c>
      <c r="L164" s="1740">
        <f>'Stock Rawmaterial'!K1191</f>
        <v>0</v>
      </c>
      <c r="M164" s="1672">
        <f>'Stock Rawmaterial'!L1191</f>
        <v>25</v>
      </c>
      <c r="N164" s="287"/>
      <c r="O164" s="1636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129"/>
      <c r="B165" s="2291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14</v>
      </c>
      <c r="G165" s="1954">
        <v>46446</v>
      </c>
      <c r="H165" s="1740">
        <f>'Stock Rawmaterial'!G1192</f>
        <v>50</v>
      </c>
      <c r="I165" s="1740">
        <f>'Stock Rawmaterial'!H1192</f>
        <v>0</v>
      </c>
      <c r="J165" s="1740">
        <f>'Stock Rawmaterial'!I1192</f>
        <v>0</v>
      </c>
      <c r="K165" s="1740">
        <f>'Stock Rawmaterial'!J1192</f>
        <v>0</v>
      </c>
      <c r="L165" s="1740">
        <f>'Stock Rawmaterial'!K1192</f>
        <v>0</v>
      </c>
      <c r="M165" s="1672">
        <f>'Stock Rawmaterial'!L1192</f>
        <v>50</v>
      </c>
      <c r="N165" s="287"/>
      <c r="O165" s="1636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92"/>
      <c r="B166" s="2290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43</v>
      </c>
      <c r="G166" s="1954">
        <v>46446</v>
      </c>
      <c r="H166" s="1740">
        <f>'Stock Rawmaterial'!G1193</f>
        <v>0</v>
      </c>
      <c r="I166" s="1740">
        <f>'Stock Rawmaterial'!H1193</f>
        <v>0</v>
      </c>
      <c r="J166" s="1740">
        <f>'Stock Rawmaterial'!I1193</f>
        <v>0</v>
      </c>
      <c r="K166" s="1740">
        <f>'Stock Rawmaterial'!J1193</f>
        <v>0</v>
      </c>
      <c r="L166" s="1740">
        <f>'Stock Rawmaterial'!K1193</f>
        <v>0</v>
      </c>
      <c r="M166" s="1672">
        <f>'Stock Rawmaterial'!L1193</f>
        <v>0</v>
      </c>
      <c r="N166" s="287"/>
      <c r="O166" s="1636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93"/>
      <c r="B167" s="2290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29</v>
      </c>
      <c r="G167" s="1955">
        <v>46446</v>
      </c>
      <c r="H167" s="1740">
        <f>'Stock Rawmaterial'!G1194</f>
        <v>25.86</v>
      </c>
      <c r="I167" s="1740">
        <f>'Stock Rawmaterial'!H1194</f>
        <v>0</v>
      </c>
      <c r="J167" s="1740">
        <f>'Stock Rawmaterial'!I1194</f>
        <v>0</v>
      </c>
      <c r="K167" s="1740">
        <f>'Stock Rawmaterial'!J1194</f>
        <v>0</v>
      </c>
      <c r="L167" s="1740">
        <f>'Stock Rawmaterial'!K1194</f>
        <v>0</v>
      </c>
      <c r="M167" s="1672">
        <f>'Stock Rawmaterial'!L1194</f>
        <v>25.86</v>
      </c>
      <c r="N167" s="568"/>
      <c r="O167" s="1642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100.86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100.86</v>
      </c>
      <c r="N168" s="928">
        <f>'Stock Rawmaterial'!M1195</f>
        <v>1.0511111111111111</v>
      </c>
      <c r="O168" s="928">
        <f>'Stock Rawmaterial'!N1195</f>
        <v>95.955602536997887</v>
      </c>
      <c r="P168" s="928">
        <f>'Stock Rawmaterial'!O1195</f>
        <v>3.833333333333333</v>
      </c>
      <c r="Q168" s="928">
        <f>'Stock Rawmaterial'!P1195</f>
        <v>26.311304347826088</v>
      </c>
      <c r="R168" s="466"/>
      <c r="S168" s="264"/>
      <c r="T168" s="467"/>
    </row>
    <row r="169" spans="1:20" s="265" customFormat="1" ht="30" hidden="1" customHeight="1" x14ac:dyDescent="0.2">
      <c r="A169" s="2091" t="str">
        <f>IF(M174=0,"",MAX($A$15:A168)+1)</f>
        <v/>
      </c>
      <c r="B169" s="2161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147</v>
      </c>
      <c r="G169" s="1954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5">
        <f>'Stock Rawmaterial'!J1325</f>
        <v>0</v>
      </c>
      <c r="L169" s="80">
        <f>'Stock Rawmaterial'!K1325</f>
        <v>0</v>
      </c>
      <c r="M169" s="1672">
        <f>'Stock Rawmaterial'!L1325</f>
        <v>0</v>
      </c>
      <c r="N169" s="333"/>
      <c r="O169" s="1643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92"/>
      <c r="B170" s="2163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114</v>
      </c>
      <c r="G170" s="1954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5">
        <f>'Stock Rawmaterial'!J1326</f>
        <v>0</v>
      </c>
      <c r="L170" s="80">
        <f>'Stock Rawmaterial'!K1326</f>
        <v>0</v>
      </c>
      <c r="M170" s="1672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92"/>
      <c r="B171" s="2163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91</v>
      </c>
      <c r="G171" s="1954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5">
        <f>'Stock Rawmaterial'!J1327</f>
        <v>0</v>
      </c>
      <c r="L171" s="80">
        <f>'Stock Rawmaterial'!K1327</f>
        <v>0</v>
      </c>
      <c r="M171" s="1576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129"/>
      <c r="B172" s="2164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91</v>
      </c>
      <c r="G172" s="1954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5">
        <f>'Stock Rawmaterial'!J1328</f>
        <v>0</v>
      </c>
      <c r="L172" s="80">
        <f>'Stock Rawmaterial'!K1328</f>
        <v>0</v>
      </c>
      <c r="M172" s="1576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92"/>
      <c r="B173" s="2163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91</v>
      </c>
      <c r="G173" s="1955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4">
        <f>'Stock Rawmaterial'!J1329</f>
        <v>0</v>
      </c>
      <c r="L173" s="567">
        <f>'Stock Rawmaterial'!K1329</f>
        <v>0</v>
      </c>
      <c r="M173" s="1695">
        <f>'Stock Rawmaterial'!L1329</f>
        <v>0</v>
      </c>
      <c r="N173" s="555"/>
      <c r="O173" s="1644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91" t="str">
        <f>IF(M180=0,"",MAX($A$15:A174)+1)</f>
        <v/>
      </c>
      <c r="B175" s="2289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8"/>
      <c r="I175" s="1619"/>
      <c r="J175" s="1620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6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92"/>
      <c r="B176" s="2290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8"/>
      <c r="I176" s="1619"/>
      <c r="J176" s="1620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6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92"/>
      <c r="B177" s="2290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8"/>
      <c r="I177" s="1619"/>
      <c r="J177" s="1620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6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92"/>
      <c r="B178" s="2290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8"/>
      <c r="I178" s="1619"/>
      <c r="J178" s="1620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6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93"/>
      <c r="B179" s="2290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9"/>
      <c r="H179" s="1626"/>
      <c r="I179" s="1627"/>
      <c r="J179" s="1628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2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6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91">
        <f>IF(M188=0,"",MAX($A$15:A180)+1)</f>
        <v>11</v>
      </c>
      <c r="B181" s="2289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1">
        <f>'Stock Rawmaterial'!F643</f>
        <v>469</v>
      </c>
      <c r="G181" s="1686">
        <v>46737</v>
      </c>
      <c r="H181" s="1822">
        <f>'Stock Rawmaterial'!G643</f>
        <v>0</v>
      </c>
      <c r="I181" s="1822">
        <f>'Stock Rawmaterial'!H643</f>
        <v>0</v>
      </c>
      <c r="J181" s="1822">
        <f>'Stock Rawmaterial'!I643</f>
        <v>0</v>
      </c>
      <c r="K181" s="1822">
        <f>'Stock Rawmaterial'!J643</f>
        <v>0</v>
      </c>
      <c r="L181" s="1822">
        <f>'Stock Rawmaterial'!K643</f>
        <v>0</v>
      </c>
      <c r="M181" s="1822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92"/>
      <c r="B182" s="2290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1">
        <f>'Stock Rawmaterial'!F644</f>
        <v>408</v>
      </c>
      <c r="G182" s="882"/>
      <c r="H182" s="882">
        <f>'Stock Rawmaterial'!G644</f>
        <v>0</v>
      </c>
      <c r="I182" s="1822">
        <f>'Stock Rawmaterial'!H644</f>
        <v>0</v>
      </c>
      <c r="J182" s="1822">
        <f>'Stock Rawmaterial'!I644</f>
        <v>0</v>
      </c>
      <c r="K182" s="1822">
        <f>'Stock Rawmaterial'!J644</f>
        <v>0</v>
      </c>
      <c r="L182" s="1822">
        <f>'Stock Rawmaterial'!K644</f>
        <v>0</v>
      </c>
      <c r="M182" s="1822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129"/>
      <c r="B183" s="2291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1">
        <f>'Stock Rawmaterial'!F645</f>
        <v>368</v>
      </c>
      <c r="G183" s="882"/>
      <c r="H183" s="882">
        <f>'Stock Rawmaterial'!G645</f>
        <v>0</v>
      </c>
      <c r="I183" s="1822">
        <f>'Stock Rawmaterial'!H645</f>
        <v>0</v>
      </c>
      <c r="J183" s="1822">
        <f>'Stock Rawmaterial'!I645</f>
        <v>0</v>
      </c>
      <c r="K183" s="1822">
        <f>'Stock Rawmaterial'!J645</f>
        <v>0</v>
      </c>
      <c r="L183" s="1822">
        <f>'Stock Rawmaterial'!K645</f>
        <v>0</v>
      </c>
      <c r="M183" s="1822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129"/>
      <c r="B184" s="2291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1">
        <f>'Stock Rawmaterial'!F646</f>
        <v>280</v>
      </c>
      <c r="G184" s="1686">
        <v>46299</v>
      </c>
      <c r="H184" s="1822">
        <f>'Stock Rawmaterial'!G646</f>
        <v>0</v>
      </c>
      <c r="I184" s="1822">
        <f>'Stock Rawmaterial'!H646</f>
        <v>0</v>
      </c>
      <c r="J184" s="1822">
        <f>'Stock Rawmaterial'!I646</f>
        <v>0</v>
      </c>
      <c r="K184" s="1822">
        <f>'Stock Rawmaterial'!J646</f>
        <v>0</v>
      </c>
      <c r="L184" s="1822">
        <f>'Stock Rawmaterial'!K646</f>
        <v>0</v>
      </c>
      <c r="M184" s="1822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129"/>
      <c r="B185" s="2291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1">
        <f>'Stock Rawmaterial'!F647</f>
        <v>60</v>
      </c>
      <c r="G185" s="1954">
        <v>46613</v>
      </c>
      <c r="H185" s="80">
        <f>'Stock Rawmaterial'!G647</f>
        <v>50</v>
      </c>
      <c r="I185" s="1822">
        <f>'Stock Rawmaterial'!H647</f>
        <v>0</v>
      </c>
      <c r="J185" s="1822">
        <f>'Stock Rawmaterial'!I647</f>
        <v>0</v>
      </c>
      <c r="K185" s="1822">
        <f>'Stock Rawmaterial'!J647</f>
        <v>0</v>
      </c>
      <c r="L185" s="1822">
        <f>'Stock Rawmaterial'!K647</f>
        <v>0</v>
      </c>
      <c r="M185" s="1822">
        <f>'Stock Rawmaterial'!L647</f>
        <v>50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129"/>
      <c r="B186" s="2291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1">
        <f>'Stock Rawmaterial'!F648</f>
        <v>60</v>
      </c>
      <c r="G186" s="1954">
        <v>46612</v>
      </c>
      <c r="H186" s="1822">
        <f>'Stock Rawmaterial'!G648</f>
        <v>0</v>
      </c>
      <c r="I186" s="1822">
        <f>'Stock Rawmaterial'!H648</f>
        <v>0</v>
      </c>
      <c r="J186" s="1822">
        <f>'Stock Rawmaterial'!I648</f>
        <v>0</v>
      </c>
      <c r="K186" s="1822">
        <f>'Stock Rawmaterial'!J648</f>
        <v>0</v>
      </c>
      <c r="L186" s="1822">
        <f>'Stock Rawmaterial'!K648</f>
        <v>0</v>
      </c>
      <c r="M186" s="1822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93"/>
      <c r="B187" s="2292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1">
        <f>'Stock Rawmaterial'!F649</f>
        <v>60</v>
      </c>
      <c r="G187" s="1954">
        <v>46613</v>
      </c>
      <c r="H187" s="1822">
        <f>'Stock Rawmaterial'!G649</f>
        <v>81.399999999999991</v>
      </c>
      <c r="I187" s="1822">
        <f>'Stock Rawmaterial'!H649</f>
        <v>0</v>
      </c>
      <c r="J187" s="1822">
        <f>'Stock Rawmaterial'!I649</f>
        <v>0</v>
      </c>
      <c r="K187" s="1822">
        <f>'Stock Rawmaterial'!J649</f>
        <v>44.74</v>
      </c>
      <c r="L187" s="1822">
        <f>'Stock Rawmaterial'!K649</f>
        <v>0</v>
      </c>
      <c r="M187" s="1822">
        <f>'Stock Rawmaterial'!L649</f>
        <v>36.659999999999989</v>
      </c>
      <c r="N187" s="1822">
        <f>'Stock Rawmaterial'!M649</f>
        <v>0</v>
      </c>
      <c r="O187" s="1822">
        <f>'Stock Rawmaterial'!N649</f>
        <v>0</v>
      </c>
      <c r="P187" s="1822">
        <f>'Stock Rawmaterial'!O649</f>
        <v>0</v>
      </c>
      <c r="Q187" s="1822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131.39999999999998</v>
      </c>
      <c r="I188" s="235">
        <f t="shared" si="28"/>
        <v>0</v>
      </c>
      <c r="J188" s="235">
        <f t="shared" si="28"/>
        <v>0</v>
      </c>
      <c r="K188" s="235">
        <f>SUM(K181:K187)</f>
        <v>44.74</v>
      </c>
      <c r="L188" s="235">
        <f t="shared" ref="L188:M188" si="29">SUM(L181:L187)</f>
        <v>0</v>
      </c>
      <c r="M188" s="235">
        <f t="shared" si="29"/>
        <v>86.66</v>
      </c>
      <c r="N188" s="928">
        <f>'Stock Rawmaterial'!M650</f>
        <v>0</v>
      </c>
      <c r="O188" s="928">
        <f>'Stock Rawmaterial'!N650</f>
        <v>0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18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4"/>
      <c r="H189" s="1614"/>
      <c r="I189" s="1614"/>
      <c r="J189" s="1615"/>
      <c r="K189" s="130"/>
      <c r="L189" s="82">
        <f>'Stock Rawmaterial'!H1210</f>
        <v>0</v>
      </c>
      <c r="M189" s="82">
        <f>'Stock Rawmaterial'!I1210</f>
        <v>0</v>
      </c>
      <c r="N189" s="330"/>
      <c r="O189" s="1645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10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4"/>
      <c r="H190" s="1614"/>
      <c r="I190" s="1614"/>
      <c r="J190" s="1615"/>
      <c r="K190" s="130"/>
      <c r="L190" s="82">
        <f>'Stock Rawmaterial'!H1211</f>
        <v>0</v>
      </c>
      <c r="M190" s="82">
        <f>'Stock Rawmaterial'!I1211</f>
        <v>0</v>
      </c>
      <c r="N190" s="330"/>
      <c r="O190" s="1645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10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4"/>
      <c r="H191" s="1614"/>
      <c r="I191" s="1614"/>
      <c r="J191" s="1615"/>
      <c r="K191" s="130"/>
      <c r="L191" s="82">
        <f>'Stock Rawmaterial'!H1212</f>
        <v>0</v>
      </c>
      <c r="M191" s="82">
        <f>'Stock Rawmaterial'!I1212</f>
        <v>0</v>
      </c>
      <c r="N191" s="330"/>
      <c r="O191" s="1645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10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4"/>
      <c r="H192" s="1614"/>
      <c r="I192" s="1614"/>
      <c r="J192" s="1615"/>
      <c r="K192" s="130"/>
      <c r="L192" s="82">
        <f>'Stock Rawmaterial'!H1213</f>
        <v>0</v>
      </c>
      <c r="M192" s="82">
        <f>'Stock Rawmaterial'!I1213</f>
        <v>0</v>
      </c>
      <c r="N192" s="330"/>
      <c r="O192" s="1645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10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80"/>
      <c r="H193" s="1629"/>
      <c r="I193" s="1629"/>
      <c r="J193" s="1630"/>
      <c r="K193" s="1631"/>
      <c r="L193" s="626">
        <f>'Stock Rawmaterial'!H1214</f>
        <v>0</v>
      </c>
      <c r="M193" s="626">
        <f>'Stock Rawmaterial'!I1214</f>
        <v>0</v>
      </c>
      <c r="N193" s="629"/>
      <c r="O193" s="1646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11"/>
      <c r="B194" s="2012"/>
      <c r="C194" s="125"/>
      <c r="D194" s="1027"/>
      <c r="E194" s="1027"/>
      <c r="F194" s="896"/>
      <c r="G194" s="896"/>
      <c r="H194" s="1632"/>
      <c r="I194" s="1632"/>
      <c r="J194" s="1633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8">
        <f t="shared" si="30"/>
        <v>0</v>
      </c>
      <c r="O194" s="1648">
        <f t="shared" si="30"/>
        <v>0</v>
      </c>
      <c r="P194" s="1648">
        <f t="shared" si="30"/>
        <v>0</v>
      </c>
      <c r="Q194" s="1648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8">
        <f>IF(M201=0,"",MAX($A$15:A194)+1)</f>
        <v>12</v>
      </c>
      <c r="B195" s="2161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561</v>
      </c>
      <c r="G195" s="1686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5">
        <f>'Stock Rawmaterial'!J1335</f>
        <v>0</v>
      </c>
      <c r="L195" s="80">
        <f>'Stock Rawmaterial'!K1335</f>
        <v>0</v>
      </c>
      <c r="M195" s="1672">
        <f>'Stock Rawmaterial'!L1335</f>
        <v>0</v>
      </c>
      <c r="N195" s="330"/>
      <c r="O195" s="1645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10"/>
      <c r="B196" s="2164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512</v>
      </c>
      <c r="G196" s="1686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5">
        <f>'Stock Rawmaterial'!J1336</f>
        <v>0</v>
      </c>
      <c r="L196" s="80">
        <f>'Stock Rawmaterial'!K1336</f>
        <v>0</v>
      </c>
      <c r="M196" s="1672">
        <f>'Stock Rawmaterial'!L1336</f>
        <v>0</v>
      </c>
      <c r="N196" s="330"/>
      <c r="O196" s="1645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10"/>
      <c r="B197" s="2164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162</v>
      </c>
      <c r="G197" s="1954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5">
        <f>'Stock Rawmaterial'!J1337</f>
        <v>0</v>
      </c>
      <c r="L197" s="80">
        <f>'Stock Rawmaterial'!K1337</f>
        <v>0</v>
      </c>
      <c r="M197" s="1672">
        <f>'Stock Rawmaterial'!L1337</f>
        <v>0</v>
      </c>
      <c r="N197" s="330"/>
      <c r="O197" s="1645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10"/>
      <c r="B198" s="2163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70</v>
      </c>
      <c r="G198" s="1954">
        <v>46819</v>
      </c>
      <c r="H198" s="80">
        <f>'Stock Rawmaterial'!G1338</f>
        <v>620</v>
      </c>
      <c r="I198" s="80">
        <f>'Stock Rawmaterial'!H1338</f>
        <v>0</v>
      </c>
      <c r="J198" s="80">
        <f>'Stock Rawmaterial'!I1338</f>
        <v>0</v>
      </c>
      <c r="K198" s="1575">
        <f>'Stock Rawmaterial'!J1338</f>
        <v>0</v>
      </c>
      <c r="L198" s="80">
        <f>'Stock Rawmaterial'!K1338</f>
        <v>0</v>
      </c>
      <c r="M198" s="1672">
        <f>'Stock Rawmaterial'!L1338</f>
        <v>620</v>
      </c>
      <c r="N198" s="330"/>
      <c r="O198" s="1645"/>
      <c r="P198" s="330"/>
      <c r="Q198" s="330"/>
      <c r="R198" s="498"/>
      <c r="T198" s="10"/>
      <c r="AR198" s="180"/>
    </row>
    <row r="199" spans="1:44" s="6" customFormat="1" ht="30" customHeight="1" x14ac:dyDescent="0.2">
      <c r="A199" s="2010"/>
      <c r="B199" s="2164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28</v>
      </c>
      <c r="G199" s="1954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5">
        <f>'Stock Rawmaterial'!J1339</f>
        <v>0</v>
      </c>
      <c r="L199" s="80">
        <f>'Stock Rawmaterial'!K1339</f>
        <v>0</v>
      </c>
      <c r="M199" s="1672">
        <f>'Stock Rawmaterial'!L1339</f>
        <v>1000</v>
      </c>
      <c r="N199" s="330"/>
      <c r="O199" s="1645"/>
      <c r="P199" s="330"/>
      <c r="Q199" s="330"/>
      <c r="R199" s="498"/>
      <c r="T199" s="10"/>
      <c r="AR199" s="180"/>
    </row>
    <row r="200" spans="1:44" s="6" customFormat="1" ht="30" customHeight="1" x14ac:dyDescent="0.2">
      <c r="A200" s="2010"/>
      <c r="B200" s="2163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70</v>
      </c>
      <c r="G200" s="1955">
        <v>46819</v>
      </c>
      <c r="H200" s="567">
        <f>'Stock Rawmaterial'!G1340</f>
        <v>112</v>
      </c>
      <c r="I200" s="567">
        <f>'Stock Rawmaterial'!H1340</f>
        <v>0</v>
      </c>
      <c r="J200" s="567">
        <f>'Stock Rawmaterial'!I1340</f>
        <v>0</v>
      </c>
      <c r="K200" s="1694">
        <f>'Stock Rawmaterial'!J1340</f>
        <v>80</v>
      </c>
      <c r="L200" s="567">
        <f>'Stock Rawmaterial'!K1340</f>
        <v>0</v>
      </c>
      <c r="M200" s="1695">
        <f>'Stock Rawmaterial'!L1340</f>
        <v>32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96" t="s">
        <v>1372</v>
      </c>
      <c r="B201" s="2095"/>
      <c r="C201" s="125"/>
      <c r="D201" s="1027"/>
      <c r="E201" s="1160"/>
      <c r="F201" s="896"/>
      <c r="G201" s="896"/>
      <c r="H201" s="234">
        <f t="shared" ref="H201:L201" si="31">+SUM(H195:H200)</f>
        <v>1732</v>
      </c>
      <c r="I201" s="234">
        <f t="shared" si="31"/>
        <v>0</v>
      </c>
      <c r="J201" s="234">
        <f t="shared" si="31"/>
        <v>0</v>
      </c>
      <c r="K201" s="234">
        <f t="shared" si="31"/>
        <v>80</v>
      </c>
      <c r="L201" s="234">
        <f t="shared" si="31"/>
        <v>0</v>
      </c>
      <c r="M201" s="234">
        <f t="shared" ref="M201" si="32">+SUM(M195:M200)</f>
        <v>1652</v>
      </c>
      <c r="N201" s="1648">
        <f>'Stock Rawmaterial'!M1341</f>
        <v>17.777777777777779</v>
      </c>
      <c r="O201" s="1648">
        <f>'Stock Rawmaterial'!N1341</f>
        <v>92.924999999999997</v>
      </c>
      <c r="P201" s="1648">
        <f>'Stock Rawmaterial'!O1341</f>
        <v>32</v>
      </c>
      <c r="Q201" s="1648">
        <f>'Stock Rawmaterial'!P1341</f>
        <v>51.625</v>
      </c>
      <c r="R201" s="499"/>
      <c r="T201" s="500"/>
      <c r="AR201" s="181"/>
    </row>
    <row r="202" spans="1:44" s="6" customFormat="1" ht="30" hidden="1" customHeight="1" x14ac:dyDescent="0.2">
      <c r="A202" s="2018" t="str">
        <f>IF(M207=0,"",MAX($A$15:A201)+1)</f>
        <v/>
      </c>
      <c r="B202" s="2294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4"/>
      <c r="H202" s="1614"/>
      <c r="I202" s="1614"/>
      <c r="J202" s="1615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5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10"/>
      <c r="B203" s="2295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4"/>
      <c r="H203" s="1614"/>
      <c r="I203" s="1614"/>
      <c r="J203" s="1615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5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10"/>
      <c r="B204" s="2295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4"/>
      <c r="H204" s="1614"/>
      <c r="I204" s="1614"/>
      <c r="J204" s="1615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5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10"/>
      <c r="B205" s="2295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4"/>
      <c r="H205" s="1614"/>
      <c r="I205" s="1614"/>
      <c r="J205" s="1615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5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10"/>
      <c r="B206" s="2295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1"/>
      <c r="H206" s="1634"/>
      <c r="I206" s="1634"/>
      <c r="J206" s="1635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5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11"/>
      <c r="B207" s="2012"/>
      <c r="C207" s="125"/>
      <c r="D207" s="1027"/>
      <c r="E207" s="1027"/>
      <c r="F207" s="896"/>
      <c r="G207" s="896"/>
      <c r="H207" s="1632"/>
      <c r="I207" s="1632"/>
      <c r="J207" s="1632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8">
        <f t="shared" si="33"/>
        <v>0</v>
      </c>
      <c r="O207" s="1648">
        <f t="shared" si="33"/>
        <v>0</v>
      </c>
      <c r="P207" s="1648">
        <f t="shared" si="33"/>
        <v>0</v>
      </c>
      <c r="Q207" s="1648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8" t="str">
        <f>IF(M213=0,"",MAX($A$15:A207)+1)</f>
        <v/>
      </c>
      <c r="B208" s="2294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4"/>
      <c r="H208" s="1614"/>
      <c r="I208" s="1614"/>
      <c r="J208" s="1615"/>
      <c r="K208" s="130"/>
      <c r="L208" s="130"/>
      <c r="M208" s="130"/>
      <c r="N208" s="1649"/>
      <c r="O208" s="1649"/>
      <c r="P208" s="1649"/>
      <c r="Q208" s="1649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10"/>
      <c r="B209" s="2295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4"/>
      <c r="H209" s="1614"/>
      <c r="I209" s="1614"/>
      <c r="J209" s="1615"/>
      <c r="K209" s="130"/>
      <c r="L209" s="130"/>
      <c r="M209" s="130"/>
      <c r="N209" s="1649"/>
      <c r="O209" s="1649"/>
      <c r="P209" s="1649"/>
      <c r="Q209" s="1649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10"/>
      <c r="B210" s="2295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4"/>
      <c r="H210" s="1614"/>
      <c r="I210" s="1614"/>
      <c r="J210" s="1615"/>
      <c r="K210" s="130"/>
      <c r="L210" s="130"/>
      <c r="M210" s="130"/>
      <c r="N210" s="1649"/>
      <c r="O210" s="1649"/>
      <c r="P210" s="1649"/>
      <c r="Q210" s="1649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10"/>
      <c r="B211" s="2295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4"/>
      <c r="H211" s="1614"/>
      <c r="I211" s="1614"/>
      <c r="J211" s="1615"/>
      <c r="K211" s="130"/>
      <c r="L211" s="130"/>
      <c r="M211" s="130"/>
      <c r="N211" s="1649"/>
      <c r="O211" s="1649"/>
      <c r="P211" s="1649"/>
      <c r="Q211" s="1649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10"/>
      <c r="B212" s="2295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1"/>
      <c r="H212" s="1634"/>
      <c r="I212" s="1634"/>
      <c r="J212" s="1635"/>
      <c r="K212" s="130"/>
      <c r="L212" s="130"/>
      <c r="M212" s="130"/>
      <c r="N212" s="1649"/>
      <c r="O212" s="1649"/>
      <c r="P212" s="1649"/>
      <c r="Q212" s="1649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11"/>
      <c r="B213" s="2012"/>
      <c r="C213" s="125"/>
      <c r="D213" s="1027"/>
      <c r="E213" s="1027"/>
      <c r="F213" s="896"/>
      <c r="G213" s="896"/>
      <c r="H213" s="1632"/>
      <c r="I213" s="1632"/>
      <c r="J213" s="1632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8">
        <f t="shared" si="34"/>
        <v>0</v>
      </c>
      <c r="O213" s="1648">
        <f t="shared" si="34"/>
        <v>0</v>
      </c>
      <c r="P213" s="1648">
        <f t="shared" si="34"/>
        <v>0</v>
      </c>
      <c r="Q213" s="1648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8">
        <f>IF(M219=0,"",MAX($A$15:A213)+1)</f>
        <v>13</v>
      </c>
      <c r="B214" s="2161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9">
        <f>'Stock Rawmaterial'!F803</f>
        <v>84</v>
      </c>
      <c r="G214" s="1954">
        <v>46724</v>
      </c>
      <c r="H214" s="1614">
        <f>'Stock Rawmaterial'!G803</f>
        <v>0</v>
      </c>
      <c r="I214" s="1614">
        <f>'Stock Rawmaterial'!H803</f>
        <v>0</v>
      </c>
      <c r="J214" s="1614">
        <f>'Stock Rawmaterial'!I803</f>
        <v>0</v>
      </c>
      <c r="K214" s="1614">
        <f>'Stock Rawmaterial'!J803</f>
        <v>0</v>
      </c>
      <c r="L214" s="1614">
        <f>'Stock Rawmaterial'!K803</f>
        <v>0</v>
      </c>
      <c r="M214" s="1614">
        <f>'Stock Rawmaterial'!L803</f>
        <v>0</v>
      </c>
      <c r="N214" s="1649"/>
      <c r="O214" s="1649"/>
      <c r="P214" s="1649"/>
      <c r="Q214" s="1649"/>
      <c r="R214" s="498"/>
      <c r="T214" s="10"/>
      <c r="AR214" s="180"/>
    </row>
    <row r="215" spans="1:44" s="6" customFormat="1" ht="30" customHeight="1" x14ac:dyDescent="0.2">
      <c r="A215" s="2010"/>
      <c r="B215" s="2164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9">
        <f>'Stock Rawmaterial'!F804</f>
        <v>29</v>
      </c>
      <c r="G215" s="1954">
        <v>46880</v>
      </c>
      <c r="H215" s="1614">
        <f>'Stock Rawmaterial'!G804</f>
        <v>260</v>
      </c>
      <c r="I215" s="1614">
        <f>'Stock Rawmaterial'!H804</f>
        <v>0</v>
      </c>
      <c r="J215" s="1614">
        <f>'Stock Rawmaterial'!I804</f>
        <v>0</v>
      </c>
      <c r="K215" s="1614">
        <f>'Stock Rawmaterial'!J804</f>
        <v>0</v>
      </c>
      <c r="L215" s="1614">
        <f>'Stock Rawmaterial'!K804</f>
        <v>0</v>
      </c>
      <c r="M215" s="1614">
        <f>'Stock Rawmaterial'!L804</f>
        <v>260</v>
      </c>
      <c r="N215" s="1614">
        <f>'Stock Rawmaterial'!M804</f>
        <v>0</v>
      </c>
      <c r="O215" s="1614">
        <f>'Stock Rawmaterial'!N804</f>
        <v>0</v>
      </c>
      <c r="P215" s="1614">
        <f>'Stock Rawmaterial'!O804</f>
        <v>0</v>
      </c>
      <c r="Q215" s="1614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10"/>
      <c r="B216" s="2163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9">
        <f>'Stock Rawmaterial'!F805</f>
        <v>14</v>
      </c>
      <c r="G216" s="1954">
        <v>46937</v>
      </c>
      <c r="H216" s="1614">
        <f>'Stock Rawmaterial'!G805</f>
        <v>1000</v>
      </c>
      <c r="I216" s="1614">
        <f>'Stock Rawmaterial'!H805</f>
        <v>0</v>
      </c>
      <c r="J216" s="1614">
        <f>'Stock Rawmaterial'!I805</f>
        <v>0</v>
      </c>
      <c r="K216" s="1614">
        <f>'Stock Rawmaterial'!J805</f>
        <v>0</v>
      </c>
      <c r="L216" s="1614">
        <f>'Stock Rawmaterial'!K805</f>
        <v>0</v>
      </c>
      <c r="M216" s="1614">
        <f>'Stock Rawmaterial'!L805</f>
        <v>1000</v>
      </c>
      <c r="N216" s="1614">
        <f>'Stock Rawmaterial'!M805</f>
        <v>0</v>
      </c>
      <c r="O216" s="1614">
        <f>'Stock Rawmaterial'!N805</f>
        <v>0</v>
      </c>
      <c r="P216" s="1614">
        <f>'Stock Rawmaterial'!O805</f>
        <v>0</v>
      </c>
      <c r="Q216" s="1614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10"/>
      <c r="B217" s="2164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9">
        <f>'Stock Rawmaterial'!F806</f>
        <v>6</v>
      </c>
      <c r="G217" s="1954">
        <v>46796</v>
      </c>
      <c r="H217" s="1614">
        <f>'Stock Rawmaterial'!G806</f>
        <v>500</v>
      </c>
      <c r="I217" s="1614">
        <f>'Stock Rawmaterial'!H806</f>
        <v>0</v>
      </c>
      <c r="J217" s="1614">
        <f>'Stock Rawmaterial'!I806</f>
        <v>0</v>
      </c>
      <c r="K217" s="1614">
        <f>'Stock Rawmaterial'!J806</f>
        <v>0</v>
      </c>
      <c r="L217" s="1614">
        <f>'Stock Rawmaterial'!K806</f>
        <v>0</v>
      </c>
      <c r="M217" s="1614">
        <f>'Stock Rawmaterial'!L806</f>
        <v>500</v>
      </c>
      <c r="N217" s="1614">
        <f>'Stock Rawmaterial'!M806</f>
        <v>0</v>
      </c>
      <c r="O217" s="1614">
        <f>'Stock Rawmaterial'!N806</f>
        <v>0</v>
      </c>
      <c r="P217" s="1614">
        <f>'Stock Rawmaterial'!O806</f>
        <v>0</v>
      </c>
      <c r="Q217" s="1614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10"/>
      <c r="B218" s="2163"/>
      <c r="C218" s="150" t="str">
        <f>'Stock Rawmaterial'!C807</f>
        <v>Feedmill</v>
      </c>
      <c r="D218" s="881" t="s">
        <v>10</v>
      </c>
      <c r="E218" s="1159">
        <f>'Stock Rawmaterial'!E807</f>
        <v>46247</v>
      </c>
      <c r="F218" s="1859">
        <f>'Stock Rawmaterial'!F807</f>
        <v>29</v>
      </c>
      <c r="G218" s="1954">
        <v>46880</v>
      </c>
      <c r="H218" s="1614">
        <f>'Stock Rawmaterial'!G807</f>
        <v>107.19</v>
      </c>
      <c r="I218" s="1614">
        <f>'Stock Rawmaterial'!H807</f>
        <v>0</v>
      </c>
      <c r="J218" s="1614">
        <f>'Stock Rawmaterial'!I807</f>
        <v>0</v>
      </c>
      <c r="K218" s="1614">
        <f>'Stock Rawmaterial'!J807</f>
        <v>66</v>
      </c>
      <c r="L218" s="1614">
        <f>'Stock Rawmaterial'!K807</f>
        <v>0</v>
      </c>
      <c r="M218" s="1614">
        <f>'Stock Rawmaterial'!L807</f>
        <v>41.19</v>
      </c>
      <c r="N218" s="1614">
        <f>'Stock Rawmaterial'!M807</f>
        <v>0</v>
      </c>
      <c r="O218" s="1614">
        <f>'Stock Rawmaterial'!N807</f>
        <v>0</v>
      </c>
      <c r="P218" s="1614">
        <f>'Stock Rawmaterial'!O807</f>
        <v>0</v>
      </c>
      <c r="Q218" s="1614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11"/>
      <c r="B219" s="2012"/>
      <c r="C219" s="125"/>
      <c r="D219" s="1027"/>
      <c r="E219" s="1027"/>
      <c r="F219" s="896"/>
      <c r="G219" s="896"/>
      <c r="H219" s="1632">
        <f>SUM(H214:H218)</f>
        <v>1867.19</v>
      </c>
      <c r="I219" s="1632"/>
      <c r="J219" s="1632"/>
      <c r="K219" s="234">
        <f t="shared" ref="K219:M219" si="35">+SUM(K214:K218)</f>
        <v>66</v>
      </c>
      <c r="L219" s="234">
        <f t="shared" si="35"/>
        <v>0</v>
      </c>
      <c r="M219" s="234">
        <f t="shared" si="35"/>
        <v>1801.19</v>
      </c>
      <c r="N219" s="1648">
        <f>'Stock Rawmaterial'!M808</f>
        <v>24.266666666666666</v>
      </c>
      <c r="O219" s="1648">
        <f>'Stock Rawmaterial'!N808</f>
        <v>74.224862637362648</v>
      </c>
      <c r="P219" s="1648">
        <f>'Stock Rawmaterial'!O808</f>
        <v>37.666666666666664</v>
      </c>
      <c r="Q219" s="1648">
        <f>'Stock Rawmaterial'!P808</f>
        <v>47.819203539823015</v>
      </c>
      <c r="R219" s="499"/>
      <c r="T219" s="500"/>
      <c r="AR219" s="181"/>
    </row>
    <row r="220" spans="1:44" s="6" customFormat="1" ht="30" hidden="1" customHeight="1" x14ac:dyDescent="0.2">
      <c r="A220" s="2018" t="str">
        <f>IF(M225=0,"",MAX($A$15:A219)+1)</f>
        <v/>
      </c>
      <c r="B220" s="2161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4"/>
      <c r="H220" s="1614"/>
      <c r="I220" s="1614"/>
      <c r="J220" s="1615"/>
      <c r="K220" s="130"/>
      <c r="L220" s="130"/>
      <c r="M220" s="130"/>
      <c r="N220" s="1649"/>
      <c r="O220" s="1649"/>
      <c r="P220" s="1649"/>
      <c r="Q220" s="1649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10"/>
      <c r="B221" s="2163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4"/>
      <c r="H221" s="1614"/>
      <c r="I221" s="1614"/>
      <c r="J221" s="1615"/>
      <c r="K221" s="130"/>
      <c r="L221" s="130"/>
      <c r="M221" s="130"/>
      <c r="N221" s="1649"/>
      <c r="O221" s="1649"/>
      <c r="P221" s="1649"/>
      <c r="Q221" s="1649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10"/>
      <c r="B222" s="2162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4"/>
      <c r="H222" s="1614"/>
      <c r="I222" s="1614"/>
      <c r="J222" s="1615"/>
      <c r="K222" s="130"/>
      <c r="L222" s="130"/>
      <c r="M222" s="130"/>
      <c r="N222" s="1649"/>
      <c r="O222" s="1649"/>
      <c r="P222" s="1649"/>
      <c r="Q222" s="1649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10"/>
      <c r="B223" s="2164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4"/>
      <c r="H223" s="1614"/>
      <c r="I223" s="1614"/>
      <c r="J223" s="1615"/>
      <c r="K223" s="130"/>
      <c r="L223" s="130"/>
      <c r="M223" s="130"/>
      <c r="N223" s="1649"/>
      <c r="O223" s="1649"/>
      <c r="P223" s="1649"/>
      <c r="Q223" s="1649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10"/>
      <c r="B224" s="2163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1"/>
      <c r="H224" s="1634"/>
      <c r="I224" s="1634"/>
      <c r="J224" s="1615"/>
      <c r="K224" s="130"/>
      <c r="L224" s="130"/>
      <c r="M224" s="130"/>
      <c r="N224" s="1649"/>
      <c r="O224" s="1649"/>
      <c r="P224" s="1649"/>
      <c r="Q224" s="1649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11" t="s">
        <v>1373</v>
      </c>
      <c r="B225" s="2012"/>
      <c r="C225" s="125"/>
      <c r="D225" s="1027"/>
      <c r="E225" s="1027"/>
      <c r="F225" s="896"/>
      <c r="G225" s="896"/>
      <c r="H225" s="1632"/>
      <c r="I225" s="1632"/>
      <c r="J225" s="1632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8">
        <f t="shared" si="36"/>
        <v>0</v>
      </c>
      <c r="O225" s="1648">
        <f t="shared" si="36"/>
        <v>0</v>
      </c>
      <c r="P225" s="1648">
        <f t="shared" si="36"/>
        <v>0</v>
      </c>
      <c r="Q225" s="1648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8">
        <f>IF(M231=0,"",MAX($A$15:A225)+1)</f>
        <v>14</v>
      </c>
      <c r="B226" s="2161" t="s">
        <v>1323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638</v>
      </c>
      <c r="G226" s="1686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7">
        <f>'Stock Rawmaterial'!J809</f>
        <v>0</v>
      </c>
      <c r="L226" s="80">
        <f>'Stock Rawmaterial'!K809</f>
        <v>0</v>
      </c>
      <c r="M226" s="1672">
        <f>'Stock Rawmaterial'!L809</f>
        <v>0</v>
      </c>
      <c r="N226" s="1649"/>
      <c r="O226" s="1649"/>
      <c r="P226" s="1649"/>
      <c r="Q226" s="1649"/>
      <c r="R226" s="498"/>
      <c r="T226" s="10"/>
      <c r="AR226" s="180"/>
    </row>
    <row r="227" spans="1:44" s="6" customFormat="1" ht="30" hidden="1" customHeight="1" x14ac:dyDescent="0.2">
      <c r="A227" s="2010"/>
      <c r="B227" s="2163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144</v>
      </c>
      <c r="G227" s="1954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7">
        <f>'Stock Rawmaterial'!J810</f>
        <v>0</v>
      </c>
      <c r="L227" s="80">
        <f>'Stock Rawmaterial'!K810</f>
        <v>0</v>
      </c>
      <c r="M227" s="1672">
        <f>'Stock Rawmaterial'!L810</f>
        <v>0</v>
      </c>
      <c r="N227" s="1649"/>
      <c r="O227" s="1649"/>
      <c r="P227" s="1649"/>
      <c r="Q227" s="1649"/>
      <c r="R227" s="498"/>
      <c r="T227" s="10"/>
      <c r="AR227" s="180"/>
    </row>
    <row r="228" spans="1:44" s="6" customFormat="1" ht="30" customHeight="1" x14ac:dyDescent="0.2">
      <c r="A228" s="2010"/>
      <c r="B228" s="2162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31</v>
      </c>
      <c r="G228" s="1954">
        <v>46863</v>
      </c>
      <c r="H228" s="77">
        <f>'Stock Rawmaterial'!G811</f>
        <v>325</v>
      </c>
      <c r="I228" s="77">
        <f>'Stock Rawmaterial'!H811</f>
        <v>0</v>
      </c>
      <c r="J228" s="77">
        <f>'Stock Rawmaterial'!I811</f>
        <v>0</v>
      </c>
      <c r="K228" s="1617">
        <f>'Stock Rawmaterial'!J811</f>
        <v>0</v>
      </c>
      <c r="L228" s="80">
        <f>'Stock Rawmaterial'!K811</f>
        <v>0</v>
      </c>
      <c r="M228" s="1672">
        <f>'Stock Rawmaterial'!L811</f>
        <v>325</v>
      </c>
      <c r="N228" s="1649"/>
      <c r="O228" s="1649"/>
      <c r="P228" s="1649"/>
      <c r="Q228" s="1649"/>
      <c r="R228" s="772"/>
      <c r="T228" s="773"/>
      <c r="AR228" s="180"/>
    </row>
    <row r="229" spans="1:44" s="6" customFormat="1" ht="30" customHeight="1" x14ac:dyDescent="0.2">
      <c r="A229" s="2010"/>
      <c r="B229" s="2164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14</v>
      </c>
      <c r="G229" s="1954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7">
        <f>'Stock Rawmaterial'!J812</f>
        <v>0</v>
      </c>
      <c r="L229" s="80">
        <f>'Stock Rawmaterial'!K812</f>
        <v>0</v>
      </c>
      <c r="M229" s="1672">
        <f>'Stock Rawmaterial'!L812</f>
        <v>100</v>
      </c>
      <c r="N229" s="1649"/>
      <c r="O229" s="1649"/>
      <c r="P229" s="1649"/>
      <c r="Q229" s="1649"/>
      <c r="R229" s="772"/>
      <c r="T229" s="773"/>
      <c r="AR229" s="180"/>
    </row>
    <row r="230" spans="1:44" s="6" customFormat="1" ht="30" customHeight="1" x14ac:dyDescent="0.2">
      <c r="A230" s="2010"/>
      <c r="B230" s="2163"/>
      <c r="C230" s="1701" t="str">
        <f>'Stock Rawmaterial'!C813</f>
        <v>Feedmill</v>
      </c>
      <c r="D230" s="1154" t="str">
        <f>'Stock Rawmaterial'!D813</f>
        <v>Rec.</v>
      </c>
      <c r="E230" s="1692">
        <f>'Stock Rawmaterial'!E813</f>
        <v>46245</v>
      </c>
      <c r="F230" s="566">
        <f>'Stock Rawmaterial'!F813</f>
        <v>31</v>
      </c>
      <c r="G230" s="1955">
        <v>46863</v>
      </c>
      <c r="H230" s="1697">
        <f>'Stock Rawmaterial'!G813</f>
        <v>459.70999999999992</v>
      </c>
      <c r="I230" s="1697">
        <f>'Stock Rawmaterial'!H813</f>
        <v>0</v>
      </c>
      <c r="J230" s="1697">
        <f>'Stock Rawmaterial'!I813</f>
        <v>0</v>
      </c>
      <c r="K230" s="1700">
        <f>'Stock Rawmaterial'!J813</f>
        <v>0</v>
      </c>
      <c r="L230" s="567">
        <f>'Stock Rawmaterial'!K813</f>
        <v>0</v>
      </c>
      <c r="M230" s="1695">
        <f>'Stock Rawmaterial'!L813</f>
        <v>459.70999999999992</v>
      </c>
      <c r="N230" s="1650"/>
      <c r="O230" s="1650"/>
      <c r="P230" s="1650"/>
      <c r="Q230" s="1650"/>
      <c r="R230" s="498"/>
      <c r="T230" s="10"/>
      <c r="AR230" s="180"/>
    </row>
    <row r="231" spans="1:44" s="420" customFormat="1" ht="30" customHeight="1" x14ac:dyDescent="0.2">
      <c r="A231" s="2011" t="s">
        <v>1342</v>
      </c>
      <c r="B231" s="2012"/>
      <c r="C231" s="125"/>
      <c r="D231" s="1027"/>
      <c r="E231" s="1027"/>
      <c r="F231" s="896"/>
      <c r="G231" s="896"/>
      <c r="H231" s="234">
        <f t="shared" ref="H231:L231" si="37">+SUM(H226:H230)</f>
        <v>884.70999999999992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884.70999999999992</v>
      </c>
      <c r="N231" s="1648">
        <f>'Stock Rawmaterial'!M814</f>
        <v>2.0222222222222221</v>
      </c>
      <c r="O231" s="1648">
        <f>'Stock Rawmaterial'!N814</f>
        <v>437.49395604395602</v>
      </c>
      <c r="P231" s="1648">
        <f>'Stock Rawmaterial'!O814</f>
        <v>15.166666666666666</v>
      </c>
      <c r="Q231" s="1648">
        <f>'Stock Rawmaterial'!P814</f>
        <v>58.332527472527467</v>
      </c>
      <c r="R231" s="499"/>
      <c r="T231" s="500"/>
      <c r="AR231" s="181"/>
    </row>
    <row r="232" spans="1:44" s="6" customFormat="1" ht="30" hidden="1" customHeight="1" x14ac:dyDescent="0.2">
      <c r="A232" s="2018">
        <f>IF(M237=0,"",MAX($A$15:A231)+1)</f>
        <v>15</v>
      </c>
      <c r="B232" s="2161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224</v>
      </c>
      <c r="G232" s="1686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9"/>
      <c r="O232" s="1649"/>
      <c r="P232" s="1649"/>
      <c r="Q232" s="1649"/>
      <c r="R232" s="498"/>
      <c r="T232" s="10"/>
      <c r="AR232" s="180"/>
    </row>
    <row r="233" spans="1:44" s="6" customFormat="1" ht="30" hidden="1" customHeight="1" x14ac:dyDescent="0.2">
      <c r="A233" s="2010"/>
      <c r="B233" s="2163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46247</v>
      </c>
      <c r="F233" s="75">
        <f>'Stock Rawmaterial'!F1268</f>
        <v>29</v>
      </c>
      <c r="G233" s="1954">
        <v>46373</v>
      </c>
      <c r="H233" s="77">
        <f>'Stock Rawmaterial'!G1268</f>
        <v>50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25</v>
      </c>
      <c r="M233" s="77">
        <f>'Stock Rawmaterial'!L1268</f>
        <v>25</v>
      </c>
      <c r="N233" s="1649"/>
      <c r="O233" s="1649"/>
      <c r="P233" s="1649"/>
      <c r="Q233" s="1649"/>
      <c r="R233" s="498"/>
      <c r="T233" s="10"/>
      <c r="AR233" s="180"/>
    </row>
    <row r="234" spans="1:44" s="6" customFormat="1" ht="30" customHeight="1" x14ac:dyDescent="0.2">
      <c r="A234" s="2010"/>
      <c r="B234" s="2162"/>
      <c r="C234" s="114" t="str">
        <f>'Stock Rawmaterial'!C1269</f>
        <v>E3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14</v>
      </c>
      <c r="G234" s="1954">
        <v>46373</v>
      </c>
      <c r="H234" s="77">
        <f>'Stock Rawmaterial'!G1269</f>
        <v>100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100</v>
      </c>
      <c r="N234" s="1649"/>
      <c r="O234" s="1649"/>
      <c r="P234" s="1649"/>
      <c r="Q234" s="1649"/>
      <c r="R234" s="772"/>
      <c r="T234" s="773"/>
      <c r="AR234" s="180"/>
    </row>
    <row r="235" spans="1:44" s="6" customFormat="1" ht="30" customHeight="1" x14ac:dyDescent="0.2">
      <c r="A235" s="2010"/>
      <c r="B235" s="2164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29</v>
      </c>
      <c r="G235" s="1954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9"/>
      <c r="O235" s="1649"/>
      <c r="P235" s="1649"/>
      <c r="Q235" s="1649"/>
      <c r="R235" s="772"/>
      <c r="T235" s="773"/>
      <c r="AR235" s="180"/>
    </row>
    <row r="236" spans="1:44" s="6" customFormat="1" ht="30" customHeight="1" x14ac:dyDescent="0.2">
      <c r="A236" s="2010"/>
      <c r="B236" s="2163"/>
      <c r="C236" s="1701" t="str">
        <f>'Stock Rawmaterial'!C813</f>
        <v>Feedmill</v>
      </c>
      <c r="D236" s="1154" t="str">
        <f>'Stock Rawmaterial'!D813</f>
        <v>Rec.</v>
      </c>
      <c r="E236" s="1692">
        <f>'Stock Rawmaterial'!E1271</f>
        <v>46247</v>
      </c>
      <c r="F236" s="75">
        <f>'Stock Rawmaterial'!F1271</f>
        <v>29</v>
      </c>
      <c r="G236" s="1955">
        <v>46373</v>
      </c>
      <c r="H236" s="77">
        <f>'Stock Rawmaterial'!G1271</f>
        <v>9.4399999999999942</v>
      </c>
      <c r="I236" s="77">
        <f>'Stock Rawmaterial'!H1271</f>
        <v>0</v>
      </c>
      <c r="J236" s="77">
        <f>'Stock Rawmaterial'!I1271</f>
        <v>25</v>
      </c>
      <c r="K236" s="77">
        <f>'Stock Rawmaterial'!J1271</f>
        <v>10.08</v>
      </c>
      <c r="L236" s="77">
        <f>'Stock Rawmaterial'!K1271</f>
        <v>0</v>
      </c>
      <c r="M236" s="77">
        <f>'Stock Rawmaterial'!L1271</f>
        <v>24.36</v>
      </c>
      <c r="N236" s="1650"/>
      <c r="O236" s="1650"/>
      <c r="P236" s="1650"/>
      <c r="Q236" s="1650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11" t="s">
        <v>299</v>
      </c>
      <c r="B237" s="2012"/>
      <c r="C237" s="90"/>
      <c r="D237" s="93"/>
      <c r="E237" s="93"/>
      <c r="F237" s="94"/>
      <c r="G237" s="94"/>
      <c r="H237" s="234">
        <f t="shared" ref="H237:M237" si="39">+SUM(H232:H236)</f>
        <v>159.44</v>
      </c>
      <c r="I237" s="234">
        <f t="shared" si="39"/>
        <v>0</v>
      </c>
      <c r="J237" s="234">
        <f t="shared" si="39"/>
        <v>25</v>
      </c>
      <c r="K237" s="234">
        <f t="shared" si="39"/>
        <v>10.08</v>
      </c>
      <c r="L237" s="234">
        <f t="shared" si="39"/>
        <v>25</v>
      </c>
      <c r="M237" s="234">
        <f t="shared" si="39"/>
        <v>149.36000000000001</v>
      </c>
      <c r="N237" s="1648">
        <f>'Stock Rawmaterial'!M1272</f>
        <v>5.2577777777777781</v>
      </c>
      <c r="O237" s="1648">
        <f>'Stock Rawmaterial'!N1272</f>
        <v>28.407438715131022</v>
      </c>
      <c r="P237" s="1648">
        <f>'Stock Rawmaterial'!O1272</f>
        <v>5.5000000000000009</v>
      </c>
      <c r="Q237" s="1648">
        <f>'Stock Rawmaterial'!P1272</f>
        <v>27.156363636363633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9.1</v>
      </c>
      <c r="AR237" s="181"/>
    </row>
    <row r="238" spans="1:44" s="6" customFormat="1" ht="30" hidden="1" customHeight="1" x14ac:dyDescent="0.2">
      <c r="A238" s="2018">
        <f>IF(M243=0,"",MAX($A$15:A237)+1)</f>
        <v>16</v>
      </c>
      <c r="B238" s="2161" t="s">
        <v>1370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485</v>
      </c>
      <c r="G238" s="1686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7">
        <f>'Stock Rawmaterial'!J815</f>
        <v>0</v>
      </c>
      <c r="L238" s="80">
        <f>'Stock Rawmaterial'!K815</f>
        <v>0</v>
      </c>
      <c r="M238" s="1672">
        <f>'Stock Rawmaterial'!L815</f>
        <v>0</v>
      </c>
      <c r="N238" s="1649"/>
      <c r="O238" s="1649"/>
      <c r="P238" s="1649"/>
      <c r="Q238" s="1649"/>
      <c r="R238" s="498"/>
      <c r="T238" s="10"/>
      <c r="AR238" s="180"/>
    </row>
    <row r="239" spans="1:44" s="6" customFormat="1" ht="30" hidden="1" customHeight="1" x14ac:dyDescent="0.2">
      <c r="A239" s="2010"/>
      <c r="B239" s="2163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358</v>
      </c>
      <c r="G239" s="1686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7">
        <f>'Stock Rawmaterial'!J816</f>
        <v>0</v>
      </c>
      <c r="L239" s="80">
        <f>'Stock Rawmaterial'!K816</f>
        <v>0</v>
      </c>
      <c r="M239" s="1672">
        <f>'Stock Rawmaterial'!L816</f>
        <v>0</v>
      </c>
      <c r="N239" s="1649"/>
      <c r="O239" s="1649"/>
      <c r="P239" s="1649"/>
      <c r="Q239" s="1649"/>
      <c r="R239" s="498"/>
      <c r="T239" s="10"/>
      <c r="AR239" s="180"/>
    </row>
    <row r="240" spans="1:44" s="6" customFormat="1" ht="30" customHeight="1" x14ac:dyDescent="0.2">
      <c r="A240" s="2010"/>
      <c r="B240" s="2162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178</v>
      </c>
      <c r="G240" s="1954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7">
        <f>'Stock Rawmaterial'!J817</f>
        <v>0</v>
      </c>
      <c r="L240" s="80">
        <f>'Stock Rawmaterial'!K817</f>
        <v>0</v>
      </c>
      <c r="M240" s="1672">
        <f>'Stock Rawmaterial'!L817</f>
        <v>100</v>
      </c>
      <c r="N240" s="1649"/>
      <c r="O240" s="1649"/>
      <c r="P240" s="1649"/>
      <c r="Q240" s="1649"/>
      <c r="R240" s="772"/>
      <c r="T240" s="773"/>
      <c r="AR240" s="180"/>
    </row>
    <row r="241" spans="1:44" s="6" customFormat="1" ht="30" hidden="1" customHeight="1" x14ac:dyDescent="0.2">
      <c r="A241" s="2010"/>
      <c r="B241" s="2164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178</v>
      </c>
      <c r="G241" s="1956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7">
        <f>'Stock Rawmaterial'!J818</f>
        <v>0</v>
      </c>
      <c r="L241" s="80">
        <f>'Stock Rawmaterial'!K818</f>
        <v>0</v>
      </c>
      <c r="M241" s="1672">
        <f>'Stock Rawmaterial'!L818</f>
        <v>0</v>
      </c>
      <c r="N241" s="1649"/>
      <c r="O241" s="1649"/>
      <c r="P241" s="1649"/>
      <c r="Q241" s="1649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10"/>
      <c r="B242" s="2163"/>
      <c r="C242" s="1701" t="str">
        <f>'Stock Rawmaterial'!C819</f>
        <v>Feedmill</v>
      </c>
      <c r="D242" s="1154" t="str">
        <f>'Stock Rawmaterial'!D819</f>
        <v>Rec.</v>
      </c>
      <c r="E242" s="1692">
        <f>'Stock Rawmaterial'!E819</f>
        <v>46098</v>
      </c>
      <c r="F242" s="566">
        <f>'Stock Rawmaterial'!F819</f>
        <v>178</v>
      </c>
      <c r="G242" s="1955">
        <v>46695</v>
      </c>
      <c r="H242" s="1697">
        <f>'Stock Rawmaterial'!G819</f>
        <v>15.639999999999997</v>
      </c>
      <c r="I242" s="1697">
        <f>'Stock Rawmaterial'!H819</f>
        <v>0</v>
      </c>
      <c r="J242" s="1697">
        <f>'Stock Rawmaterial'!I819</f>
        <v>0</v>
      </c>
      <c r="K242" s="1700">
        <f>'Stock Rawmaterial'!J819</f>
        <v>0</v>
      </c>
      <c r="L242" s="567">
        <f>'Stock Rawmaterial'!K819</f>
        <v>0</v>
      </c>
      <c r="M242" s="1695">
        <f>'Stock Rawmaterial'!L819</f>
        <v>15.639999999999997</v>
      </c>
      <c r="N242" s="1650"/>
      <c r="O242" s="1650"/>
      <c r="P242" s="1650"/>
      <c r="Q242" s="1650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79" t="s">
        <v>1371</v>
      </c>
      <c r="B243" s="2280"/>
      <c r="C243" s="1933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115.64</v>
      </c>
      <c r="N243" s="1648">
        <f>'Stock Rawmaterial'!M820</f>
        <v>5.1333333333333337</v>
      </c>
      <c r="O243" s="1648">
        <f>'Stock Rawmaterial'!N820</f>
        <v>22.527272727272727</v>
      </c>
      <c r="P243" s="1648">
        <f>'Stock Rawmaterial'!O820</f>
        <v>0</v>
      </c>
      <c r="Q243" s="1648">
        <f>'Stock Rawmaterial'!P820</f>
        <v>0</v>
      </c>
      <c r="R243" s="234" t="str">
        <f>'Stock Rawmaterial'!Q820</f>
        <v>APA Enmy P</v>
      </c>
      <c r="S243" s="234">
        <f>'Stock Rawmaterial'!R820</f>
        <v>23.1</v>
      </c>
      <c r="T243" s="234">
        <f>'Stock Rawmaterial'!S820</f>
        <v>0</v>
      </c>
      <c r="AR243" s="181"/>
    </row>
    <row r="244" spans="1:44" s="6" customFormat="1" ht="30" customHeight="1" x14ac:dyDescent="0.2">
      <c r="A244" s="2286">
        <f>IF(M247=0,"",MAX($A$15:A243)+1)</f>
        <v>17</v>
      </c>
      <c r="B244" s="2283" t="s">
        <v>1757</v>
      </c>
      <c r="C244" s="1935" t="str">
        <f>'Stock Rawmaterial'!C1582</f>
        <v>D2</v>
      </c>
      <c r="D244" s="916" t="str">
        <f>'Stock Rawmaterial'!D821</f>
        <v>Rec.</v>
      </c>
      <c r="E244" s="935">
        <f>'Stock Rawmaterial'!E1582</f>
        <v>46270</v>
      </c>
      <c r="F244" s="75">
        <f>'Stock Rawmaterial'!F1582</f>
        <v>6</v>
      </c>
      <c r="G244" s="1954">
        <v>46938</v>
      </c>
      <c r="H244" s="77">
        <f>'Stock Rawmaterial'!G1582</f>
        <v>20</v>
      </c>
      <c r="I244" s="77">
        <f>'Stock Rawmaterial'!H1582</f>
        <v>0</v>
      </c>
      <c r="J244" s="77">
        <f>'Stock Rawmaterial'!I1582</f>
        <v>0</v>
      </c>
      <c r="K244" s="77">
        <f>'Stock Rawmaterial'!J1582</f>
        <v>0</v>
      </c>
      <c r="L244" s="77">
        <f>'Stock Rawmaterial'!K1582</f>
        <v>0</v>
      </c>
      <c r="M244" s="77">
        <f>'Stock Rawmaterial'!L1582</f>
        <v>20</v>
      </c>
      <c r="N244" s="1649"/>
      <c r="O244" s="1649"/>
      <c r="P244" s="1649"/>
      <c r="Q244" s="1649"/>
      <c r="R244" s="772"/>
      <c r="T244" s="773"/>
      <c r="AR244" s="180"/>
    </row>
    <row r="245" spans="1:44" s="6" customFormat="1" ht="30" hidden="1" customHeight="1" x14ac:dyDescent="0.2">
      <c r="A245" s="2287"/>
      <c r="B245" s="2284"/>
      <c r="C245" s="114">
        <f>'Stock Rawmaterial'!C1583</f>
        <v>0</v>
      </c>
      <c r="D245" s="916" t="str">
        <f>'Stock Rawmaterial'!D822</f>
        <v>Rec.</v>
      </c>
      <c r="E245" s="935">
        <f>'Stock Rawmaterial'!E1583</f>
        <v>46017</v>
      </c>
      <c r="F245" s="75">
        <f>'Stock Rawmaterial'!F1583</f>
        <v>259</v>
      </c>
      <c r="G245" s="1954">
        <v>46207</v>
      </c>
      <c r="H245" s="77">
        <f>'Stock Rawmaterial'!G1583</f>
        <v>0</v>
      </c>
      <c r="I245" s="77">
        <f>'Stock Rawmaterial'!H1583</f>
        <v>0</v>
      </c>
      <c r="J245" s="77">
        <f>'Stock Rawmaterial'!I1583</f>
        <v>0</v>
      </c>
      <c r="K245" s="77">
        <f>'Stock Rawmaterial'!J1583</f>
        <v>0</v>
      </c>
      <c r="L245" s="77">
        <f>'Stock Rawmaterial'!K1583</f>
        <v>0</v>
      </c>
      <c r="M245" s="77">
        <f>'Stock Rawmaterial'!L1583</f>
        <v>0</v>
      </c>
      <c r="N245" s="1649"/>
      <c r="O245" s="1649"/>
      <c r="P245" s="1649"/>
      <c r="Q245" s="1649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88"/>
      <c r="B246" s="2285"/>
      <c r="C246" s="1701" t="str">
        <f>'Stock Rawmaterial'!C1584</f>
        <v>Feedmil</v>
      </c>
      <c r="D246" s="1932" t="str">
        <f>'Stock Rawmaterial'!D823</f>
        <v>Rec.</v>
      </c>
      <c r="E246" s="935">
        <f>'Stock Rawmaterial'!E1584</f>
        <v>46254</v>
      </c>
      <c r="F246" s="75">
        <f>'Stock Rawmaterial'!F1584</f>
        <v>22</v>
      </c>
      <c r="G246" s="1955">
        <v>46938</v>
      </c>
      <c r="H246" s="77">
        <f>'Stock Rawmaterial'!G1584</f>
        <v>7.3999999999999995</v>
      </c>
      <c r="I246" s="77">
        <f>'Stock Rawmaterial'!H1584</f>
        <v>0</v>
      </c>
      <c r="J246" s="77">
        <f>'Stock Rawmaterial'!I1584</f>
        <v>0</v>
      </c>
      <c r="K246" s="77">
        <f>'Stock Rawmaterial'!J1584</f>
        <v>0</v>
      </c>
      <c r="L246" s="77">
        <f>'Stock Rawmaterial'!K1584</f>
        <v>0</v>
      </c>
      <c r="M246" s="77">
        <f>'Stock Rawmaterial'!L1584</f>
        <v>7.3999999999999995</v>
      </c>
      <c r="N246" s="1650"/>
      <c r="O246" s="1650"/>
      <c r="P246" s="1650"/>
      <c r="Q246" s="1650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1" t="s">
        <v>1762</v>
      </c>
      <c r="B247" s="2282"/>
      <c r="C247" s="1934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8">
        <f>'Stock Rawmaterial'!M1585</f>
        <v>0.71111111111111114</v>
      </c>
      <c r="O247" s="1648">
        <f>'Stock Rawmaterial'!N1585</f>
        <v>38.53125</v>
      </c>
      <c r="P247" s="1648">
        <f>'Stock Rawmaterial'!O1585</f>
        <v>0</v>
      </c>
      <c r="Q247" s="1648">
        <f>'Stock Rawmaterial'!P1585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64" t="s">
        <v>453</v>
      </c>
      <c r="B248" s="2278"/>
      <c r="C248" s="2264"/>
      <c r="D248" s="2265"/>
      <c r="E248" s="2265"/>
      <c r="F248" s="2266"/>
      <c r="G248" s="1683"/>
      <c r="H248" s="534">
        <f t="shared" ref="H248:M248" si="43">+H24+H32+H39+H47+H53+H60+H75+H82+H89+H115+H122+H131+H139+H145+H153+H161+H168+H174+H180+H188+H194+H201+H207+H213+H219+H225+H69+H231+H104+H96+H243+H237+H109+H247</f>
        <v>19752.169999999998</v>
      </c>
      <c r="I248" s="534">
        <f t="shared" si="43"/>
        <v>0</v>
      </c>
      <c r="J248" s="534">
        <f t="shared" si="43"/>
        <v>505</v>
      </c>
      <c r="K248" s="534">
        <f t="shared" si="43"/>
        <v>401.85999999999996</v>
      </c>
      <c r="L248" s="534">
        <f t="shared" si="43"/>
        <v>505</v>
      </c>
      <c r="M248" s="534">
        <f t="shared" si="43"/>
        <v>19350.309999999998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Rawmaterial'!L1585</f>
        <v>19350.310000000001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189" t="s">
        <v>332</v>
      </c>
      <c r="B251" s="2189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189" t="s">
        <v>1471</v>
      </c>
      <c r="B252" s="2189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189" t="s">
        <v>1472</v>
      </c>
      <c r="B253" s="2189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189"/>
      <c r="B254" s="2189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189"/>
      <c r="B255" s="2189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189"/>
      <c r="B256" s="2189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53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73" sqref="I73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156" t="s">
        <v>445</v>
      </c>
      <c r="B1" s="2156"/>
      <c r="C1" s="2156"/>
      <c r="D1" s="2156"/>
      <c r="E1" s="2156"/>
      <c r="F1" s="2156"/>
      <c r="G1" s="2156"/>
      <c r="H1" s="2156"/>
      <c r="I1" s="2156"/>
      <c r="J1" s="2156"/>
      <c r="K1" s="2156"/>
      <c r="L1" s="2156"/>
      <c r="M1" s="2156"/>
      <c r="N1" s="2156"/>
      <c r="O1" s="2156"/>
      <c r="P1" s="2156"/>
      <c r="Q1" s="784"/>
      <c r="R1" s="785"/>
      <c r="S1" s="1571"/>
      <c r="T1" s="794"/>
      <c r="U1" s="794"/>
      <c r="V1" s="794"/>
      <c r="W1" s="1572"/>
      <c r="X1" s="1573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157" t="s">
        <v>446</v>
      </c>
      <c r="B2" s="2157"/>
      <c r="C2" s="2157"/>
      <c r="D2" s="2157"/>
      <c r="E2" s="2157"/>
      <c r="F2" s="2157"/>
      <c r="G2" s="2157"/>
      <c r="H2" s="2157"/>
      <c r="I2" s="2157"/>
      <c r="J2" s="2157"/>
      <c r="K2" s="2157"/>
      <c r="L2" s="2157"/>
      <c r="M2" s="2157"/>
      <c r="N2" s="2157"/>
      <c r="O2" s="2157"/>
      <c r="P2" s="2157"/>
      <c r="Q2" s="784"/>
      <c r="R2" s="785"/>
      <c r="S2" s="1238"/>
      <c r="T2" s="794"/>
      <c r="U2" s="794"/>
      <c r="V2" s="794"/>
      <c r="W2" s="1572"/>
      <c r="X2" s="1573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10" t="s">
        <v>133</v>
      </c>
      <c r="B3" s="1510"/>
      <c r="C3" s="1510"/>
      <c r="D3" s="1510"/>
      <c r="E3" s="1510"/>
      <c r="F3" s="1511"/>
      <c r="G3" s="1512"/>
      <c r="H3" s="1513"/>
      <c r="I3" s="1512"/>
      <c r="J3" s="1514"/>
      <c r="K3" s="1515" t="s">
        <v>1483</v>
      </c>
      <c r="L3" s="1512"/>
      <c r="M3" s="1516" t="s">
        <v>1481</v>
      </c>
      <c r="N3" s="1458">
        <f>'Stock Rawmaterial'!N3</f>
        <v>46265</v>
      </c>
      <c r="O3" s="323" t="s">
        <v>463</v>
      </c>
      <c r="P3" s="1517">
        <f>'Stock Rawmaterial'!P3</f>
        <v>46271</v>
      </c>
      <c r="Q3" s="784"/>
      <c r="R3" s="785"/>
      <c r="S3" s="1571"/>
      <c r="T3" s="794"/>
      <c r="U3" s="1572"/>
      <c r="V3" s="794"/>
      <c r="W3" s="1572"/>
      <c r="X3" s="1573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8" t="s">
        <v>1484</v>
      </c>
      <c r="L4" s="7"/>
      <c r="M4" s="1516" t="s">
        <v>1481</v>
      </c>
      <c r="N4" s="1458">
        <f>'Stock Rawmaterial'!N4</f>
        <v>46272</v>
      </c>
      <c r="O4" s="323" t="s">
        <v>463</v>
      </c>
      <c r="P4" s="1517">
        <f>'Stock Rawmaterial'!P4</f>
        <v>46277</v>
      </c>
      <c r="Q4" s="784"/>
      <c r="R4" s="785"/>
      <c r="S4" s="1571"/>
      <c r="T4" s="794"/>
      <c r="U4" s="794"/>
      <c r="V4" s="794"/>
      <c r="W4" s="1572"/>
      <c r="X4" s="1573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9"/>
      <c r="N5" s="1520"/>
      <c r="O5" s="368"/>
      <c r="P5" s="1517"/>
      <c r="Q5" s="784"/>
      <c r="R5" s="785"/>
      <c r="S5" s="1571"/>
      <c r="T5" s="794"/>
      <c r="U5" s="794"/>
      <c r="V5" s="794"/>
      <c r="W5" s="1572"/>
      <c r="X5" s="1574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7" t="s">
        <v>1478</v>
      </c>
      <c r="B6" s="6" t="s">
        <v>1799</v>
      </c>
      <c r="C6" s="2176" t="s">
        <v>134</v>
      </c>
      <c r="D6" s="2176"/>
      <c r="E6" s="2176"/>
      <c r="F6" s="2176"/>
      <c r="G6" s="2176"/>
      <c r="H6" s="2176"/>
      <c r="I6" s="2176"/>
      <c r="J6" s="2176"/>
      <c r="K6" s="153"/>
      <c r="L6" s="623"/>
      <c r="M6" s="1443"/>
      <c r="N6" s="545"/>
      <c r="O6" s="1443"/>
      <c r="P6" s="1520"/>
      <c r="Q6" s="784"/>
      <c r="R6" s="785"/>
      <c r="S6" s="1571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7" t="s">
        <v>1479</v>
      </c>
      <c r="B7" s="6" t="s">
        <v>1800</v>
      </c>
      <c r="C7" s="2176" t="s">
        <v>1448</v>
      </c>
      <c r="D7" s="2176"/>
      <c r="E7" s="2176"/>
      <c r="F7" s="2176"/>
      <c r="G7" s="2176"/>
      <c r="H7" s="2176"/>
      <c r="I7" s="2176"/>
      <c r="J7" s="2176"/>
      <c r="K7" s="1503" t="s">
        <v>1482</v>
      </c>
      <c r="L7" s="386">
        <f>'Stock Rawmaterial'!L7</f>
        <v>46276</v>
      </c>
      <c r="M7" s="2181" t="s">
        <v>1462</v>
      </c>
      <c r="N7" s="2182"/>
      <c r="O7" s="2179" t="s">
        <v>1464</v>
      </c>
      <c r="P7" s="2180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7" t="s">
        <v>1480</v>
      </c>
      <c r="B8" s="6" t="s">
        <v>1470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84" t="s">
        <v>1463</v>
      </c>
      <c r="N8" s="2185"/>
      <c r="O8" s="2177" t="s">
        <v>1465</v>
      </c>
      <c r="P8" s="2178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158"/>
      <c r="B10" s="2158"/>
      <c r="C10" s="2158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  <c r="O10" s="2158"/>
      <c r="P10" s="2158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59" t="s">
        <v>1449</v>
      </c>
      <c r="B12" s="2144" t="s">
        <v>1</v>
      </c>
      <c r="C12" s="2172" t="s">
        <v>41</v>
      </c>
      <c r="D12" s="2150" t="s">
        <v>1447</v>
      </c>
      <c r="E12" s="2170"/>
      <c r="F12" s="2142" t="s">
        <v>6</v>
      </c>
      <c r="G12" s="1509" t="s">
        <v>5</v>
      </c>
      <c r="H12" s="1509" t="s">
        <v>11</v>
      </c>
      <c r="I12" s="1526" t="s">
        <v>316</v>
      </c>
      <c r="J12" s="1527" t="s">
        <v>307</v>
      </c>
      <c r="K12" s="1526" t="s">
        <v>315</v>
      </c>
      <c r="L12" s="1526" t="s">
        <v>12</v>
      </c>
      <c r="M12" s="1506" t="s">
        <v>313</v>
      </c>
      <c r="N12" s="2186" t="s">
        <v>1458</v>
      </c>
      <c r="O12" s="1506" t="s">
        <v>314</v>
      </c>
      <c r="P12" s="2139" t="s">
        <v>1458</v>
      </c>
      <c r="Q12" s="432"/>
      <c r="R12" s="433"/>
      <c r="S12" s="434"/>
      <c r="T12" s="2312"/>
      <c r="U12" s="2312"/>
      <c r="V12" s="2312"/>
    </row>
    <row r="13" spans="1:45" s="397" customFormat="1" ht="34.5" customHeight="1" x14ac:dyDescent="0.2">
      <c r="A13" s="2160"/>
      <c r="B13" s="2145"/>
      <c r="C13" s="2173"/>
      <c r="D13" s="2151"/>
      <c r="E13" s="2171"/>
      <c r="F13" s="2143"/>
      <c r="G13" s="1499" t="s">
        <v>1455</v>
      </c>
      <c r="H13" s="1499" t="s">
        <v>1485</v>
      </c>
      <c r="I13" s="1498" t="s">
        <v>1466</v>
      </c>
      <c r="J13" s="1522" t="s">
        <v>1461</v>
      </c>
      <c r="K13" s="1498" t="s">
        <v>1467</v>
      </c>
      <c r="L13" s="1498" t="s">
        <v>1456</v>
      </c>
      <c r="M13" s="1523" t="s">
        <v>1457</v>
      </c>
      <c r="N13" s="2187"/>
      <c r="O13" s="1523" t="s">
        <v>1460</v>
      </c>
      <c r="P13" s="2140"/>
      <c r="Q13" s="432"/>
      <c r="R13" s="433"/>
      <c r="S13" s="434"/>
    </row>
    <row r="14" spans="1:45" s="397" customFormat="1" ht="34.5" customHeight="1" x14ac:dyDescent="0.2">
      <c r="A14" s="2148" t="s">
        <v>1450</v>
      </c>
      <c r="B14" s="2146" t="s">
        <v>1451</v>
      </c>
      <c r="C14" s="2150" t="s">
        <v>1452</v>
      </c>
      <c r="D14" s="2148" t="s">
        <v>1453</v>
      </c>
      <c r="E14" s="2152"/>
      <c r="F14" s="2154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8" t="s">
        <v>1459</v>
      </c>
      <c r="O14" s="1501" t="s">
        <v>308</v>
      </c>
      <c r="P14" s="2146" t="s">
        <v>1459</v>
      </c>
      <c r="Q14" s="432"/>
      <c r="R14" s="433"/>
      <c r="S14" s="434"/>
    </row>
    <row r="15" spans="1:45" s="397" customFormat="1" ht="34.5" customHeight="1" x14ac:dyDescent="0.2">
      <c r="A15" s="2149"/>
      <c r="B15" s="2147"/>
      <c r="C15" s="2151"/>
      <c r="D15" s="2304"/>
      <c r="E15" s="2305"/>
      <c r="F15" s="2306"/>
      <c r="G15" s="1528" t="s">
        <v>1468</v>
      </c>
      <c r="H15" s="1528" t="s">
        <v>1468</v>
      </c>
      <c r="I15" s="1528" t="s">
        <v>1468</v>
      </c>
      <c r="J15" s="1528" t="s">
        <v>1468</v>
      </c>
      <c r="K15" s="1528" t="s">
        <v>1468</v>
      </c>
      <c r="L15" s="1528" t="s">
        <v>1468</v>
      </c>
      <c r="M15" s="1523" t="s">
        <v>1469</v>
      </c>
      <c r="N15" s="2307"/>
      <c r="O15" s="1529" t="s">
        <v>1469</v>
      </c>
      <c r="P15" s="2308"/>
      <c r="Q15" s="432"/>
      <c r="R15" s="433"/>
      <c r="S15" s="434"/>
    </row>
    <row r="16" spans="1:45" ht="30" customHeight="1" x14ac:dyDescent="0.2">
      <c r="A16" s="2086">
        <v>1</v>
      </c>
      <c r="B16" s="2073" t="s">
        <v>882</v>
      </c>
      <c r="C16" s="109" t="str">
        <f>'Stock Rawmaterial'!C597</f>
        <v>LM2</v>
      </c>
      <c r="D16" s="943" t="s">
        <v>10</v>
      </c>
      <c r="E16" s="1533">
        <f>'Stock Rawmaterial'!E597</f>
        <v>46191</v>
      </c>
      <c r="F16" s="1531">
        <f>'Stock Rawmaterial'!F597</f>
        <v>85</v>
      </c>
      <c r="G16" s="1651">
        <f>'Stock Rawmaterial'!G597</f>
        <v>188290</v>
      </c>
      <c r="H16" s="1652">
        <f>'Stock Rawmaterial'!H597</f>
        <v>33430</v>
      </c>
      <c r="I16" s="1652">
        <f>'Stock Rawmaterial'!I597</f>
        <v>0</v>
      </c>
      <c r="J16" s="1652">
        <f>'Stock Rawmaterial'!J597</f>
        <v>4058</v>
      </c>
      <c r="K16" s="1652">
        <f>'Stock Rawmaterial'!K597</f>
        <v>0</v>
      </c>
      <c r="L16" s="1651">
        <f>'Stock Rawmaterial'!L597</f>
        <v>217662</v>
      </c>
      <c r="M16" s="1532">
        <f>'Stock Rawmaterial'!M597</f>
        <v>0</v>
      </c>
      <c r="N16" s="1532">
        <f>'Stock Rawmaterial'!N597</f>
        <v>0</v>
      </c>
      <c r="O16" s="1532">
        <f>'Stock Rawmaterial'!O597</f>
        <v>0</v>
      </c>
      <c r="P16" s="1532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072"/>
      <c r="B17" s="2052"/>
      <c r="C17" s="61" t="s">
        <v>178</v>
      </c>
      <c r="D17" s="884" t="s">
        <v>10</v>
      </c>
      <c r="E17" s="885"/>
      <c r="F17" s="356"/>
      <c r="G17" s="1653"/>
      <c r="H17" s="1622"/>
      <c r="I17" s="303">
        <v>0</v>
      </c>
      <c r="J17" s="303"/>
      <c r="K17" s="303"/>
      <c r="L17" s="303"/>
      <c r="M17" s="331"/>
      <c r="N17" s="1530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27" t="s">
        <v>116</v>
      </c>
      <c r="B18" s="2028"/>
      <c r="C18" s="88"/>
      <c r="D18" s="864"/>
      <c r="E18" s="864"/>
      <c r="F18" s="865"/>
      <c r="G18" s="1586">
        <f>'Stock Rawmaterial'!G599</f>
        <v>188290</v>
      </c>
      <c r="H18" s="1586">
        <f>'Stock Rawmaterial'!H599</f>
        <v>33430</v>
      </c>
      <c r="I18" s="1586">
        <f>'Stock Rawmaterial'!I599</f>
        <v>0</v>
      </c>
      <c r="J18" s="1586">
        <f>'Stock Rawmaterial'!J599</f>
        <v>4058</v>
      </c>
      <c r="K18" s="1586">
        <f>'Stock Rawmaterial'!K599</f>
        <v>0</v>
      </c>
      <c r="L18" s="1586">
        <f>'Stock Rawmaterial'!L599</f>
        <v>217662</v>
      </c>
      <c r="M18" s="1790">
        <f>'Stock Rawmaterial'!M599</f>
        <v>6274</v>
      </c>
      <c r="N18" s="1535">
        <f>'Stock Rawmaterial'!N599</f>
        <v>34.692700031877592</v>
      </c>
      <c r="O18" s="1790">
        <f>'Stock Rawmaterial'!O599</f>
        <v>6326.0000000000009</v>
      </c>
      <c r="P18" s="1535">
        <f>'Stock Rawmaterial'!P599</f>
        <v>34.407524502055004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31">
        <v>2</v>
      </c>
      <c r="B19" s="2051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143</v>
      </c>
      <c r="G19" s="1654">
        <f>'Stock Rawmaterial'!G600</f>
        <v>16125</v>
      </c>
      <c r="H19" s="1654">
        <f>'Stock Rawmaterial'!H600</f>
        <v>0</v>
      </c>
      <c r="I19" s="1654">
        <f>'Stock Rawmaterial'!I600</f>
        <v>0</v>
      </c>
      <c r="J19" s="1654">
        <f>'Stock Rawmaterial'!J600</f>
        <v>241</v>
      </c>
      <c r="K19" s="1654">
        <f>'Stock Rawmaterial'!K600</f>
        <v>0</v>
      </c>
      <c r="L19" s="1654">
        <f>'Stock Rawmaterial'!L600</f>
        <v>15884</v>
      </c>
      <c r="M19" s="1791"/>
      <c r="N19" s="1537"/>
      <c r="O19" s="1791"/>
      <c r="P19" s="1536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32"/>
      <c r="B20" s="2052"/>
      <c r="C20" s="138"/>
      <c r="D20" s="946" t="s">
        <v>10</v>
      </c>
      <c r="E20" s="947"/>
      <c r="F20" s="39"/>
      <c r="G20" s="1655"/>
      <c r="H20" s="35"/>
      <c r="I20" s="299">
        <v>0</v>
      </c>
      <c r="J20" s="299"/>
      <c r="K20" s="299"/>
      <c r="L20" s="299"/>
      <c r="M20" s="43"/>
      <c r="N20" s="1539"/>
      <c r="O20" s="43"/>
      <c r="P20" s="1538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27" t="s">
        <v>131</v>
      </c>
      <c r="B21" s="2028"/>
      <c r="C21" s="88"/>
      <c r="D21" s="864"/>
      <c r="E21" s="864"/>
      <c r="F21" s="865"/>
      <c r="G21" s="1586">
        <f>'Stock Rawmaterial'!G602</f>
        <v>16125</v>
      </c>
      <c r="H21" s="1586">
        <f>'Stock Rawmaterial'!H602</f>
        <v>0</v>
      </c>
      <c r="I21" s="1586">
        <f>'Stock Rawmaterial'!I602</f>
        <v>0</v>
      </c>
      <c r="J21" s="1586">
        <f>'Stock Rawmaterial'!J602</f>
        <v>241</v>
      </c>
      <c r="K21" s="1586">
        <f>'Stock Rawmaterial'!K602</f>
        <v>0</v>
      </c>
      <c r="L21" s="1586">
        <f>'Stock Rawmaterial'!L602</f>
        <v>15884</v>
      </c>
      <c r="M21" s="1790">
        <f>'Stock Rawmaterial'!M602</f>
        <v>1539.7777777777778</v>
      </c>
      <c r="N21" s="1535">
        <f>'Stock Rawmaterial'!N602</f>
        <v>10.315774282003174</v>
      </c>
      <c r="O21" s="1790">
        <f>'Stock Rawmaterial'!O602</f>
        <v>1226.6666666666667</v>
      </c>
      <c r="P21" s="1535">
        <f>'Stock Rawmaterial'!P602</f>
        <v>12.94891304347826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9">
        <v>3</v>
      </c>
      <c r="B22" s="2074" t="s">
        <v>92</v>
      </c>
      <c r="C22" s="118" t="s">
        <v>77</v>
      </c>
      <c r="D22" s="910" t="s">
        <v>10</v>
      </c>
      <c r="E22" s="890">
        <f>+'Stock Rawmaterial'!E603</f>
        <v>46272</v>
      </c>
      <c r="F22" s="856">
        <f>'Stock Rawmaterial'!F603</f>
        <v>4</v>
      </c>
      <c r="G22" s="304">
        <f>'Stock Rawmaterial'!G603</f>
        <v>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0</v>
      </c>
      <c r="M22" s="1792"/>
      <c r="N22" s="1541"/>
      <c r="O22" s="1792"/>
      <c r="P22" s="1540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30"/>
      <c r="B23" s="2075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147</v>
      </c>
      <c r="G23" s="304">
        <f>'Stock Rawmaterial'!G604</f>
        <v>189031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15979</v>
      </c>
      <c r="K23" s="304">
        <f>'Stock Rawmaterial'!K604</f>
        <v>0</v>
      </c>
      <c r="L23" s="304">
        <f>'Stock Rawmaterial'!L604</f>
        <v>173052</v>
      </c>
      <c r="M23" s="1792"/>
      <c r="N23" s="1541"/>
      <c r="O23" s="1792"/>
      <c r="P23" s="1542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30"/>
      <c r="B24" s="2075"/>
      <c r="C24" s="118" t="s">
        <v>127</v>
      </c>
      <c r="D24" s="852" t="s">
        <v>10</v>
      </c>
      <c r="E24" s="853"/>
      <c r="F24" s="856"/>
      <c r="G24" s="1656"/>
      <c r="H24" s="172"/>
      <c r="I24" s="297">
        <v>0</v>
      </c>
      <c r="J24" s="297"/>
      <c r="K24" s="297"/>
      <c r="L24" s="297"/>
      <c r="M24" s="1792"/>
      <c r="N24" s="1543"/>
      <c r="O24" s="1793"/>
      <c r="P24" s="1542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30"/>
      <c r="B25" s="2075"/>
      <c r="C25" s="118" t="s">
        <v>209</v>
      </c>
      <c r="D25" s="852" t="s">
        <v>10</v>
      </c>
      <c r="E25" s="853"/>
      <c r="F25" s="856"/>
      <c r="G25" s="1656"/>
      <c r="H25" s="172"/>
      <c r="I25" s="297">
        <v>0</v>
      </c>
      <c r="J25" s="297"/>
      <c r="K25" s="297"/>
      <c r="L25" s="297"/>
      <c r="M25" s="1792"/>
      <c r="N25" s="1543"/>
      <c r="O25" s="1793"/>
      <c r="P25" s="1542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1"/>
      <c r="B26" s="2076"/>
      <c r="C26" s="118"/>
      <c r="D26" s="852" t="s">
        <v>10</v>
      </c>
      <c r="E26" s="853"/>
      <c r="F26" s="856"/>
      <c r="G26" s="1656"/>
      <c r="H26" s="172"/>
      <c r="I26" s="297">
        <v>0</v>
      </c>
      <c r="J26" s="297"/>
      <c r="K26" s="297"/>
      <c r="L26" s="297"/>
      <c r="M26" s="1792"/>
      <c r="N26" s="1543"/>
      <c r="O26" s="1793"/>
      <c r="P26" s="1542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7"/>
      <c r="H27" s="1658"/>
      <c r="I27" s="325"/>
      <c r="J27" s="325">
        <f t="shared" ref="J27:P27" si="0">+SUM(J22:J26)</f>
        <v>15979</v>
      </c>
      <c r="K27" s="325">
        <f t="shared" si="0"/>
        <v>0</v>
      </c>
      <c r="L27" s="325">
        <f t="shared" si="0"/>
        <v>173052</v>
      </c>
      <c r="M27" s="1794">
        <f t="shared" si="0"/>
        <v>0</v>
      </c>
      <c r="N27" s="1666">
        <f t="shared" si="0"/>
        <v>0</v>
      </c>
      <c r="O27" s="1794">
        <f t="shared" si="0"/>
        <v>0</v>
      </c>
      <c r="P27" s="1666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9"/>
      <c r="H28" s="1660"/>
      <c r="I28" s="1056">
        <v>0</v>
      </c>
      <c r="J28" s="1056"/>
      <c r="K28" s="1056"/>
      <c r="L28" s="1056"/>
      <c r="M28" s="1811"/>
      <c r="N28" s="1544"/>
      <c r="O28" s="1795"/>
      <c r="P28" s="1545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27" t="s">
        <v>348</v>
      </c>
      <c r="B29" s="2028"/>
      <c r="C29" s="88"/>
      <c r="D29" s="864"/>
      <c r="E29" s="864"/>
      <c r="F29" s="865"/>
      <c r="G29" s="1586">
        <f>G22+G23</f>
        <v>189031</v>
      </c>
      <c r="H29" s="1586">
        <f t="shared" ref="H29:L29" si="1">H22+H23</f>
        <v>0</v>
      </c>
      <c r="I29" s="1586">
        <f t="shared" si="1"/>
        <v>0</v>
      </c>
      <c r="J29" s="1586">
        <f t="shared" si="1"/>
        <v>15979</v>
      </c>
      <c r="K29" s="1586">
        <f t="shared" si="1"/>
        <v>0</v>
      </c>
      <c r="L29" s="1586">
        <f t="shared" si="1"/>
        <v>173052</v>
      </c>
      <c r="M29" s="133">
        <f>'Stock Rawmaterial'!M608</f>
        <v>14128.222222222223</v>
      </c>
      <c r="N29" s="1546">
        <f>'Stock Rawmaterial'!N608</f>
        <v>12.248674835239159</v>
      </c>
      <c r="O29" s="133">
        <f>'Stock Rawmaterial'!O608</f>
        <v>13715.833333333334</v>
      </c>
      <c r="P29" s="1546">
        <f>'Stock Rawmaterial'!P608</f>
        <v>12.6169512121028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48</v>
      </c>
      <c r="G30" s="304">
        <f>'Stock Rawmaterial'!G609</f>
        <v>373858.07</v>
      </c>
      <c r="H30" s="304">
        <f>'Stock Rawmaterial'!H609</f>
        <v>33880</v>
      </c>
      <c r="I30" s="304">
        <f>'Stock Rawmaterial'!I609</f>
        <v>0</v>
      </c>
      <c r="J30" s="304">
        <f>'Stock Rawmaterial'!J609</f>
        <v>25299.67</v>
      </c>
      <c r="K30" s="304">
        <f>'Stock Rawmaterial'!K609</f>
        <v>0</v>
      </c>
      <c r="L30" s="304">
        <f>'Stock Rawmaterial'!L609</f>
        <v>382438.40000000002</v>
      </c>
      <c r="M30" s="1796"/>
      <c r="N30" s="1547"/>
      <c r="O30" s="1796">
        <f>+'Stock Rawmaterial'!K609</f>
        <v>0</v>
      </c>
      <c r="P30" s="1548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27" t="s">
        <v>118</v>
      </c>
      <c r="B31" s="2028"/>
      <c r="C31" s="949"/>
      <c r="D31" s="950"/>
      <c r="E31" s="951"/>
      <c r="F31" s="952"/>
      <c r="G31" s="1586">
        <f>G30</f>
        <v>373858.07</v>
      </c>
      <c r="H31" s="1586">
        <f t="shared" ref="H31:L31" si="2">H30</f>
        <v>33880</v>
      </c>
      <c r="I31" s="1586">
        <f t="shared" si="2"/>
        <v>0</v>
      </c>
      <c r="J31" s="1586">
        <f t="shared" si="2"/>
        <v>25299.67</v>
      </c>
      <c r="K31" s="1586">
        <f t="shared" si="2"/>
        <v>0</v>
      </c>
      <c r="L31" s="1586">
        <f t="shared" si="2"/>
        <v>382438.40000000002</v>
      </c>
      <c r="M31" s="133">
        <f>'Stock Rawmaterial'!M610</f>
        <v>32025.555555555555</v>
      </c>
      <c r="N31" s="1546">
        <f>'Stock Rawmaterial'!N610</f>
        <v>11.94166325503938</v>
      </c>
      <c r="O31" s="133">
        <f>'Stock Rawmaterial'!O610</f>
        <v>28414.666666666664</v>
      </c>
      <c r="P31" s="1546">
        <f>'Stock Rawmaterial'!P610</f>
        <v>13.459190089625078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8">
        <v>5</v>
      </c>
      <c r="B32" s="2051" t="s">
        <v>206</v>
      </c>
      <c r="C32" s="122"/>
      <c r="D32" s="887"/>
      <c r="E32" s="962"/>
      <c r="F32" s="74"/>
      <c r="G32" s="1661"/>
      <c r="H32" s="1614"/>
      <c r="I32" s="130"/>
      <c r="J32" s="130"/>
      <c r="K32" s="130"/>
      <c r="L32" s="130"/>
      <c r="M32" s="1797"/>
      <c r="N32" s="1550">
        <f>+'Stock Rawmaterial'!J748</f>
        <v>0</v>
      </c>
      <c r="O32" s="1797">
        <f>+'Stock Rawmaterial'!K748</f>
        <v>0</v>
      </c>
      <c r="P32" s="1549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8"/>
      <c r="B33" s="2073"/>
      <c r="C33" s="122"/>
      <c r="D33" s="887"/>
      <c r="E33" s="962"/>
      <c r="F33" s="74"/>
      <c r="G33" s="1661"/>
      <c r="H33" s="1614"/>
      <c r="I33" s="130"/>
      <c r="J33" s="130"/>
      <c r="K33" s="130"/>
      <c r="L33" s="130"/>
      <c r="M33" s="1797"/>
      <c r="N33" s="1550">
        <f>+'Stock Rawmaterial'!J749</f>
        <v>0</v>
      </c>
      <c r="O33" s="1797">
        <f>+'Stock Rawmaterial'!K749</f>
        <v>0</v>
      </c>
      <c r="P33" s="1549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8"/>
      <c r="B34" s="2073"/>
      <c r="C34" s="122"/>
      <c r="D34" s="887"/>
      <c r="E34" s="962"/>
      <c r="F34" s="74"/>
      <c r="G34" s="1661"/>
      <c r="H34" s="1614"/>
      <c r="I34" s="130"/>
      <c r="J34" s="130"/>
      <c r="K34" s="130"/>
      <c r="L34" s="130"/>
      <c r="M34" s="1797"/>
      <c r="N34" s="1550">
        <f>+'Stock Rawmaterial'!J750</f>
        <v>0</v>
      </c>
      <c r="O34" s="1797">
        <f>+'Stock Rawmaterial'!K750</f>
        <v>0</v>
      </c>
      <c r="P34" s="1549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8"/>
      <c r="B35" s="2073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700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7"/>
      <c r="N35" s="1550">
        <f>+'Stock Rawmaterial'!J751</f>
        <v>0</v>
      </c>
      <c r="O35" s="1797"/>
      <c r="P35" s="1550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8"/>
      <c r="B36" s="2073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608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1"/>
      <c r="O36" s="1797">
        <f>+'Stock Rawmaterial'!K752</f>
        <v>0</v>
      </c>
      <c r="P36" s="1550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8"/>
      <c r="B37" s="2073"/>
      <c r="C37" s="1215" t="str">
        <f>+'Stock Rawmaterial'!C753</f>
        <v>LA3</v>
      </c>
      <c r="D37" s="852" t="s">
        <v>10</v>
      </c>
      <c r="E37" s="968">
        <f>+'Stock Rawmaterial'!E753</f>
        <v>46206</v>
      </c>
      <c r="F37" s="1216">
        <f>'Stock Rawmaterial'!F753</f>
        <v>70</v>
      </c>
      <c r="G37" s="304">
        <f>'Stock Rawmaterial'!G753</f>
        <v>13028.590000000002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1057.92</v>
      </c>
      <c r="K37" s="304">
        <f>'Stock Rawmaterial'!K753</f>
        <v>0</v>
      </c>
      <c r="L37" s="304">
        <f>'Stock Rawmaterial'!L753</f>
        <v>11970.670000000002</v>
      </c>
      <c r="M37" s="1797"/>
      <c r="N37" s="1551"/>
      <c r="O37" s="1797"/>
      <c r="P37" s="1550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8"/>
      <c r="B38" s="2073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28</v>
      </c>
      <c r="G38" s="304">
        <f>'Stock Rawmaterial'!G754</f>
        <v>21152.730000000003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0</v>
      </c>
      <c r="K38" s="304">
        <f>'Stock Rawmaterial'!K754</f>
        <v>0</v>
      </c>
      <c r="L38" s="304">
        <f>'Stock Rawmaterial'!L754</f>
        <v>21152.730000000003</v>
      </c>
      <c r="M38" s="1797"/>
      <c r="N38" s="1550"/>
      <c r="O38" s="1797">
        <f>+'Stock Rawmaterial'!K754</f>
        <v>0</v>
      </c>
      <c r="P38" s="1550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8"/>
      <c r="B39" s="2052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550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7"/>
      <c r="N39" s="1538">
        <f>+'Stock Rawmaterial'!J755</f>
        <v>0</v>
      </c>
      <c r="O39" s="1797">
        <f>+'Stock Rawmaterial'!K755</f>
        <v>0</v>
      </c>
      <c r="P39" s="1538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27" t="s">
        <v>205</v>
      </c>
      <c r="B40" s="2028"/>
      <c r="C40" s="88"/>
      <c r="D40" s="864"/>
      <c r="E40" s="864"/>
      <c r="F40" s="865"/>
      <c r="G40" s="1586">
        <f>+SUM(G32:G39)</f>
        <v>34181.320000000007</v>
      </c>
      <c r="H40" s="1586">
        <f t="shared" ref="H40:L40" si="3">+SUM(H32:H39)</f>
        <v>0</v>
      </c>
      <c r="I40" s="1586">
        <f t="shared" si="3"/>
        <v>0</v>
      </c>
      <c r="J40" s="1586">
        <f t="shared" si="3"/>
        <v>1057.92</v>
      </c>
      <c r="K40" s="1586">
        <f t="shared" si="3"/>
        <v>0</v>
      </c>
      <c r="L40" s="1586">
        <f t="shared" si="3"/>
        <v>33123.400000000009</v>
      </c>
      <c r="M40" s="133">
        <f>'Stock Rawmaterial'!M756</f>
        <v>944.22222222222217</v>
      </c>
      <c r="N40" s="1546">
        <f>'Stock Rawmaterial'!N756</f>
        <v>35.080089432807732</v>
      </c>
      <c r="O40" s="133">
        <f>'Stock Rawmaterial'!O756</f>
        <v>890</v>
      </c>
      <c r="P40" s="1546">
        <f>'Stock Rawmaterial'!P756</f>
        <v>37.217303370786524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05">
        <v>6</v>
      </c>
      <c r="B41" s="2074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2">
        <f>'Stock Rawmaterial'!G862</f>
        <v>0</v>
      </c>
      <c r="H41" s="1662">
        <f>'Stock Rawmaterial'!H862</f>
        <v>0</v>
      </c>
      <c r="I41" s="1662">
        <f>'Stock Rawmaterial'!I862</f>
        <v>0</v>
      </c>
      <c r="J41" s="1662">
        <f>'Stock Rawmaterial'!J862</f>
        <v>0</v>
      </c>
      <c r="K41" s="1662">
        <f>'Stock Rawmaterial'!K862</f>
        <v>0</v>
      </c>
      <c r="L41" s="1662">
        <f>'Stock Rawmaterial'!L862</f>
        <v>0</v>
      </c>
      <c r="M41" s="1812"/>
      <c r="N41" s="1551">
        <f>'Stock Rawmaterial'!J862</f>
        <v>0</v>
      </c>
      <c r="O41" s="1798">
        <f>'Stock Rawmaterial'!K862</f>
        <v>0</v>
      </c>
      <c r="P41" s="1552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06"/>
      <c r="B42" s="2075"/>
      <c r="C42" s="226" t="str">
        <f>+'Stock Rawmaterial'!C863</f>
        <v>LF7</v>
      </c>
      <c r="D42" s="875" t="s">
        <v>10</v>
      </c>
      <c r="E42" s="973">
        <f>+'Stock Rawmaterial'!E863</f>
        <v>46246</v>
      </c>
      <c r="F42" s="938">
        <f>'Stock Rawmaterial'!F863</f>
        <v>30</v>
      </c>
      <c r="G42" s="1219">
        <f>'Stock Rawmaterial'!G863</f>
        <v>15804.399999999992</v>
      </c>
      <c r="H42" s="1219">
        <f>'Stock Rawmaterial'!H863</f>
        <v>23030</v>
      </c>
      <c r="I42" s="1219">
        <f>'Stock Rawmaterial'!I863</f>
        <v>0</v>
      </c>
      <c r="J42" s="1219">
        <f>'Stock Rawmaterial'!J863</f>
        <v>1741.8</v>
      </c>
      <c r="K42" s="1219">
        <f>'Stock Rawmaterial'!K863</f>
        <v>0</v>
      </c>
      <c r="L42" s="1219">
        <f>'Stock Rawmaterial'!L863</f>
        <v>37092.599999999991</v>
      </c>
      <c r="M42" s="1799"/>
      <c r="N42" s="1551"/>
      <c r="O42" s="1799"/>
      <c r="P42" s="1552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06"/>
      <c r="B43" s="2075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18</v>
      </c>
      <c r="G43" s="1219">
        <f>'Stock Rawmaterial'!G864</f>
        <v>71760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0</v>
      </c>
      <c r="K43" s="1219">
        <f>'Stock Rawmaterial'!K864</f>
        <v>0</v>
      </c>
      <c r="L43" s="1219">
        <f>'Stock Rawmaterial'!L864</f>
        <v>71760</v>
      </c>
      <c r="M43" s="1799"/>
      <c r="N43" s="1551"/>
      <c r="O43" s="1799"/>
      <c r="P43" s="1552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06"/>
      <c r="B44" s="2075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2">
        <f>'Stock Rawmaterial'!G865</f>
        <v>0</v>
      </c>
      <c r="H44" s="1662">
        <f>'Stock Rawmaterial'!H865</f>
        <v>0</v>
      </c>
      <c r="I44" s="1662">
        <f>'Stock Rawmaterial'!I865</f>
        <v>0</v>
      </c>
      <c r="J44" s="1662">
        <f>'Stock Rawmaterial'!J865</f>
        <v>0</v>
      </c>
      <c r="K44" s="1662">
        <f>'Stock Rawmaterial'!K865</f>
        <v>0</v>
      </c>
      <c r="L44" s="1662">
        <f>'Stock Rawmaterial'!L865</f>
        <v>0</v>
      </c>
      <c r="M44" s="1799" t="e">
        <f>+'Stock Rawmaterial'!#REF!</f>
        <v>#REF!</v>
      </c>
      <c r="N44" s="1551">
        <f>'Stock Rawmaterial'!J865</f>
        <v>0</v>
      </c>
      <c r="O44" s="1799">
        <f>+'Stock Rawmaterial'!K865</f>
        <v>0</v>
      </c>
      <c r="P44" s="1552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06"/>
      <c r="B45" s="2075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2">
        <f>'Stock Rawmaterial'!G866</f>
        <v>0</v>
      </c>
      <c r="H45" s="1662">
        <f>'Stock Rawmaterial'!H866</f>
        <v>0</v>
      </c>
      <c r="I45" s="1662">
        <f>'Stock Rawmaterial'!I866</f>
        <v>0</v>
      </c>
      <c r="J45" s="1662">
        <f>'Stock Rawmaterial'!J866</f>
        <v>0</v>
      </c>
      <c r="K45" s="1662">
        <f>'Stock Rawmaterial'!K866</f>
        <v>0</v>
      </c>
      <c r="L45" s="1662">
        <f>'Stock Rawmaterial'!L866</f>
        <v>0</v>
      </c>
      <c r="M45" s="1799" t="e">
        <f>+'Stock Rawmaterial'!#REF!</f>
        <v>#REF!</v>
      </c>
      <c r="N45" s="1551">
        <f>'Stock Rawmaterial'!J866</f>
        <v>0</v>
      </c>
      <c r="O45" s="1799">
        <f>+'Stock Rawmaterial'!K866</f>
        <v>0</v>
      </c>
      <c r="P45" s="1552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27" t="s">
        <v>224</v>
      </c>
      <c r="B46" s="2028"/>
      <c r="C46" s="88"/>
      <c r="D46" s="864"/>
      <c r="E46" s="864"/>
      <c r="F46" s="865"/>
      <c r="G46" s="1586">
        <f>SUM(G41:G43)</f>
        <v>87564.4</v>
      </c>
      <c r="H46" s="1586">
        <f t="shared" ref="H46:L46" si="4">SUM(H41:H43)</f>
        <v>23030</v>
      </c>
      <c r="I46" s="1586">
        <f t="shared" si="4"/>
        <v>0</v>
      </c>
      <c r="J46" s="1586">
        <f t="shared" si="4"/>
        <v>1741.8</v>
      </c>
      <c r="K46" s="1586">
        <f t="shared" si="4"/>
        <v>0</v>
      </c>
      <c r="L46" s="1586">
        <f t="shared" si="4"/>
        <v>108852.59999999999</v>
      </c>
      <c r="M46" s="133">
        <f>'Stock Rawmaterial'!M867</f>
        <v>2057.2444444444445</v>
      </c>
      <c r="N46" s="1546">
        <f>'Stock Rawmaterial'!N867</f>
        <v>52.911845402696159</v>
      </c>
      <c r="O46" s="133">
        <f>'Stock Rawmaterial'!O867</f>
        <v>2145.4999999999995</v>
      </c>
      <c r="P46" s="1546">
        <f>'Stock Rawmaterial'!P867</f>
        <v>50.735306455371713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05">
        <v>7</v>
      </c>
      <c r="B47" s="2023" t="s">
        <v>239</v>
      </c>
      <c r="C47" s="143" t="str">
        <f>+'Stock Rawmaterial'!C942</f>
        <v>A16.2A</v>
      </c>
      <c r="D47" s="881" t="s">
        <v>10</v>
      </c>
      <c r="E47" s="882">
        <f>+'Stock Rawmaterial'!E942</f>
        <v>46186</v>
      </c>
      <c r="F47" s="938">
        <f>+'Stock Rawmaterial'!F942</f>
        <v>90</v>
      </c>
      <c r="G47" s="1705">
        <f>+'Stock Rawmaterial'!G942</f>
        <v>18000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4000</v>
      </c>
      <c r="L47" s="1705">
        <f>+'Stock Rawmaterial'!L942</f>
        <v>14000</v>
      </c>
      <c r="M47" s="1800"/>
      <c r="N47" s="1560">
        <f>+'Stock Rawmaterial'!J942</f>
        <v>0</v>
      </c>
      <c r="O47" s="1800"/>
      <c r="P47" s="1553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06"/>
      <c r="B48" s="2024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85</v>
      </c>
      <c r="G48" s="1705">
        <f>+'Stock Rawmaterial'!G943</f>
        <v>18000</v>
      </c>
      <c r="H48" s="1219">
        <f>+'Stock Rawmaterial'!H943</f>
        <v>0</v>
      </c>
      <c r="I48" s="1714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5">
        <f>+'Stock Rawmaterial'!L943</f>
        <v>18000</v>
      </c>
      <c r="M48" s="1801"/>
      <c r="N48" s="1554">
        <f>+'Stock Rawmaterial'!J943</f>
        <v>0</v>
      </c>
      <c r="O48" s="1801"/>
      <c r="P48" s="1550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06"/>
      <c r="B49" s="2024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63</v>
      </c>
      <c r="G49" s="1705">
        <f>+'Stock Rawmaterial'!G944</f>
        <v>18000</v>
      </c>
      <c r="H49" s="1705">
        <f>+'Stock Rawmaterial'!H944</f>
        <v>0</v>
      </c>
      <c r="I49" s="1705">
        <f>+'Stock Rawmaterial'!I944</f>
        <v>0</v>
      </c>
      <c r="J49" s="1705">
        <f>+'Stock Rawmaterial'!J944</f>
        <v>0</v>
      </c>
      <c r="K49" s="1705">
        <f>+'Stock Rawmaterial'!K944</f>
        <v>0</v>
      </c>
      <c r="L49" s="1705">
        <f>+'Stock Rawmaterial'!L944</f>
        <v>18000</v>
      </c>
      <c r="M49" s="1800"/>
      <c r="N49" s="1555">
        <f>+'Stock Rawmaterial'!J944</f>
        <v>0</v>
      </c>
      <c r="O49" s="1800"/>
      <c r="P49" s="1553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06"/>
      <c r="B50" s="2025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43</v>
      </c>
      <c r="G50" s="1705">
        <f>+'Stock Rawmaterial'!G945</f>
        <v>18000</v>
      </c>
      <c r="H50" s="1705">
        <f>+'Stock Rawmaterial'!H945</f>
        <v>0</v>
      </c>
      <c r="I50" s="1705">
        <f>+'Stock Rawmaterial'!I945</f>
        <v>0</v>
      </c>
      <c r="J50" s="1705">
        <f>+'Stock Rawmaterial'!J945</f>
        <v>0</v>
      </c>
      <c r="K50" s="1705">
        <f>+'Stock Rawmaterial'!K945</f>
        <v>0</v>
      </c>
      <c r="L50" s="1705">
        <f>+'Stock Rawmaterial'!L945</f>
        <v>18000</v>
      </c>
      <c r="M50" s="1800"/>
      <c r="N50" s="1555">
        <f>+'Stock Rawmaterial'!J945</f>
        <v>0</v>
      </c>
      <c r="O50" s="1800"/>
      <c r="P50" s="1553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06"/>
      <c r="B51" s="2024"/>
      <c r="C51" s="143" t="str">
        <f>+'Stock Rawmaterial'!C946</f>
        <v>A16.1B</v>
      </c>
      <c r="D51" s="881" t="s">
        <v>10</v>
      </c>
      <c r="E51" s="882">
        <f>+'Stock Rawmaterial'!E946</f>
        <v>46239</v>
      </c>
      <c r="F51" s="938">
        <f>+'Stock Rawmaterial'!F946</f>
        <v>37</v>
      </c>
      <c r="G51" s="1705">
        <f>+'Stock Rawmaterial'!G946</f>
        <v>18000</v>
      </c>
      <c r="H51" s="1705">
        <f>+'Stock Rawmaterial'!H946</f>
        <v>0</v>
      </c>
      <c r="I51" s="1705">
        <f>+'Stock Rawmaterial'!I946</f>
        <v>0</v>
      </c>
      <c r="J51" s="1705">
        <f>+'Stock Rawmaterial'!J946</f>
        <v>0</v>
      </c>
      <c r="K51" s="1705">
        <f>+'Stock Rawmaterial'!K946</f>
        <v>0</v>
      </c>
      <c r="L51" s="1705">
        <f>+'Stock Rawmaterial'!L946</f>
        <v>18000</v>
      </c>
      <c r="M51" s="1800"/>
      <c r="N51" s="1555"/>
      <c r="O51" s="1800"/>
      <c r="P51" s="1553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06"/>
      <c r="B52" s="2026"/>
      <c r="C52" s="143" t="str">
        <f>+'Stock Rawmaterial'!C947</f>
        <v>B13.1</v>
      </c>
      <c r="D52" s="881" t="s">
        <v>10</v>
      </c>
      <c r="E52" s="882">
        <f>+'Stock Rawmaterial'!E947</f>
        <v>46270</v>
      </c>
      <c r="F52" s="938">
        <f>+'Stock Rawmaterial'!F947</f>
        <v>6</v>
      </c>
      <c r="G52" s="1705">
        <f>+'Stock Rawmaterial'!G947</f>
        <v>18000</v>
      </c>
      <c r="H52" s="1705">
        <f>+'Stock Rawmaterial'!H947</f>
        <v>0</v>
      </c>
      <c r="I52" s="1705">
        <f>+'Stock Rawmaterial'!I947</f>
        <v>0</v>
      </c>
      <c r="J52" s="1705">
        <f>+'Stock Rawmaterial'!J947</f>
        <v>0</v>
      </c>
      <c r="K52" s="1705">
        <f>+'Stock Rawmaterial'!K947</f>
        <v>0</v>
      </c>
      <c r="L52" s="1705">
        <f>+'Stock Rawmaterial'!L947</f>
        <v>18000</v>
      </c>
      <c r="M52" s="1800"/>
      <c r="N52" s="1555"/>
      <c r="O52" s="1800"/>
      <c r="P52" s="1553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06"/>
      <c r="B53" s="2025"/>
      <c r="C53" s="143" t="str">
        <f>+'Stock Rawmaterial'!C948</f>
        <v>B13.1</v>
      </c>
      <c r="D53" s="881" t="s">
        <v>10</v>
      </c>
      <c r="E53" s="882">
        <f>+'Stock Rawmaterial'!E948</f>
        <v>46272</v>
      </c>
      <c r="F53" s="938">
        <f>+'Stock Rawmaterial'!F948</f>
        <v>4</v>
      </c>
      <c r="G53" s="1705">
        <f>+'Stock Rawmaterial'!G948</f>
        <v>18000</v>
      </c>
      <c r="H53" s="1705">
        <f>+'Stock Rawmaterial'!H948</f>
        <v>0</v>
      </c>
      <c r="I53" s="1705">
        <f>+'Stock Rawmaterial'!I948</f>
        <v>0</v>
      </c>
      <c r="J53" s="1705">
        <f>+'Stock Rawmaterial'!J948</f>
        <v>0</v>
      </c>
      <c r="K53" s="1705">
        <f>+'Stock Rawmaterial'!K948</f>
        <v>0</v>
      </c>
      <c r="L53" s="1705">
        <f>+'Stock Rawmaterial'!L948</f>
        <v>18000</v>
      </c>
      <c r="M53" s="1800"/>
      <c r="N53" s="1555"/>
      <c r="O53" s="1800"/>
      <c r="P53" s="1553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06"/>
      <c r="B54" s="2024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118</v>
      </c>
      <c r="G54" s="1219">
        <f>+'Stock Rawmaterial'!G949</f>
        <v>1353</v>
      </c>
      <c r="H54" s="1219">
        <f>+'Stock Rawmaterial'!H949</f>
        <v>0</v>
      </c>
      <c r="I54" s="1219">
        <f>+'Stock Rawmaterial'!I949</f>
        <v>0</v>
      </c>
      <c r="J54" s="1219">
        <f>+'Stock Rawmaterial'!J949</f>
        <v>572</v>
      </c>
      <c r="K54" s="1219">
        <f>+'Stock Rawmaterial'!K949</f>
        <v>0</v>
      </c>
      <c r="L54" s="1219">
        <f>+'Stock Rawmaterial'!L949</f>
        <v>781</v>
      </c>
      <c r="M54" s="1800"/>
      <c r="N54" s="1553"/>
      <c r="O54" s="1802"/>
      <c r="P54" s="1553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06"/>
      <c r="B55" s="2024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62</v>
      </c>
      <c r="G55" s="1219">
        <f>+'Stock Rawmaterial'!G950</f>
        <v>28092.699999999997</v>
      </c>
      <c r="H55" s="1219">
        <f>+'Stock Rawmaterial'!H950</f>
        <v>0</v>
      </c>
      <c r="I55" s="1219">
        <f>+'Stock Rawmaterial'!I950</f>
        <v>2000</v>
      </c>
      <c r="J55" s="1219">
        <f>+'Stock Rawmaterial'!J950</f>
        <v>930</v>
      </c>
      <c r="K55" s="1219">
        <f>+'Stock Rawmaterial'!K950</f>
        <v>0</v>
      </c>
      <c r="L55" s="1219">
        <f>+'Stock Rawmaterial'!L950</f>
        <v>29162.699999999997</v>
      </c>
      <c r="M55" s="1800"/>
      <c r="N55" s="1555"/>
      <c r="O55" s="1800"/>
      <c r="P55" s="1553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06"/>
      <c r="B56" s="2024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21</v>
      </c>
      <c r="G56" s="1219">
        <f>+'Stock Rawmaterial'!G951</f>
        <v>28200</v>
      </c>
      <c r="H56" s="1219">
        <f>+'Stock Rawmaterial'!H951</f>
        <v>0</v>
      </c>
      <c r="I56" s="1219">
        <f>+'Stock Rawmaterial'!I951</f>
        <v>2000</v>
      </c>
      <c r="J56" s="1219">
        <f>+'Stock Rawmaterial'!J951</f>
        <v>1047.8199999999997</v>
      </c>
      <c r="K56" s="1219">
        <f>+'Stock Rawmaterial'!K951</f>
        <v>0</v>
      </c>
      <c r="L56" s="1219">
        <f>+'Stock Rawmaterial'!L951</f>
        <v>29152.18</v>
      </c>
      <c r="M56" s="1803"/>
      <c r="N56" s="1556"/>
      <c r="O56" s="1803"/>
      <c r="P56" s="1542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06"/>
      <c r="B57" s="2024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3"/>
      <c r="H57" s="1663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3"/>
      <c r="N57" s="1557">
        <f>'Stock Rawmaterial'!J952</f>
        <v>0</v>
      </c>
      <c r="O57" s="1803">
        <f>'Stock Rawmaterial'!K952</f>
        <v>0</v>
      </c>
      <c r="P57" s="1556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06"/>
      <c r="B58" s="2024"/>
      <c r="C58" s="978"/>
      <c r="D58" s="979"/>
      <c r="E58" s="980"/>
      <c r="F58" s="981"/>
      <c r="G58" s="1664"/>
      <c r="H58" s="365"/>
      <c r="I58" s="355"/>
      <c r="J58" s="233">
        <f t="shared" ref="J58:P58" si="5">SUM(J47:J57)</f>
        <v>2549.8199999999997</v>
      </c>
      <c r="K58" s="233">
        <f t="shared" si="5"/>
        <v>4000</v>
      </c>
      <c r="L58" s="355">
        <f t="shared" si="5"/>
        <v>181095.88</v>
      </c>
      <c r="M58" s="1804">
        <f t="shared" si="5"/>
        <v>0</v>
      </c>
      <c r="N58" s="1667">
        <f t="shared" si="5"/>
        <v>0</v>
      </c>
      <c r="O58" s="1804">
        <f t="shared" si="5"/>
        <v>0</v>
      </c>
      <c r="P58" s="1667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11"/>
      <c r="B59" s="2204"/>
      <c r="C59" s="2313"/>
      <c r="D59" s="2314"/>
      <c r="E59" s="2315"/>
      <c r="F59" s="856"/>
      <c r="G59" s="1663"/>
      <c r="H59" s="1663"/>
      <c r="I59" s="140">
        <v>0</v>
      </c>
      <c r="J59" s="140"/>
      <c r="K59" s="140"/>
      <c r="L59" s="140"/>
      <c r="M59" s="1803"/>
      <c r="N59" s="1557"/>
      <c r="O59" s="1793"/>
      <c r="P59" s="1542"/>
      <c r="Q59" s="203"/>
      <c r="S59" s="460"/>
      <c r="T59" s="457"/>
      <c r="U59" s="457"/>
      <c r="V59" s="457"/>
    </row>
    <row r="60" spans="1:45" s="265" customFormat="1" ht="30" customHeight="1" x14ac:dyDescent="0.2">
      <c r="A60" s="2027" t="s">
        <v>132</v>
      </c>
      <c r="B60" s="2028"/>
      <c r="C60" s="88"/>
      <c r="D60" s="864"/>
      <c r="E60" s="864"/>
      <c r="F60" s="865"/>
      <c r="G60" s="1586">
        <f t="shared" ref="G60:L60" si="6">SUM(G47:G56)</f>
        <v>183645.7</v>
      </c>
      <c r="H60" s="1586">
        <f t="shared" si="6"/>
        <v>0</v>
      </c>
      <c r="I60" s="1586">
        <f t="shared" si="6"/>
        <v>4000</v>
      </c>
      <c r="J60" s="1586">
        <f t="shared" si="6"/>
        <v>2549.8199999999997</v>
      </c>
      <c r="K60" s="1586">
        <f t="shared" si="6"/>
        <v>4000</v>
      </c>
      <c r="L60" s="1586">
        <f t="shared" si="6"/>
        <v>181095.88</v>
      </c>
      <c r="M60" s="133">
        <f>'Stock Rawmaterial'!M953</f>
        <v>1209.1555555555556</v>
      </c>
      <c r="N60" s="1546">
        <f>'Stock Rawmaterial'!N953</f>
        <v>149.77053958685585</v>
      </c>
      <c r="O60" s="133">
        <f>'Stock Rawmaterial'!O953</f>
        <v>1829.3333333333335</v>
      </c>
      <c r="P60" s="1546">
        <f>'Stock Rawmaterial'!P953</f>
        <v>98.995561224489791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71">
        <v>8</v>
      </c>
      <c r="B61" s="2023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469</v>
      </c>
      <c r="G61" s="1705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5">
        <f>+'Stock Rawmaterial'!L957</f>
        <v>0</v>
      </c>
      <c r="M61" s="1801"/>
      <c r="N61" s="1549"/>
      <c r="O61" s="1805"/>
      <c r="P61" s="1558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86"/>
      <c r="B62" s="2024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442</v>
      </c>
      <c r="G62" s="1705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5">
        <f>+'Stock Rawmaterial'!L958</f>
        <v>0</v>
      </c>
      <c r="M62" s="1801"/>
      <c r="N62" s="1559"/>
      <c r="O62" s="1801"/>
      <c r="P62" s="1550"/>
      <c r="Q62" s="483"/>
      <c r="S62" s="484"/>
      <c r="T62" s="485"/>
      <c r="U62" s="485"/>
      <c r="V62" s="485"/>
    </row>
    <row r="63" spans="1:45" s="415" customFormat="1" ht="30" customHeight="1" x14ac:dyDescent="0.2">
      <c r="A63" s="2086"/>
      <c r="B63" s="2025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15</v>
      </c>
      <c r="G63" s="1219">
        <f>+'Stock Rawmaterial'!G959</f>
        <v>24000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4000</v>
      </c>
      <c r="L63" s="1705">
        <f>+'Stock Rawmaterial'!L959</f>
        <v>20000</v>
      </c>
      <c r="M63" s="1801"/>
      <c r="N63" s="1559"/>
      <c r="O63" s="1801"/>
      <c r="P63" s="1550"/>
      <c r="Q63" s="483"/>
      <c r="S63" s="484"/>
      <c r="T63" s="485"/>
      <c r="U63" s="485"/>
      <c r="V63" s="485"/>
    </row>
    <row r="64" spans="1:45" s="415" customFormat="1" ht="30" customHeight="1" x14ac:dyDescent="0.2">
      <c r="A64" s="2086"/>
      <c r="B64" s="2024"/>
      <c r="C64" s="143">
        <f>+'Stock Rawmaterial'!C960</f>
        <v>0</v>
      </c>
      <c r="D64" s="881" t="s">
        <v>10</v>
      </c>
      <c r="E64" s="882">
        <f>+'Stock Rawmaterial'!E960</f>
        <v>46261</v>
      </c>
      <c r="F64" s="938">
        <f>+'Stock Rawmaterial'!F960</f>
        <v>15</v>
      </c>
      <c r="G64" s="1219">
        <f>+'Stock Rawmaterial'!G960</f>
        <v>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0</v>
      </c>
      <c r="M64" s="1801"/>
      <c r="N64" s="1559"/>
      <c r="O64" s="1801"/>
      <c r="P64" s="1550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86"/>
      <c r="B65" s="2024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218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1"/>
      <c r="N65" s="1559"/>
      <c r="O65" s="1801"/>
      <c r="P65" s="1550"/>
      <c r="Q65" s="483"/>
      <c r="S65" s="484"/>
      <c r="T65" s="485"/>
      <c r="U65" s="485"/>
      <c r="V65" s="485"/>
    </row>
    <row r="66" spans="1:22" s="415" customFormat="1" ht="30" customHeight="1" x14ac:dyDescent="0.2">
      <c r="A66" s="2072"/>
      <c r="B66" s="2024"/>
      <c r="C66" s="149" t="str">
        <f>+'Stock Rawmaterial'!C962</f>
        <v>LA1</v>
      </c>
      <c r="D66" s="881" t="s">
        <v>10</v>
      </c>
      <c r="E66" s="882">
        <f>+'Stock Rawmaterial'!E962</f>
        <v>46233</v>
      </c>
      <c r="F66" s="938">
        <f>+'Stock Rawmaterial'!F962</f>
        <v>43</v>
      </c>
      <c r="G66" s="1219">
        <f>+'Stock Rawmaterial'!G962</f>
        <v>22464.6</v>
      </c>
      <c r="H66" s="1219">
        <f>+'Stock Rawmaterial'!H962</f>
        <v>0</v>
      </c>
      <c r="I66" s="1219">
        <f>+'Stock Rawmaterial'!I962</f>
        <v>4000</v>
      </c>
      <c r="J66" s="1219">
        <f>+'Stock Rawmaterial'!J962</f>
        <v>760.6</v>
      </c>
      <c r="K66" s="1219">
        <f>+'Stock Rawmaterial'!K962</f>
        <v>0</v>
      </c>
      <c r="L66" s="1219">
        <f>+'Stock Rawmaterial'!L962</f>
        <v>25704</v>
      </c>
      <c r="M66" s="1800"/>
      <c r="N66" s="1561"/>
      <c r="O66" s="1800">
        <f>+'Stock Rawmaterial'!K962</f>
        <v>0</v>
      </c>
      <c r="P66" s="1553"/>
      <c r="Q66" s="483"/>
      <c r="S66" s="484"/>
      <c r="T66" s="485"/>
      <c r="U66" s="485"/>
      <c r="V66" s="485"/>
    </row>
    <row r="67" spans="1:22" s="265" customFormat="1" ht="30" customHeight="1" x14ac:dyDescent="0.2">
      <c r="A67" s="2027" t="s">
        <v>498</v>
      </c>
      <c r="B67" s="2028"/>
      <c r="C67" s="983"/>
      <c r="D67" s="864"/>
      <c r="E67" s="864"/>
      <c r="F67" s="865"/>
      <c r="G67" s="1586">
        <f>SUM(G61:G66)</f>
        <v>46464.6</v>
      </c>
      <c r="H67" s="1586">
        <f t="shared" ref="H67:L67" si="7">SUM(H61:H66)</f>
        <v>0</v>
      </c>
      <c r="I67" s="1586">
        <f t="shared" si="7"/>
        <v>4000</v>
      </c>
      <c r="J67" s="1586">
        <f t="shared" si="7"/>
        <v>760.6</v>
      </c>
      <c r="K67" s="1586">
        <f t="shared" si="7"/>
        <v>4000</v>
      </c>
      <c r="L67" s="1586">
        <f t="shared" si="7"/>
        <v>45704</v>
      </c>
      <c r="M67" s="133">
        <f>'Stock Rawmaterial'!M963</f>
        <v>909.6444444444445</v>
      </c>
      <c r="N67" s="1546">
        <f>'Stock Rawmaterial'!N963</f>
        <v>50.243807104118822</v>
      </c>
      <c r="O67" s="133">
        <f>'Stock Rawmaterial'!O963</f>
        <v>898.5</v>
      </c>
      <c r="P67" s="1546">
        <f>'Stock Rawmaterial'!P963</f>
        <v>50.867000556483028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9">
        <v>9</v>
      </c>
      <c r="B68" s="2318" t="s">
        <v>1359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1241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6"/>
      <c r="N68" s="1565">
        <f>+'Stock Rawmaterial'!J988</f>
        <v>0</v>
      </c>
      <c r="O68" s="1806">
        <f>+'Stock Rawmaterial'!K988</f>
        <v>0</v>
      </c>
      <c r="P68" s="1562"/>
      <c r="Q68" s="448"/>
      <c r="S68" s="463"/>
      <c r="T68" s="449"/>
      <c r="U68" s="449"/>
      <c r="V68" s="449"/>
    </row>
    <row r="69" spans="1:22" s="405" customFormat="1" ht="30" customHeight="1" x14ac:dyDescent="0.2">
      <c r="A69" s="2030"/>
      <c r="B69" s="2036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63</v>
      </c>
      <c r="G69" s="1705">
        <f>+'Stock Rawmaterial'!G989</f>
        <v>3648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912</v>
      </c>
      <c r="L69" s="1705">
        <f>+'Stock Rawmaterial'!L989</f>
        <v>2736</v>
      </c>
      <c r="M69" s="1806"/>
      <c r="N69" s="1565">
        <f>+'Stock Rawmaterial'!J989</f>
        <v>0</v>
      </c>
      <c r="O69" s="1806"/>
      <c r="P69" s="1562"/>
      <c r="Q69" s="448"/>
      <c r="S69" s="463"/>
      <c r="T69" s="449"/>
      <c r="U69" s="449"/>
      <c r="V69" s="449"/>
    </row>
    <row r="70" spans="1:22" s="405" customFormat="1" ht="30" customHeight="1" x14ac:dyDescent="0.2">
      <c r="A70" s="2030"/>
      <c r="B70" s="2036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29</v>
      </c>
      <c r="G70" s="1705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5">
        <f>+'Stock Rawmaterial'!L990</f>
        <v>7296</v>
      </c>
      <c r="M70" s="1806"/>
      <c r="N70" s="1565">
        <f>+'Stock Rawmaterial'!J990</f>
        <v>0</v>
      </c>
      <c r="O70" s="1806"/>
      <c r="P70" s="1562"/>
      <c r="Q70" s="448"/>
      <c r="S70" s="463"/>
      <c r="T70" s="449"/>
      <c r="U70" s="449"/>
      <c r="V70" s="449"/>
    </row>
    <row r="71" spans="1:22" s="13" customFormat="1" ht="30" customHeight="1" x14ac:dyDescent="0.2">
      <c r="A71" s="2030"/>
      <c r="B71" s="2036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1</v>
      </c>
      <c r="G71" s="1705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6"/>
      <c r="N71" s="1565">
        <f>+'Stock Rawmaterial'!J991</f>
        <v>0</v>
      </c>
      <c r="O71" s="1806"/>
      <c r="P71" s="1562"/>
      <c r="Q71" s="203"/>
      <c r="S71" s="460"/>
      <c r="T71" s="457"/>
      <c r="U71" s="457"/>
      <c r="V71" s="457"/>
    </row>
    <row r="72" spans="1:22" s="415" customFormat="1" ht="30" customHeight="1" x14ac:dyDescent="0.2">
      <c r="A72" s="2030"/>
      <c r="B72" s="2036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63</v>
      </c>
      <c r="G72" s="1219">
        <f>+'Stock Rawmaterial'!G992</f>
        <v>2493.4699999999998</v>
      </c>
      <c r="H72" s="1219">
        <f>+'Stock Rawmaterial'!H992</f>
        <v>0</v>
      </c>
      <c r="I72" s="1219">
        <f>+'Stock Rawmaterial'!I992</f>
        <v>912</v>
      </c>
      <c r="J72" s="1219">
        <f>+'Stock Rawmaterial'!J992</f>
        <v>220</v>
      </c>
      <c r="K72" s="1219">
        <f>+'Stock Rawmaterial'!K992</f>
        <v>0</v>
      </c>
      <c r="L72" s="1219">
        <f>+'Stock Rawmaterial'!L992</f>
        <v>3185.47</v>
      </c>
      <c r="M72" s="1799"/>
      <c r="N72" s="1563"/>
      <c r="O72" s="1799">
        <f>+'Stock Rawmaterial'!K992</f>
        <v>0</v>
      </c>
      <c r="P72" s="1563"/>
      <c r="Q72" s="483"/>
      <c r="S72" s="484"/>
      <c r="T72" s="485"/>
      <c r="U72" s="485"/>
      <c r="V72" s="485"/>
    </row>
    <row r="73" spans="1:22" s="265" customFormat="1" ht="30" customHeight="1" x14ac:dyDescent="0.2">
      <c r="A73" s="2027" t="s">
        <v>201</v>
      </c>
      <c r="B73" s="2028"/>
      <c r="C73" s="88"/>
      <c r="D73" s="864"/>
      <c r="E73" s="864"/>
      <c r="F73" s="865"/>
      <c r="G73" s="1586">
        <f>SUM(G68:G72)</f>
        <v>20733.47</v>
      </c>
      <c r="H73" s="1586">
        <f t="shared" ref="H73:L73" si="8">SUM(H68:H72)</f>
        <v>0</v>
      </c>
      <c r="I73" s="1586">
        <f t="shared" si="8"/>
        <v>912</v>
      </c>
      <c r="J73" s="1586">
        <f t="shared" si="8"/>
        <v>220</v>
      </c>
      <c r="K73" s="1586">
        <f t="shared" si="8"/>
        <v>912</v>
      </c>
      <c r="L73" s="1586">
        <f t="shared" si="8"/>
        <v>20513.47</v>
      </c>
      <c r="M73" s="133">
        <f>'Stock Rawmaterial'!M993</f>
        <v>268.88888888888891</v>
      </c>
      <c r="N73" s="1546">
        <f>'Stock Rawmaterial'!N993</f>
        <v>76.289764462809913</v>
      </c>
      <c r="O73" s="133">
        <f>'Stock Rawmaterial'!O993</f>
        <v>270.83333333333331</v>
      </c>
      <c r="P73" s="1546">
        <f>'Stock Rawmaterial'!P993</f>
        <v>75.742043076923082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9">
        <v>10</v>
      </c>
      <c r="B74" s="2032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323</v>
      </c>
      <c r="G74" s="1705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5">
        <f>+'Stock Rawmaterial'!L1092</f>
        <v>0</v>
      </c>
      <c r="M74" s="1807"/>
      <c r="N74" s="1562">
        <f>+'Stock Rawmaterial'!J1092</f>
        <v>0</v>
      </c>
      <c r="O74" s="1807"/>
      <c r="P74" s="1564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30"/>
      <c r="B75" s="2033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277</v>
      </c>
      <c r="G75" s="1705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5">
        <f>+'Stock Rawmaterial'!L1093</f>
        <v>0</v>
      </c>
      <c r="M75" s="1807"/>
      <c r="N75" s="1562">
        <f>+'Stock Rawmaterial'!J1093</f>
        <v>0</v>
      </c>
      <c r="O75" s="1807"/>
      <c r="P75" s="1562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30"/>
      <c r="B76" s="2033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71</v>
      </c>
      <c r="G76" s="1705">
        <f>+'Stock Rawmaterial'!G1094</f>
        <v>5400</v>
      </c>
      <c r="H76" s="1705">
        <f>+'Stock Rawmaterial'!H1094</f>
        <v>0</v>
      </c>
      <c r="I76" s="1705">
        <f>+'Stock Rawmaterial'!I1094</f>
        <v>0</v>
      </c>
      <c r="J76" s="1705">
        <f>+'Stock Rawmaterial'!J1094</f>
        <v>0</v>
      </c>
      <c r="K76" s="1705">
        <f>+'Stock Rawmaterial'!K1094</f>
        <v>0</v>
      </c>
      <c r="L76" s="1705">
        <f>+'Stock Rawmaterial'!L1094</f>
        <v>5400</v>
      </c>
      <c r="M76" s="1807"/>
      <c r="N76" s="1562">
        <f>+'Stock Rawmaterial'!J1094</f>
        <v>0</v>
      </c>
      <c r="O76" s="1807"/>
      <c r="P76" s="1562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30"/>
      <c r="B77" s="2033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43</v>
      </c>
      <c r="G77" s="1705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7"/>
      <c r="N77" s="1562">
        <f>+'Stock Rawmaterial'!J1095</f>
        <v>0</v>
      </c>
      <c r="O77" s="1807"/>
      <c r="P77" s="1562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30"/>
      <c r="B78" s="2033"/>
      <c r="C78" s="143">
        <f>+'Stock Rawmaterial'!C1096</f>
        <v>0</v>
      </c>
      <c r="D78" s="881" t="str">
        <f>+'Stock Rawmaterial'!D1096</f>
        <v>Rec.</v>
      </c>
      <c r="E78" s="882">
        <f>+'Stock Rawmaterial'!E1096</f>
        <v>46233</v>
      </c>
      <c r="F78" s="938">
        <f>+'Stock Rawmaterial'!F1096</f>
        <v>43</v>
      </c>
      <c r="G78" s="1705">
        <f>+'Stock Rawmaterial'!G1096</f>
        <v>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0</v>
      </c>
      <c r="M78" s="1807"/>
      <c r="N78" s="1562">
        <f>+'Stock Rawmaterial'!J1096</f>
        <v>0</v>
      </c>
      <c r="O78" s="1807">
        <f>+'Stock Rawmaterial'!K1096</f>
        <v>0</v>
      </c>
      <c r="P78" s="1562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1"/>
      <c r="B79" s="2034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71</v>
      </c>
      <c r="G79" s="1219">
        <f>+'Stock Rawmaterial'!G1097</f>
        <v>999.31999999999994</v>
      </c>
      <c r="H79" s="1219">
        <f>+'Stock Rawmaterial'!H1097</f>
        <v>0</v>
      </c>
      <c r="I79" s="1219">
        <f>+'Stock Rawmaterial'!I1097</f>
        <v>0</v>
      </c>
      <c r="J79" s="1219">
        <f>+'Stock Rawmaterial'!J1097</f>
        <v>322.5</v>
      </c>
      <c r="K79" s="1219">
        <f>+'Stock Rawmaterial'!K1097</f>
        <v>0</v>
      </c>
      <c r="L79" s="1219">
        <f>+'Stock Rawmaterial'!L1097</f>
        <v>676.81999999999994</v>
      </c>
      <c r="M79" s="43"/>
      <c r="N79" s="1538"/>
      <c r="O79" s="43">
        <f>+'Stock Rawmaterial'!K1097</f>
        <v>0</v>
      </c>
      <c r="P79" s="1538"/>
      <c r="Q79" s="435"/>
      <c r="S79" s="468"/>
      <c r="T79" s="436"/>
      <c r="U79" s="436"/>
      <c r="V79" s="436"/>
    </row>
    <row r="80" spans="1:22" s="265" customFormat="1" ht="30" customHeight="1" x14ac:dyDescent="0.2">
      <c r="A80" s="2027" t="s">
        <v>329</v>
      </c>
      <c r="B80" s="2028"/>
      <c r="C80" s="88"/>
      <c r="D80" s="864"/>
      <c r="E80" s="864"/>
      <c r="F80" s="865"/>
      <c r="G80" s="1586">
        <f>SUM(G74:G79)</f>
        <v>22599.32</v>
      </c>
      <c r="H80" s="1586">
        <f t="shared" ref="H80:L80" si="9">SUM(H74:H79)</f>
        <v>0</v>
      </c>
      <c r="I80" s="1586">
        <f t="shared" si="9"/>
        <v>0</v>
      </c>
      <c r="J80" s="1586">
        <f t="shared" si="9"/>
        <v>322.5</v>
      </c>
      <c r="K80" s="1586">
        <f t="shared" si="9"/>
        <v>0</v>
      </c>
      <c r="L80" s="1586">
        <f t="shared" si="9"/>
        <v>22276.82</v>
      </c>
      <c r="M80" s="133">
        <f>'Stock Rawmaterial'!M1098</f>
        <v>297.28888888888889</v>
      </c>
      <c r="N80" s="1546">
        <f>'Stock Rawmaterial'!N1098</f>
        <v>74.933241142173713</v>
      </c>
      <c r="O80" s="133">
        <f>'Stock Rawmaterial'!O1098</f>
        <v>266</v>
      </c>
      <c r="P80" s="1546">
        <f>'Stock Rawmaterial'!P1098</f>
        <v>83.747443609022554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9">
        <v>11</v>
      </c>
      <c r="B81" s="2032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98</v>
      </c>
      <c r="G81" s="1705">
        <f>'Stock Rawmaterial'!G1296</f>
        <v>7000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5">
        <f>'Stock Rawmaterial'!L1296</f>
        <v>7000</v>
      </c>
      <c r="M81" s="1806"/>
      <c r="N81" s="1566">
        <f>'Stock Rawmaterial'!J1296</f>
        <v>0</v>
      </c>
      <c r="O81" s="1807"/>
      <c r="P81" s="1562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30"/>
      <c r="B82" s="2033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35</v>
      </c>
      <c r="G82" s="1705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5">
        <f>'Stock Rawmaterial'!L1297</f>
        <v>10000</v>
      </c>
      <c r="M82" s="1806"/>
      <c r="N82" s="1566">
        <f>'Stock Rawmaterial'!J1297</f>
        <v>0</v>
      </c>
      <c r="O82" s="1807"/>
      <c r="P82" s="1562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30"/>
      <c r="B83" s="2033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437</v>
      </c>
      <c r="G83" s="1705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6"/>
      <c r="N83" s="1566">
        <f>'Stock Rawmaterial'!J1298</f>
        <v>0</v>
      </c>
      <c r="O83" s="1807">
        <f>'Stock Rawmaterial'!K1298</f>
        <v>0</v>
      </c>
      <c r="P83" s="1562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30"/>
      <c r="B84" s="2033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98</v>
      </c>
      <c r="G84" s="1219">
        <f>'Stock Rawmaterial'!G1299</f>
        <v>1970.48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39</v>
      </c>
      <c r="K84" s="1219">
        <f>'Stock Rawmaterial'!K1299</f>
        <v>0</v>
      </c>
      <c r="L84" s="1219">
        <f>'Stock Rawmaterial'!L1299</f>
        <v>1931.48</v>
      </c>
      <c r="M84" s="1806"/>
      <c r="N84" s="1566"/>
      <c r="O84" s="1807"/>
      <c r="P84" s="1562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27"/>
      <c r="B85" s="2028"/>
      <c r="C85" s="88"/>
      <c r="D85" s="864"/>
      <c r="E85" s="864"/>
      <c r="F85" s="865"/>
      <c r="G85" s="1586">
        <f>SUM(G81:G84)</f>
        <v>18970.48</v>
      </c>
      <c r="H85" s="1586">
        <f t="shared" ref="H85:L85" si="10">SUM(H81:H84)</f>
        <v>0</v>
      </c>
      <c r="I85" s="1586">
        <f t="shared" si="10"/>
        <v>0</v>
      </c>
      <c r="J85" s="1586">
        <f t="shared" si="10"/>
        <v>39</v>
      </c>
      <c r="K85" s="1586">
        <f t="shared" si="10"/>
        <v>0</v>
      </c>
      <c r="L85" s="1586">
        <f t="shared" si="10"/>
        <v>18931.48</v>
      </c>
      <c r="M85" s="133">
        <f>'Stock Rawmaterial'!M1300</f>
        <v>63.599999999999994</v>
      </c>
      <c r="N85" s="1546">
        <f>'Stock Rawmaterial'!N1300</f>
        <v>297.66477987421388</v>
      </c>
      <c r="O85" s="133">
        <f>'Stock Rawmaterial'!O1300</f>
        <v>4</v>
      </c>
      <c r="P85" s="1546">
        <f>'Stock Rawmaterial'!P1300</f>
        <v>4732.87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9">
        <v>12</v>
      </c>
      <c r="B86" s="2032" t="s">
        <v>1311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995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8"/>
      <c r="N86" s="1567"/>
      <c r="O86" s="1808"/>
      <c r="P86" s="1567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30"/>
      <c r="B87" s="2033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46</v>
      </c>
      <c r="G87" s="1219">
        <f>'Stock Rawmaterial'!G662</f>
        <v>21450.23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529.22</v>
      </c>
      <c r="K87" s="1219">
        <f>'Stock Rawmaterial'!K662</f>
        <v>0</v>
      </c>
      <c r="L87" s="1219">
        <f>'Stock Rawmaterial'!L662</f>
        <v>20921.009999999998</v>
      </c>
      <c r="M87" s="1809"/>
      <c r="N87" s="1568"/>
      <c r="O87" s="1809"/>
      <c r="P87" s="1568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30"/>
      <c r="B88" s="2033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6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3"/>
      <c r="N88" s="1570"/>
      <c r="O88" s="1810"/>
      <c r="P88" s="1569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27" t="s">
        <v>1312</v>
      </c>
      <c r="B89" s="2028"/>
      <c r="C89" s="2028"/>
      <c r="D89" s="91"/>
      <c r="E89" s="91"/>
      <c r="F89" s="221"/>
      <c r="G89" s="1665">
        <f>SUM(G86:G88)</f>
        <v>44530.229999999996</v>
      </c>
      <c r="H89" s="1665">
        <f t="shared" ref="H89:L89" si="11">SUM(H86:H88)</f>
        <v>0</v>
      </c>
      <c r="I89" s="1665">
        <f t="shared" si="11"/>
        <v>0</v>
      </c>
      <c r="J89" s="1665">
        <f t="shared" si="11"/>
        <v>529.22</v>
      </c>
      <c r="K89" s="1665">
        <f t="shared" si="11"/>
        <v>0</v>
      </c>
      <c r="L89" s="1665">
        <f t="shared" si="11"/>
        <v>44001.009999999995</v>
      </c>
      <c r="M89" s="133">
        <f>'Stock Rawmaterial'!M664</f>
        <v>1031.2777777777778</v>
      </c>
      <c r="N89" s="1546">
        <f>'Stock Rawmaterial'!N664</f>
        <v>42.666496794699128</v>
      </c>
      <c r="O89" s="133">
        <f>'Stock Rawmaterial'!O664</f>
        <v>1355.9999999999998</v>
      </c>
      <c r="P89" s="1546">
        <f>'Stock Rawmaterial'!P664</f>
        <v>32.449122418879057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9">
        <v>13</v>
      </c>
      <c r="B90" s="2032" t="s">
        <v>1818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123</v>
      </c>
      <c r="G90" s="1969">
        <f>'Stock Rawmaterial'!G623</f>
        <v>20400</v>
      </c>
      <c r="H90" s="1969">
        <f>'Stock Rawmaterial'!H623</f>
        <v>0</v>
      </c>
      <c r="I90" s="1969">
        <f>'Stock Rawmaterial'!I623</f>
        <v>0</v>
      </c>
      <c r="J90" s="1969">
        <f>'Stock Rawmaterial'!J623</f>
        <v>0</v>
      </c>
      <c r="K90" s="1969">
        <f>'Stock Rawmaterial'!K623</f>
        <v>0</v>
      </c>
      <c r="L90" s="1969">
        <f>'Stock Rawmaterial'!L623</f>
        <v>20400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30"/>
      <c r="B91" s="2033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9">
        <f>'Stock Rawmaterial'!F624</f>
        <v>123</v>
      </c>
      <c r="G91" s="1969">
        <f>'Stock Rawmaterial'!G624</f>
        <v>0</v>
      </c>
      <c r="H91" s="1969">
        <f>'Stock Rawmaterial'!H624</f>
        <v>0</v>
      </c>
      <c r="I91" s="1969">
        <f>'Stock Rawmaterial'!I624</f>
        <v>0</v>
      </c>
      <c r="J91" s="1969">
        <f>'Stock Rawmaterial'!J624</f>
        <v>0</v>
      </c>
      <c r="K91" s="1969">
        <f>'Stock Rawmaterial'!K624</f>
        <v>0</v>
      </c>
      <c r="L91" s="1969">
        <f>'Stock Rawmaterial'!L624</f>
        <v>0</v>
      </c>
      <c r="M91" s="1972"/>
      <c r="N91" s="1973"/>
      <c r="O91" s="1972"/>
      <c r="P91" s="1972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30"/>
      <c r="B92" s="2033"/>
      <c r="C92" s="1975" t="str">
        <f>'Stock Rawmaterial'!C625</f>
        <v>FM</v>
      </c>
      <c r="D92" s="1093" t="str">
        <f>'Stock Rawmaterial'!D667</f>
        <v>Rec.</v>
      </c>
      <c r="E92" s="1976">
        <f>'Stock Rawmaterial'!E625</f>
        <v>46153</v>
      </c>
      <c r="F92" s="938">
        <f>'Stock Rawmaterial'!F625</f>
        <v>123</v>
      </c>
      <c r="G92" s="1977">
        <f>'Stock Rawmaterial'!G625</f>
        <v>2361.7000000000007</v>
      </c>
      <c r="H92" s="1977">
        <f>'Stock Rawmaterial'!H625</f>
        <v>0</v>
      </c>
      <c r="I92" s="1977">
        <f>'Stock Rawmaterial'!I625</f>
        <v>0</v>
      </c>
      <c r="J92" s="1977">
        <f>'Stock Rawmaterial'!J625</f>
        <v>305.3</v>
      </c>
      <c r="K92" s="1977">
        <f>'Stock Rawmaterial'!K625</f>
        <v>0</v>
      </c>
      <c r="L92" s="1977">
        <f>'Stock Rawmaterial'!L625</f>
        <v>2056.4000000000005</v>
      </c>
      <c r="M92" s="1970"/>
      <c r="N92" s="1971"/>
      <c r="O92" s="1970"/>
      <c r="P92" s="1970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27" t="s">
        <v>1848</v>
      </c>
      <c r="B93" s="2028"/>
      <c r="C93" s="2028"/>
      <c r="D93" s="91"/>
      <c r="E93" s="91"/>
      <c r="F93" s="221"/>
      <c r="G93" s="1974">
        <f>+G92+G91+G90</f>
        <v>22761.7</v>
      </c>
      <c r="H93" s="1974">
        <f t="shared" ref="H93:L93" si="12">+H92+H91+H90</f>
        <v>0</v>
      </c>
      <c r="I93" s="1974">
        <f t="shared" si="12"/>
        <v>0</v>
      </c>
      <c r="J93" s="1974">
        <f t="shared" si="12"/>
        <v>305.3</v>
      </c>
      <c r="K93" s="1974">
        <f t="shared" si="12"/>
        <v>0</v>
      </c>
      <c r="L93" s="1974">
        <f t="shared" si="12"/>
        <v>22456.400000000001</v>
      </c>
      <c r="M93" s="1978">
        <f>'Stock Rawmaterial'!M626</f>
        <v>331.84444444444443</v>
      </c>
      <c r="N93" s="1978">
        <f>'Stock Rawmaterial'!N626</f>
        <v>67.671465880934846</v>
      </c>
      <c r="O93" s="1978">
        <f>'Stock Rawmaterial'!O626</f>
        <v>270.83333333333331</v>
      </c>
      <c r="P93" s="1978">
        <f>'Stock Rawmaterial'!P626</f>
        <v>82.915938461538474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16" t="s">
        <v>468</v>
      </c>
      <c r="B94" s="2317"/>
      <c r="C94" s="2317"/>
      <c r="D94" s="2317"/>
      <c r="E94" s="2317"/>
      <c r="F94" s="2309">
        <f>G89+G85+G80+G73+G67+G60+G46+G40+G31+G29+G21+G18</f>
        <v>1225993.5900000001</v>
      </c>
      <c r="G94" s="2310"/>
      <c r="H94" s="354"/>
      <c r="I94" s="211">
        <f>+I18+I21+I29+I31+I40+I46+I60+I73+I80+I67+I85+I93+I89</f>
        <v>8912</v>
      </c>
      <c r="J94" s="211">
        <f>+J18+J21+J29+J31+J40+J46+J60+J73+J80+J67+J85+J93+J89</f>
        <v>53103.83</v>
      </c>
      <c r="K94" s="211">
        <f>+K18+K21+K29+K31+K40+K46+K60+K73+K80+K67+K85+K93+K89</f>
        <v>8912</v>
      </c>
      <c r="L94" s="211">
        <f>+L18+L21+L29+L31+L40+L46+L60+L73+L80+L67+L85+L93+L89</f>
        <v>1285991.46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1285991.46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189" t="s">
        <v>332</v>
      </c>
      <c r="B100" s="2189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189" t="s">
        <v>1471</v>
      </c>
      <c r="B101" s="2189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189" t="s">
        <v>1472</v>
      </c>
      <c r="B102" s="2189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  <mergeCell ref="A93:C93"/>
    <mergeCell ref="A100:B100"/>
    <mergeCell ref="A101:B101"/>
    <mergeCell ref="A102:B102"/>
    <mergeCell ref="A94:E94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D14:E15"/>
    <mergeCell ref="F14:F15"/>
    <mergeCell ref="N14:N15"/>
    <mergeCell ref="P14:P15"/>
    <mergeCell ref="F94:G94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156" t="s">
        <v>445</v>
      </c>
      <c r="B1" s="2156"/>
      <c r="C1" s="2156"/>
      <c r="D1" s="2156"/>
      <c r="E1" s="2156"/>
      <c r="F1" s="2156"/>
      <c r="G1" s="2156"/>
      <c r="H1" s="2156"/>
      <c r="I1" s="2156"/>
      <c r="J1" s="2156"/>
      <c r="K1" s="2156"/>
      <c r="L1" s="2156"/>
      <c r="M1" s="2156"/>
      <c r="N1" s="2156"/>
      <c r="O1" s="2156"/>
      <c r="P1" s="2156"/>
      <c r="Q1" s="2156"/>
      <c r="R1" s="2156"/>
      <c r="S1" s="2156"/>
      <c r="T1" s="2156"/>
      <c r="U1" s="2156"/>
      <c r="V1" s="2156"/>
      <c r="W1" s="2156"/>
      <c r="X1" s="2156"/>
      <c r="Y1" s="2156"/>
      <c r="Z1" s="2156"/>
      <c r="AA1" s="2156"/>
      <c r="AB1" s="2156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37" t="s">
        <v>446</v>
      </c>
      <c r="B2" s="2337"/>
      <c r="C2" s="2337"/>
      <c r="D2" s="2337"/>
      <c r="E2" s="2337"/>
      <c r="F2" s="2337"/>
      <c r="G2" s="2337"/>
      <c r="H2" s="2337"/>
      <c r="I2" s="2337"/>
      <c r="J2" s="2337"/>
      <c r="K2" s="2337"/>
      <c r="L2" s="2337"/>
      <c r="M2" s="2337"/>
      <c r="N2" s="2337"/>
      <c r="O2" s="2337"/>
      <c r="P2" s="2337"/>
      <c r="Q2" s="2337"/>
      <c r="R2" s="2337"/>
      <c r="S2" s="2337"/>
      <c r="T2" s="2337"/>
      <c r="U2" s="2337"/>
      <c r="V2" s="2337"/>
      <c r="W2" s="2337"/>
      <c r="X2" s="2337"/>
      <c r="Y2" s="2337"/>
      <c r="Z2" s="2337"/>
      <c r="AA2" s="2337"/>
      <c r="AB2" s="2337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46265</v>
      </c>
      <c r="AA3" s="328" t="s">
        <v>463</v>
      </c>
      <c r="AB3" s="722">
        <f>'Stock Rawmaterial'!P3</f>
        <v>46271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46272</v>
      </c>
      <c r="AA4" s="328" t="s">
        <v>463</v>
      </c>
      <c r="AB4" s="722">
        <f>'Stock Rawmaterial'!P4</f>
        <v>46277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76" t="s">
        <v>134</v>
      </c>
      <c r="D6" s="2176"/>
      <c r="E6" s="2176"/>
      <c r="F6" s="2176"/>
      <c r="G6" s="2176"/>
      <c r="H6" s="2176"/>
      <c r="I6" s="2176"/>
      <c r="J6" s="2176"/>
      <c r="K6" s="2176"/>
      <c r="L6" s="2176"/>
      <c r="M6" s="2176"/>
      <c r="N6" s="2176"/>
      <c r="O6" s="2176"/>
      <c r="P6" s="2176"/>
      <c r="Q6" s="2176"/>
      <c r="R6" s="2176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46276</v>
      </c>
      <c r="Y7" s="2181" t="s">
        <v>310</v>
      </c>
      <c r="Z7" s="2182"/>
      <c r="AA7" s="2179" t="s">
        <v>311</v>
      </c>
      <c r="AB7" s="2180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38" t="s">
        <v>307</v>
      </c>
      <c r="Z8" s="2339"/>
      <c r="AA8" s="2335" t="s">
        <v>307</v>
      </c>
      <c r="AB8" s="2336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158"/>
      <c r="B10" s="2158"/>
      <c r="C10" s="2158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  <c r="O10" s="2158"/>
      <c r="P10" s="2158"/>
      <c r="Q10" s="2158"/>
      <c r="R10" s="2158"/>
      <c r="S10" s="2158"/>
      <c r="T10" s="2158"/>
      <c r="U10" s="2158"/>
      <c r="V10" s="2158"/>
      <c r="W10" s="2158"/>
      <c r="X10" s="2158"/>
      <c r="Y10" s="2158"/>
      <c r="Z10" s="2158"/>
      <c r="AA10" s="2158"/>
      <c r="AB10" s="2158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19" t="s">
        <v>0</v>
      </c>
      <c r="B12" s="652" t="s">
        <v>1</v>
      </c>
      <c r="C12" s="2321" t="s">
        <v>41</v>
      </c>
      <c r="D12" s="2323" t="s">
        <v>321</v>
      </c>
      <c r="E12" s="2324"/>
      <c r="F12" s="2327" t="s">
        <v>6</v>
      </c>
      <c r="G12" s="2329" t="s">
        <v>5</v>
      </c>
      <c r="H12" s="2330"/>
      <c r="I12" s="2329" t="s">
        <v>11</v>
      </c>
      <c r="J12" s="2330"/>
      <c r="K12" s="2331" t="s">
        <v>304</v>
      </c>
      <c r="L12" s="2332"/>
      <c r="M12" s="2331" t="s">
        <v>316</v>
      </c>
      <c r="N12" s="2332"/>
      <c r="O12" s="2331" t="s">
        <v>305</v>
      </c>
      <c r="P12" s="2332"/>
      <c r="Q12" s="2333" t="s">
        <v>307</v>
      </c>
      <c r="R12" s="2334"/>
      <c r="S12" s="2331" t="s">
        <v>315</v>
      </c>
      <c r="T12" s="2332"/>
      <c r="U12" s="2331" t="s">
        <v>306</v>
      </c>
      <c r="V12" s="2332"/>
      <c r="W12" s="2331" t="s">
        <v>12</v>
      </c>
      <c r="X12" s="2332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0"/>
      <c r="B13" s="656" t="s">
        <v>322</v>
      </c>
      <c r="C13" s="2322"/>
      <c r="D13" s="2325"/>
      <c r="E13" s="2326"/>
      <c r="F13" s="2328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91" t="e">
        <f>IF(X19=0,"",MAX(A13)+1)</f>
        <v>#REF!</v>
      </c>
      <c r="B14" s="2083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92"/>
      <c r="B15" s="2084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129"/>
      <c r="B16" s="2090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129"/>
      <c r="B17" s="2090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93"/>
      <c r="B18" s="2076"/>
      <c r="C18" s="1092" t="str">
        <f>'Stock Rawmaterial'!C1308</f>
        <v>Feedmill</v>
      </c>
      <c r="D18" s="1093" t="s">
        <v>10</v>
      </c>
      <c r="E18" s="1094">
        <f>'Stock Rawmaterial'!E1308</f>
        <v>46241</v>
      </c>
      <c r="F18" s="1095">
        <f t="shared" ref="F18:F124" si="0">$X$7-E18</f>
        <v>35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91" t="e">
        <f>IF(X25=0,"",MAX($A$14:A19)+1)</f>
        <v>#REF!</v>
      </c>
      <c r="B20" s="2083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1878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92"/>
      <c r="B21" s="2084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1878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92"/>
      <c r="B22" s="2084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2059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92"/>
      <c r="B23" s="2084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2059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93"/>
      <c r="B24" s="2076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1878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91" t="e">
        <f>IF(X33=0,"",MAX($A$14:A25)+1)</f>
        <v>#REF!</v>
      </c>
      <c r="B26" s="2083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92"/>
      <c r="B27" s="2084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92"/>
      <c r="B28" s="2084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92"/>
      <c r="B29" s="2084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129"/>
      <c r="B30" s="2090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129"/>
      <c r="B31" s="2090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93"/>
      <c r="B32" s="2076"/>
      <c r="C32" s="1092"/>
      <c r="D32" s="1093"/>
      <c r="E32" s="1094"/>
      <c r="F32" s="1095">
        <f t="shared" si="0"/>
        <v>46276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91" t="e">
        <f>IF(X39=0,"",MAX($A$14:A33)+1)</f>
        <v>#REF!</v>
      </c>
      <c r="B34" s="2083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1486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92"/>
      <c r="B35" s="2084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46276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92"/>
      <c r="B36" s="2084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46276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92"/>
      <c r="B37" s="2084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46276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93"/>
      <c r="B38" s="2076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1486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91" t="e">
        <f>IF(X45=0,"",MAX($A$14:A39)+1)</f>
        <v>#REF!</v>
      </c>
      <c r="B40" s="2083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1982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92"/>
      <c r="B41" s="2084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2059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92"/>
      <c r="B42" s="2084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2059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92"/>
      <c r="B43" s="2084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2059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93"/>
      <c r="B44" s="2076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1982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91" t="e">
        <f>IF(X52=0,"",MAX($A$14:A45)+1)</f>
        <v>#REF!</v>
      </c>
      <c r="B46" s="2083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92"/>
      <c r="B47" s="2084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92"/>
      <c r="B48" s="2084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129"/>
      <c r="B49" s="2090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92"/>
      <c r="B50" s="2084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93"/>
      <c r="B51" s="2076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91" t="e">
        <f>IF(X58=0,"",MAX($A$14:A52)+1)</f>
        <v>#REF!</v>
      </c>
      <c r="B53" s="2083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1358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92"/>
      <c r="B54" s="2084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1358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92"/>
      <c r="B55" s="2084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2059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92"/>
      <c r="B56" s="2084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2059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93"/>
      <c r="B57" s="2076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1358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91" t="e">
        <f>IF(X64=0,"",MAX($A$14:A58)+1)</f>
        <v>#REF!</v>
      </c>
      <c r="B59" s="2083" t="s">
        <v>1115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1723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92"/>
      <c r="B60" s="2084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2059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92"/>
      <c r="B61" s="2084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2059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92"/>
      <c r="B62" s="2084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2059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93"/>
      <c r="B63" s="2076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1723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91" t="e">
        <f>IF(X68=0,"",MAX($A$14:A64)+1)</f>
        <v>#REF!</v>
      </c>
      <c r="B65" s="2083" t="s">
        <v>1125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1705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92"/>
      <c r="B66" s="2084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1710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92"/>
      <c r="B67" s="2084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1705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91" t="e">
        <f>IF(X72=0,"",MAX($A$14:A68)+1)</f>
        <v>#REF!</v>
      </c>
      <c r="B69" s="2083" t="s">
        <v>1139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1318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92"/>
      <c r="B70" s="2084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1318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92"/>
      <c r="B71" s="2084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1318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91" t="e">
        <f>IF(X76=0,"",MAX($A$14:A72)+1)</f>
        <v>#REF!</v>
      </c>
      <c r="B73" s="2083" t="s">
        <v>1156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1612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92"/>
      <c r="B74" s="2084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1710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92"/>
      <c r="B75" s="2084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1612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91" t="e">
        <f>IF(X80=0,"",MAX($A$14:A76)+1)</f>
        <v>#REF!</v>
      </c>
      <c r="B77" s="2083" t="s">
        <v>1179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1515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92"/>
      <c r="B78" s="2084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1710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92"/>
      <c r="B79" s="2084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1515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91" t="e">
        <f>IF(X84=0,"",MAX($A$14:A80)+1)</f>
        <v>#REF!</v>
      </c>
      <c r="B81" s="2083" t="s">
        <v>1185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233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92"/>
      <c r="B82" s="2084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252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92"/>
      <c r="B83" s="2084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233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91" t="e">
        <f>IF(X88=0,"",MAX($A$14:A84)+1)</f>
        <v>#REF!</v>
      </c>
      <c r="B85" s="2083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290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92"/>
      <c r="B86" s="2084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39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92"/>
      <c r="B87" s="2084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7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91" t="e">
        <f>IF(X92=0,"",MAX($A$14:A88)+1)</f>
        <v>#REF!</v>
      </c>
      <c r="B89" s="2083" t="s">
        <v>1260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1304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92"/>
      <c r="B90" s="2084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1352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92"/>
      <c r="B91" s="2084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1304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91" t="e">
        <f>IF(X96=0,"",MAX($A$14:A92)+1)</f>
        <v>#REF!</v>
      </c>
      <c r="B93" s="2083" t="s">
        <v>1265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1298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92"/>
      <c r="B94" s="2084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1352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92"/>
      <c r="B95" s="2084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1298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91" t="e">
        <f>IF(X100=0,"",MAX($A$14:A96)+1)</f>
        <v>#REF!</v>
      </c>
      <c r="B97" s="2083" t="s">
        <v>1267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1298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92"/>
      <c r="B98" s="2084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1352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92"/>
      <c r="B99" s="2084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1298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91" t="e">
        <f>IF(X104=0,"",MAX($A$14:A100)+1)</f>
        <v>#REF!</v>
      </c>
      <c r="B101" s="2083" t="s">
        <v>1273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1290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92"/>
      <c r="B102" s="2084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1352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92"/>
      <c r="B103" s="2084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1290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91" t="e">
        <f>IF(X108=0,"",MAX($A$14:A104)+1)</f>
        <v>#REF!</v>
      </c>
      <c r="B105" s="2083" t="s">
        <v>1290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1249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92"/>
      <c r="B106" s="2084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1352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92"/>
      <c r="B107" s="2084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1249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91" t="e">
        <f>IF(X112=0,"",MAX($A$14:A108)+1)</f>
        <v>#REF!</v>
      </c>
      <c r="B109" s="2083" t="s">
        <v>1333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1121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92"/>
      <c r="B110" s="2084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1352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92"/>
      <c r="B111" s="2084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1121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91" t="e">
        <f>IF(X116=0,"",MAX($A$14:A108)+1)</f>
        <v>#REF!</v>
      </c>
      <c r="B113" s="2083" t="s">
        <v>1305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1429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92"/>
      <c r="B114" s="2084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1710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92"/>
      <c r="B115" s="2084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1429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91" t="str">
        <f>IF(X120=0,"",MAX($A$14:A116)+1)</f>
        <v/>
      </c>
      <c r="B117" s="2083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92"/>
      <c r="B118" s="2084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92"/>
      <c r="B119" s="2084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92" t="e">
        <f>IF(X125=0,"",MAX($A$14:A120)+1)</f>
        <v>#REF!</v>
      </c>
      <c r="B121" s="2084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1096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92"/>
      <c r="B122" s="2084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1081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92"/>
      <c r="B123" s="2084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1081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93"/>
      <c r="B124" s="2076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1081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92" t="e">
        <f>IF(X129=0,"",MAX($A$14:A125)+1)</f>
        <v>#REF!</v>
      </c>
      <c r="B126" s="2084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1949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92"/>
      <c r="B127" s="2084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46276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92"/>
      <c r="B128" s="2084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1949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92" t="str">
        <f>IF(X134=0,"",MAX($A$14:A129)+1)</f>
        <v/>
      </c>
      <c r="B130" s="2084" t="s">
        <v>1203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1417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92"/>
      <c r="B131" s="2084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1417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129"/>
      <c r="B132" s="2090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1417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92"/>
      <c r="B133" s="2084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1417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92" t="str">
        <f>IF(X138=0,"",MAX($A$14:A134)+1)</f>
        <v/>
      </c>
      <c r="B135" s="2084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1434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92"/>
      <c r="B136" s="2084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1275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92"/>
      <c r="B137" s="2084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1275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92" t="str">
        <f>IF(X142=0,"",MAX($A$14:A138)+1)</f>
        <v/>
      </c>
      <c r="B139" s="2084" t="s">
        <v>1230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1360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92"/>
      <c r="B140" s="2084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46276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92"/>
      <c r="B141" s="2084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1360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92" t="str">
        <f>IF(X146=0,"",MAX($A$14:A142)+1)</f>
        <v/>
      </c>
      <c r="B143" s="2084" t="s">
        <v>1253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1317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92"/>
      <c r="B144" s="2084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46276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92"/>
      <c r="B145" s="2084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1317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92" t="str">
        <f>IF(X150=0,"",MAX($A$14:A146)+1)</f>
        <v/>
      </c>
      <c r="B147" s="2084" t="s">
        <v>1280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1130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92"/>
      <c r="B148" s="2084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46276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92"/>
      <c r="B149" s="2084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1130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92" t="str">
        <f>IF(X154=0,"",MAX($A$14:A150)+1)</f>
        <v/>
      </c>
      <c r="B151" s="2084" t="s">
        <v>1284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1267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92"/>
      <c r="B152" s="2084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46276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92"/>
      <c r="B153" s="2084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1267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92" t="str">
        <f>IF(X158=0,"",MAX($A$14:A154)+1)</f>
        <v/>
      </c>
      <c r="B155" s="2084" t="s">
        <v>1325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1141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92"/>
      <c r="B156" s="2084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1141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92"/>
      <c r="B157" s="2084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1141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40" t="s">
        <v>972</v>
      </c>
      <c r="B159" s="2214"/>
      <c r="C159" s="2214"/>
      <c r="D159" s="2214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189" t="s">
        <v>332</v>
      </c>
      <c r="B165" s="2189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189" t="s">
        <v>333</v>
      </c>
      <c r="B166" s="2189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189" t="s">
        <v>334</v>
      </c>
      <c r="B167" s="2189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4:A18"/>
    <mergeCell ref="B14:B18"/>
    <mergeCell ref="A65:A67"/>
    <mergeCell ref="B65:B67"/>
    <mergeCell ref="A59:A63"/>
    <mergeCell ref="B59:B63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A8:AB8"/>
    <mergeCell ref="A1:AB1"/>
    <mergeCell ref="A2:AB2"/>
    <mergeCell ref="C6:R6"/>
    <mergeCell ref="Y7:Z7"/>
    <mergeCell ref="AA7:AB7"/>
    <mergeCell ref="Y8:Z8"/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K13" sqref="K13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1110643.21</v>
      </c>
      <c r="J2" s="1173">
        <f>SUMIF($O$13:$BB$13,"26903",$O$16:$BB$16)+SUMIF($O$13:$BB$13,"26904",$O$16:$BB$16)</f>
        <v>87439.46</v>
      </c>
      <c r="K2" s="1065">
        <f>I2-J2</f>
        <v>1023203.75</v>
      </c>
      <c r="L2" s="2341" t="s">
        <v>892</v>
      </c>
      <c r="M2" s="2342"/>
      <c r="N2" s="1066">
        <f>M51</f>
        <v>87181.15</v>
      </c>
      <c r="O2" t="s">
        <v>2253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3618</v>
      </c>
      <c r="AB2">
        <v>3619</v>
      </c>
      <c r="AC2">
        <v>5116</v>
      </c>
      <c r="AD2">
        <v>5118</v>
      </c>
      <c r="AE2">
        <v>5121</v>
      </c>
      <c r="AF2">
        <v>5123</v>
      </c>
      <c r="AG2">
        <v>10252</v>
      </c>
      <c r="AH2">
        <v>21201</v>
      </c>
      <c r="AI2">
        <v>21211</v>
      </c>
      <c r="AJ2">
        <v>25201</v>
      </c>
      <c r="AK2">
        <v>26903</v>
      </c>
      <c r="AL2">
        <v>43234</v>
      </c>
      <c r="AM2" t="s">
        <v>2254</v>
      </c>
      <c r="AN2">
        <v>50118</v>
      </c>
      <c r="AO2">
        <v>104112</v>
      </c>
      <c r="AP2">
        <v>219752</v>
      </c>
      <c r="AQ2">
        <v>220183</v>
      </c>
      <c r="AR2">
        <v>311235</v>
      </c>
      <c r="AS2">
        <v>335147</v>
      </c>
      <c r="AT2">
        <v>452136</v>
      </c>
      <c r="AU2">
        <v>561428</v>
      </c>
      <c r="AV2">
        <v>600136</v>
      </c>
      <c r="AW2">
        <v>610315</v>
      </c>
      <c r="AX2">
        <v>620115</v>
      </c>
      <c r="AY2">
        <v>630025</v>
      </c>
      <c r="AZ2">
        <v>740725</v>
      </c>
      <c r="BA2">
        <v>790401</v>
      </c>
      <c r="BB2">
        <v>791820</v>
      </c>
      <c r="BC2">
        <v>800123</v>
      </c>
      <c r="BD2">
        <v>800211</v>
      </c>
      <c r="BE2">
        <v>801211</v>
      </c>
      <c r="BF2">
        <v>811000</v>
      </c>
      <c r="BG2">
        <v>811003</v>
      </c>
      <c r="BH2">
        <v>820098</v>
      </c>
      <c r="BI2">
        <v>820207</v>
      </c>
      <c r="BJ2">
        <v>820207</v>
      </c>
      <c r="BK2">
        <v>820217</v>
      </c>
      <c r="BL2">
        <v>820300</v>
      </c>
      <c r="BM2">
        <v>820498</v>
      </c>
      <c r="BN2" t="s">
        <v>2255</v>
      </c>
      <c r="BO2">
        <v>820500</v>
      </c>
      <c r="BP2">
        <v>830603</v>
      </c>
      <c r="BQ2">
        <v>831001</v>
      </c>
      <c r="BR2" t="s">
        <v>2256</v>
      </c>
      <c r="BS2">
        <v>831003</v>
      </c>
      <c r="BT2">
        <v>831951</v>
      </c>
      <c r="BU2">
        <v>831977</v>
      </c>
      <c r="BV2">
        <v>833101</v>
      </c>
      <c r="BW2">
        <v>840002</v>
      </c>
      <c r="BX2">
        <v>840011</v>
      </c>
      <c r="BY2" t="s">
        <v>2257</v>
      </c>
      <c r="BZ2" t="s">
        <v>2258</v>
      </c>
      <c r="CA2">
        <v>840012</v>
      </c>
      <c r="CB2">
        <v>840019</v>
      </c>
      <c r="CC2">
        <v>840020</v>
      </c>
      <c r="CD2">
        <v>840030</v>
      </c>
      <c r="CE2" t="s">
        <v>2259</v>
      </c>
      <c r="CF2">
        <v>840032</v>
      </c>
      <c r="CG2">
        <v>840035</v>
      </c>
      <c r="CH2">
        <v>840041</v>
      </c>
      <c r="CI2">
        <v>840058</v>
      </c>
      <c r="CJ2">
        <v>840101</v>
      </c>
      <c r="CK2">
        <v>840155</v>
      </c>
      <c r="CL2">
        <v>840194</v>
      </c>
      <c r="CM2">
        <v>840197</v>
      </c>
      <c r="CN2">
        <v>840224</v>
      </c>
      <c r="CO2">
        <v>840245</v>
      </c>
      <c r="CP2">
        <v>840255</v>
      </c>
      <c r="CQ2">
        <v>840305</v>
      </c>
      <c r="CR2">
        <v>840358</v>
      </c>
      <c r="CS2">
        <v>840400</v>
      </c>
      <c r="CT2">
        <v>840537</v>
      </c>
      <c r="CU2">
        <v>840547</v>
      </c>
      <c r="CV2">
        <v>840550</v>
      </c>
      <c r="CW2">
        <v>840929</v>
      </c>
      <c r="CX2">
        <v>841299</v>
      </c>
      <c r="CY2">
        <v>842107</v>
      </c>
      <c r="CZ2">
        <v>842123</v>
      </c>
      <c r="DA2">
        <v>842133</v>
      </c>
      <c r="DB2">
        <v>842154</v>
      </c>
      <c r="DC2">
        <v>842154</v>
      </c>
      <c r="DD2">
        <v>842206</v>
      </c>
      <c r="DE2">
        <v>842259</v>
      </c>
      <c r="DF2">
        <v>842300</v>
      </c>
      <c r="DG2">
        <v>842520</v>
      </c>
      <c r="DH2">
        <v>842523</v>
      </c>
      <c r="DI2">
        <v>842880</v>
      </c>
      <c r="DJ2">
        <v>842903</v>
      </c>
      <c r="DK2">
        <v>842906</v>
      </c>
      <c r="DL2">
        <v>842922</v>
      </c>
      <c r="DM2">
        <v>842930</v>
      </c>
      <c r="DN2">
        <v>842931</v>
      </c>
      <c r="DO2">
        <v>842934</v>
      </c>
      <c r="DP2">
        <v>842959</v>
      </c>
      <c r="DQ2">
        <v>842984</v>
      </c>
      <c r="DR2">
        <v>842994</v>
      </c>
      <c r="DS2">
        <v>843029</v>
      </c>
      <c r="DT2">
        <v>843075</v>
      </c>
      <c r="DU2">
        <v>843084</v>
      </c>
      <c r="DV2">
        <v>843125</v>
      </c>
      <c r="DW2">
        <v>843254</v>
      </c>
      <c r="DX2">
        <v>843267</v>
      </c>
      <c r="DY2">
        <v>843274</v>
      </c>
      <c r="DZ2">
        <v>890000</v>
      </c>
      <c r="EA2">
        <v>911101</v>
      </c>
      <c r="EB2">
        <v>911121</v>
      </c>
      <c r="EC2">
        <v>911125</v>
      </c>
      <c r="ED2">
        <v>911401</v>
      </c>
      <c r="EE2">
        <v>912101</v>
      </c>
      <c r="EF2">
        <v>913501</v>
      </c>
      <c r="EG2">
        <v>913511</v>
      </c>
      <c r="EH2">
        <v>913521</v>
      </c>
      <c r="EI2">
        <v>913561</v>
      </c>
      <c r="EJ2">
        <v>913563</v>
      </c>
      <c r="EK2">
        <v>913572</v>
      </c>
      <c r="EL2">
        <v>914001</v>
      </c>
      <c r="EM2">
        <v>914521</v>
      </c>
      <c r="EN2">
        <v>916001</v>
      </c>
      <c r="EO2">
        <v>916002</v>
      </c>
      <c r="EP2">
        <v>916021</v>
      </c>
      <c r="EQ2">
        <v>916201</v>
      </c>
      <c r="ER2">
        <v>916202</v>
      </c>
      <c r="ES2">
        <v>917004</v>
      </c>
      <c r="ET2" t="s">
        <v>2260</v>
      </c>
      <c r="EU2">
        <v>917302</v>
      </c>
      <c r="EV2" t="s">
        <v>2261</v>
      </c>
      <c r="EW2" t="s">
        <v>2262</v>
      </c>
      <c r="EX2" t="s">
        <v>2263</v>
      </c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65.040000000000006</v>
      </c>
      <c r="E3" s="1063">
        <v>65.040000000000006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65.040000000000006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2264</v>
      </c>
      <c r="P3" t="s">
        <v>2265</v>
      </c>
      <c r="Q3" t="s">
        <v>2266</v>
      </c>
      <c r="R3" t="s">
        <v>2267</v>
      </c>
      <c r="S3" t="s">
        <v>2268</v>
      </c>
      <c r="T3" t="s">
        <v>2269</v>
      </c>
      <c r="U3" t="s">
        <v>2270</v>
      </c>
      <c r="V3" t="s">
        <v>2271</v>
      </c>
      <c r="W3" t="s">
        <v>2272</v>
      </c>
      <c r="X3" t="s">
        <v>2273</v>
      </c>
      <c r="Y3" t="s">
        <v>1645</v>
      </c>
      <c r="Z3" t="s">
        <v>2274</v>
      </c>
      <c r="AA3" t="s">
        <v>1787</v>
      </c>
      <c r="AB3" t="s">
        <v>1768</v>
      </c>
      <c r="AC3" t="s">
        <v>1867</v>
      </c>
      <c r="AD3" t="s">
        <v>1786</v>
      </c>
      <c r="AE3" t="s">
        <v>1857</v>
      </c>
      <c r="AF3" t="s">
        <v>1827</v>
      </c>
      <c r="AG3" t="s">
        <v>2275</v>
      </c>
      <c r="AH3" t="s">
        <v>2276</v>
      </c>
      <c r="AI3" t="s">
        <v>2277</v>
      </c>
      <c r="AJ3" t="s">
        <v>2278</v>
      </c>
      <c r="AK3" t="s">
        <v>2279</v>
      </c>
      <c r="AL3" t="s">
        <v>2280</v>
      </c>
      <c r="AM3" t="s">
        <v>2281</v>
      </c>
      <c r="AN3" t="s">
        <v>2282</v>
      </c>
      <c r="AO3" t="s">
        <v>2283</v>
      </c>
      <c r="AP3" t="s">
        <v>2284</v>
      </c>
      <c r="AQ3" t="s">
        <v>2285</v>
      </c>
      <c r="AR3" t="s">
        <v>996</v>
      </c>
      <c r="AS3" t="s">
        <v>2286</v>
      </c>
      <c r="AT3" t="s">
        <v>2287</v>
      </c>
      <c r="AU3" t="s">
        <v>2288</v>
      </c>
      <c r="AV3" t="s">
        <v>2289</v>
      </c>
      <c r="AW3" t="s">
        <v>2290</v>
      </c>
      <c r="AX3" t="s">
        <v>2291</v>
      </c>
      <c r="AY3" t="s">
        <v>2292</v>
      </c>
      <c r="AZ3" t="s">
        <v>2293</v>
      </c>
      <c r="BA3" t="s">
        <v>2294</v>
      </c>
      <c r="BB3" t="s">
        <v>2295</v>
      </c>
      <c r="BC3" t="s">
        <v>2296</v>
      </c>
      <c r="BD3" t="s">
        <v>2297</v>
      </c>
      <c r="BE3" t="s">
        <v>998</v>
      </c>
      <c r="BF3" t="s">
        <v>2298</v>
      </c>
      <c r="BG3" t="s">
        <v>2299</v>
      </c>
      <c r="BH3" t="s">
        <v>2300</v>
      </c>
      <c r="BI3" t="s">
        <v>2301</v>
      </c>
      <c r="BJ3" t="s">
        <v>2302</v>
      </c>
      <c r="BK3" t="s">
        <v>2303</v>
      </c>
      <c r="BL3" t="s">
        <v>500</v>
      </c>
      <c r="BM3" t="s">
        <v>2304</v>
      </c>
      <c r="BN3" t="s">
        <v>2305</v>
      </c>
      <c r="BO3" t="s">
        <v>664</v>
      </c>
      <c r="BP3" t="s">
        <v>828</v>
      </c>
      <c r="BQ3" t="s">
        <v>2306</v>
      </c>
      <c r="BR3" t="s">
        <v>2306</v>
      </c>
      <c r="BS3" t="s">
        <v>2307</v>
      </c>
      <c r="BT3" t="s">
        <v>2308</v>
      </c>
      <c r="BU3" t="s">
        <v>1931</v>
      </c>
      <c r="BV3" t="s">
        <v>2309</v>
      </c>
      <c r="BW3" t="s">
        <v>2310</v>
      </c>
      <c r="BX3" t="s">
        <v>2311</v>
      </c>
      <c r="BY3" t="s">
        <v>2312</v>
      </c>
      <c r="BZ3" t="s">
        <v>2313</v>
      </c>
      <c r="CA3" t="s">
        <v>2314</v>
      </c>
      <c r="CB3" t="s">
        <v>1314</v>
      </c>
      <c r="CC3" t="s">
        <v>2315</v>
      </c>
      <c r="CD3" t="s">
        <v>2316</v>
      </c>
      <c r="CE3" t="s">
        <v>2317</v>
      </c>
      <c r="CF3" t="s">
        <v>2318</v>
      </c>
      <c r="CG3" t="s">
        <v>1263</v>
      </c>
      <c r="CH3" t="s">
        <v>2319</v>
      </c>
      <c r="CI3" t="s">
        <v>2320</v>
      </c>
      <c r="CJ3" t="s">
        <v>2321</v>
      </c>
      <c r="CK3" t="s">
        <v>1350</v>
      </c>
      <c r="CL3" t="s">
        <v>2322</v>
      </c>
      <c r="CM3" t="s">
        <v>2323</v>
      </c>
      <c r="CN3" t="s">
        <v>2324</v>
      </c>
      <c r="CO3" t="s">
        <v>1112</v>
      </c>
      <c r="CP3" t="s">
        <v>2325</v>
      </c>
      <c r="CQ3" t="s">
        <v>2326</v>
      </c>
      <c r="CR3" t="s">
        <v>2327</v>
      </c>
      <c r="CS3" t="s">
        <v>2328</v>
      </c>
      <c r="CT3" t="s">
        <v>2329</v>
      </c>
      <c r="CU3" t="s">
        <v>2330</v>
      </c>
      <c r="CV3" t="s">
        <v>1771</v>
      </c>
      <c r="CW3" t="s">
        <v>2331</v>
      </c>
      <c r="CX3" t="s">
        <v>380</v>
      </c>
      <c r="CY3" t="s">
        <v>2332</v>
      </c>
      <c r="CZ3" t="s">
        <v>2333</v>
      </c>
      <c r="DA3" t="s">
        <v>2334</v>
      </c>
      <c r="DB3" t="s">
        <v>2335</v>
      </c>
      <c r="DC3" t="s">
        <v>2336</v>
      </c>
      <c r="DD3" t="s">
        <v>2337</v>
      </c>
      <c r="DE3" t="s">
        <v>2338</v>
      </c>
      <c r="DF3" t="s">
        <v>2339</v>
      </c>
      <c r="DG3" t="s">
        <v>2340</v>
      </c>
      <c r="DH3" t="s">
        <v>462</v>
      </c>
      <c r="DI3" t="s">
        <v>2341</v>
      </c>
      <c r="DJ3" t="s">
        <v>2342</v>
      </c>
      <c r="DK3" t="s">
        <v>1000</v>
      </c>
      <c r="DL3" t="s">
        <v>2343</v>
      </c>
      <c r="DM3" t="s">
        <v>2344</v>
      </c>
      <c r="DN3" t="s">
        <v>2345</v>
      </c>
      <c r="DO3" t="s">
        <v>2346</v>
      </c>
      <c r="DP3" t="s">
        <v>2347</v>
      </c>
      <c r="DQ3" t="s">
        <v>2348</v>
      </c>
      <c r="DR3" t="s">
        <v>2349</v>
      </c>
      <c r="DS3" t="s">
        <v>2350</v>
      </c>
      <c r="DT3" t="s">
        <v>2351</v>
      </c>
      <c r="DU3" t="s">
        <v>2352</v>
      </c>
      <c r="DV3" t="s">
        <v>2353</v>
      </c>
      <c r="DW3" t="s">
        <v>2354</v>
      </c>
      <c r="DX3" t="s">
        <v>2355</v>
      </c>
      <c r="DY3" t="s">
        <v>2356</v>
      </c>
      <c r="DZ3" t="s">
        <v>2357</v>
      </c>
      <c r="EA3" t="s">
        <v>2358</v>
      </c>
      <c r="EB3" t="s">
        <v>2359</v>
      </c>
      <c r="EC3" t="s">
        <v>2360</v>
      </c>
      <c r="ED3" t="s">
        <v>2361</v>
      </c>
      <c r="EE3" t="s">
        <v>2362</v>
      </c>
      <c r="EF3" t="s">
        <v>2363</v>
      </c>
      <c r="EG3" t="s">
        <v>2364</v>
      </c>
      <c r="EH3" t="s">
        <v>2365</v>
      </c>
      <c r="EI3" t="s">
        <v>2366</v>
      </c>
      <c r="EJ3" t="s">
        <v>2367</v>
      </c>
      <c r="EK3" t="s">
        <v>2368</v>
      </c>
      <c r="EL3" t="s">
        <v>2369</v>
      </c>
      <c r="EM3" t="s">
        <v>2370</v>
      </c>
      <c r="EN3" t="s">
        <v>1103</v>
      </c>
      <c r="EO3" t="s">
        <v>2371</v>
      </c>
      <c r="EP3" t="s">
        <v>1092</v>
      </c>
      <c r="EQ3" t="s">
        <v>2372</v>
      </c>
      <c r="ER3" t="s">
        <v>1079</v>
      </c>
      <c r="ES3" t="s">
        <v>1002</v>
      </c>
      <c r="ET3" t="s">
        <v>1002</v>
      </c>
      <c r="EU3" t="s">
        <v>1680</v>
      </c>
      <c r="EV3" t="s">
        <v>2261</v>
      </c>
      <c r="EW3" t="s">
        <v>2373</v>
      </c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26.02</v>
      </c>
      <c r="E4" s="1063">
        <v>26.02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26.02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2374</v>
      </c>
      <c r="P4">
        <v>65.040000000000006</v>
      </c>
      <c r="Q4">
        <v>26.02</v>
      </c>
      <c r="R4">
        <v>26.02</v>
      </c>
      <c r="S4">
        <v>130.09</v>
      </c>
      <c r="T4">
        <v>26.02</v>
      </c>
      <c r="U4">
        <v>104.02</v>
      </c>
      <c r="V4">
        <v>2630.97</v>
      </c>
      <c r="W4">
        <v>105.68</v>
      </c>
      <c r="X4">
        <v>1659.18</v>
      </c>
      <c r="Y4">
        <v>260.45</v>
      </c>
      <c r="Z4">
        <v>77.8</v>
      </c>
      <c r="AA4">
        <v>2.44</v>
      </c>
      <c r="AB4">
        <v>7</v>
      </c>
      <c r="AC4">
        <v>67.63</v>
      </c>
      <c r="AD4">
        <v>707.64</v>
      </c>
      <c r="AE4">
        <v>1843.19</v>
      </c>
      <c r="AF4">
        <v>304.83999999999997</v>
      </c>
      <c r="AG4">
        <v>53614.8</v>
      </c>
      <c r="AH4">
        <v>752755.84</v>
      </c>
      <c r="AI4">
        <v>185683.68</v>
      </c>
      <c r="AJ4">
        <v>90723.98</v>
      </c>
      <c r="AK4">
        <v>79607</v>
      </c>
      <c r="AL4">
        <v>44111.59</v>
      </c>
      <c r="AM4">
        <v>2514.91</v>
      </c>
      <c r="AN4">
        <v>6400</v>
      </c>
      <c r="AO4">
        <v>54033.07</v>
      </c>
      <c r="AP4">
        <v>16002.15</v>
      </c>
      <c r="AQ4">
        <v>4031.59</v>
      </c>
      <c r="AR4">
        <v>51820.47</v>
      </c>
      <c r="AS4">
        <v>343422.32</v>
      </c>
      <c r="AT4">
        <v>5794.98</v>
      </c>
      <c r="AU4">
        <v>104119.38</v>
      </c>
      <c r="AV4">
        <v>82128.820000000007</v>
      </c>
      <c r="AW4">
        <v>14701.2</v>
      </c>
      <c r="AX4">
        <v>2120.2800000000002</v>
      </c>
      <c r="AY4">
        <v>13121.89</v>
      </c>
      <c r="AZ4">
        <v>72555.41</v>
      </c>
      <c r="BA4">
        <v>1440.42</v>
      </c>
      <c r="BB4">
        <v>8.99</v>
      </c>
      <c r="BC4">
        <v>240</v>
      </c>
      <c r="BD4">
        <v>14060.22</v>
      </c>
      <c r="BE4">
        <v>2100</v>
      </c>
      <c r="BF4">
        <v>24926.85</v>
      </c>
      <c r="BG4">
        <v>4048.59</v>
      </c>
      <c r="BH4">
        <v>11592.84</v>
      </c>
      <c r="BI4">
        <v>15257.88</v>
      </c>
      <c r="BJ4">
        <v>10531.08</v>
      </c>
      <c r="BK4">
        <v>7460</v>
      </c>
      <c r="BL4">
        <v>3140.79</v>
      </c>
      <c r="BM4">
        <v>6093.69</v>
      </c>
      <c r="BN4">
        <v>1.74</v>
      </c>
      <c r="BO4">
        <v>1021.69</v>
      </c>
      <c r="BP4">
        <v>750</v>
      </c>
      <c r="BQ4">
        <v>1050</v>
      </c>
      <c r="BR4">
        <v>3050</v>
      </c>
      <c r="BS4">
        <v>2900</v>
      </c>
      <c r="BT4">
        <v>1440</v>
      </c>
      <c r="BU4">
        <v>480</v>
      </c>
      <c r="BV4">
        <v>1280</v>
      </c>
      <c r="BW4">
        <v>2430.38</v>
      </c>
      <c r="BX4">
        <v>1385.63</v>
      </c>
      <c r="BY4">
        <v>2060.7399999999998</v>
      </c>
      <c r="BZ4">
        <v>357.66</v>
      </c>
      <c r="CA4">
        <v>4992.09</v>
      </c>
      <c r="CB4">
        <v>530.44000000000005</v>
      </c>
      <c r="CC4">
        <v>323.52</v>
      </c>
      <c r="CD4">
        <v>584.37</v>
      </c>
      <c r="CE4">
        <v>1103.75</v>
      </c>
      <c r="CF4">
        <v>374.84</v>
      </c>
      <c r="CG4">
        <v>121.46</v>
      </c>
      <c r="CH4">
        <v>1070.49</v>
      </c>
      <c r="CI4">
        <v>1763.35</v>
      </c>
      <c r="CJ4">
        <v>6</v>
      </c>
      <c r="CK4">
        <v>220.8</v>
      </c>
      <c r="CL4">
        <v>150.80000000000001</v>
      </c>
      <c r="CM4">
        <v>105</v>
      </c>
      <c r="CN4">
        <v>7.56</v>
      </c>
      <c r="CO4">
        <v>27.72</v>
      </c>
      <c r="CP4">
        <v>205.8</v>
      </c>
      <c r="CQ4">
        <v>46</v>
      </c>
      <c r="CR4">
        <v>20.399999999999999</v>
      </c>
      <c r="CS4">
        <v>768</v>
      </c>
      <c r="CT4">
        <v>3.78</v>
      </c>
      <c r="CU4">
        <v>42</v>
      </c>
      <c r="CV4">
        <v>3.95</v>
      </c>
      <c r="CW4">
        <v>75.400000000000006</v>
      </c>
      <c r="CX4">
        <v>321</v>
      </c>
      <c r="CY4">
        <v>211.32</v>
      </c>
      <c r="CZ4">
        <v>100.8</v>
      </c>
      <c r="DA4">
        <v>50.39</v>
      </c>
      <c r="DB4">
        <v>237.6</v>
      </c>
      <c r="DC4">
        <v>327.60000000000002</v>
      </c>
      <c r="DD4">
        <v>12.6</v>
      </c>
      <c r="DE4">
        <v>293</v>
      </c>
      <c r="DF4">
        <v>121.44</v>
      </c>
      <c r="DG4">
        <v>10.08</v>
      </c>
      <c r="DH4">
        <v>30.24</v>
      </c>
      <c r="DI4">
        <v>316.56</v>
      </c>
      <c r="DJ4">
        <v>225.39</v>
      </c>
      <c r="DK4">
        <v>2127.44</v>
      </c>
      <c r="DL4">
        <v>233.18</v>
      </c>
      <c r="DM4">
        <v>87.2</v>
      </c>
      <c r="DN4">
        <v>208.79</v>
      </c>
      <c r="DO4">
        <v>682.8</v>
      </c>
      <c r="DP4">
        <v>42</v>
      </c>
      <c r="DQ4">
        <v>276.8</v>
      </c>
      <c r="DR4">
        <v>32</v>
      </c>
      <c r="DS4">
        <v>44.74</v>
      </c>
      <c r="DT4">
        <v>40</v>
      </c>
      <c r="DU4">
        <v>50.85</v>
      </c>
      <c r="DV4">
        <v>79.95</v>
      </c>
      <c r="DW4">
        <v>20</v>
      </c>
      <c r="DX4">
        <v>80</v>
      </c>
      <c r="DY4">
        <v>66</v>
      </c>
      <c r="DZ4">
        <v>55188.01</v>
      </c>
      <c r="EA4">
        <v>283.5</v>
      </c>
      <c r="EB4">
        <v>74.599999999999994</v>
      </c>
      <c r="EC4">
        <v>25.2</v>
      </c>
      <c r="ED4">
        <v>58.8</v>
      </c>
      <c r="EE4">
        <v>366.72</v>
      </c>
      <c r="EF4">
        <v>264</v>
      </c>
      <c r="EG4">
        <v>268.8</v>
      </c>
      <c r="EH4">
        <v>180.6</v>
      </c>
      <c r="EI4">
        <v>50.4</v>
      </c>
      <c r="EJ4">
        <v>16.8</v>
      </c>
      <c r="EK4">
        <v>50.39</v>
      </c>
      <c r="EL4">
        <v>622.07000000000005</v>
      </c>
      <c r="EM4">
        <v>372.96</v>
      </c>
      <c r="EN4">
        <v>50.4</v>
      </c>
      <c r="EO4">
        <v>8.4</v>
      </c>
      <c r="EP4">
        <v>33.6</v>
      </c>
      <c r="EQ4">
        <v>88.2</v>
      </c>
      <c r="ER4">
        <v>100.8</v>
      </c>
      <c r="ES4">
        <v>861.8</v>
      </c>
      <c r="ET4">
        <v>240</v>
      </c>
      <c r="EU4">
        <v>516.6</v>
      </c>
      <c r="EV4">
        <v>3210</v>
      </c>
      <c r="EW4">
        <v>1974.39</v>
      </c>
      <c r="EX4">
        <v>1583.4</v>
      </c>
      <c r="EY4">
        <v>2191784.2999999998</v>
      </c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26.02</v>
      </c>
      <c r="E5" s="1063">
        <v>26.29</v>
      </c>
      <c r="F5" s="1063">
        <v>0.27</v>
      </c>
      <c r="G5" s="1063">
        <v>1.05</v>
      </c>
      <c r="H5" s="1066" t="str">
        <f t="shared" si="1"/>
        <v>CORN</v>
      </c>
      <c r="I5" s="1068">
        <f t="shared" si="3"/>
        <v>26.29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2375</v>
      </c>
      <c r="P5">
        <v>65.040000000000006</v>
      </c>
      <c r="Q5">
        <v>26.02</v>
      </c>
      <c r="R5">
        <v>26.29</v>
      </c>
      <c r="S5">
        <v>128.6</v>
      </c>
      <c r="T5">
        <v>26.06</v>
      </c>
      <c r="U5">
        <v>87.75</v>
      </c>
      <c r="V5">
        <v>2649.45</v>
      </c>
      <c r="W5">
        <v>105.68</v>
      </c>
      <c r="X5">
        <v>1661</v>
      </c>
      <c r="Y5">
        <v>260.45</v>
      </c>
      <c r="Z5">
        <v>77.8</v>
      </c>
      <c r="AA5">
        <v>2.44</v>
      </c>
      <c r="AB5">
        <v>7</v>
      </c>
      <c r="AC5">
        <v>67.63</v>
      </c>
      <c r="AD5">
        <v>707.64</v>
      </c>
      <c r="AE5">
        <v>1837</v>
      </c>
      <c r="AF5">
        <v>305.3</v>
      </c>
      <c r="AG5">
        <v>53725</v>
      </c>
      <c r="AH5">
        <v>751693</v>
      </c>
      <c r="AI5">
        <v>185918</v>
      </c>
      <c r="AJ5">
        <v>90576</v>
      </c>
      <c r="AK5">
        <v>79447</v>
      </c>
      <c r="AL5">
        <v>44047</v>
      </c>
      <c r="AM5">
        <v>2540</v>
      </c>
      <c r="AN5">
        <v>6462</v>
      </c>
      <c r="AO5">
        <v>53656</v>
      </c>
      <c r="AP5">
        <v>15551.5</v>
      </c>
      <c r="AQ5">
        <v>3965</v>
      </c>
      <c r="AR5">
        <v>51835</v>
      </c>
      <c r="AS5">
        <v>343468</v>
      </c>
      <c r="AT5">
        <v>5853</v>
      </c>
      <c r="AU5">
        <v>104262</v>
      </c>
      <c r="AV5">
        <v>82190</v>
      </c>
      <c r="AW5">
        <v>14597</v>
      </c>
      <c r="AX5">
        <v>2137</v>
      </c>
      <c r="AY5">
        <v>12854</v>
      </c>
      <c r="AZ5">
        <v>72601</v>
      </c>
      <c r="BA5">
        <v>1450</v>
      </c>
      <c r="BB5">
        <v>8.98</v>
      </c>
      <c r="BC5">
        <v>240.7</v>
      </c>
      <c r="BD5">
        <v>13879.4</v>
      </c>
      <c r="BE5">
        <v>2100</v>
      </c>
      <c r="BF5">
        <v>24926.85</v>
      </c>
      <c r="BG5">
        <v>4057.7</v>
      </c>
      <c r="BH5">
        <v>11581.3</v>
      </c>
      <c r="BI5">
        <v>15231</v>
      </c>
      <c r="BJ5">
        <v>10616.5</v>
      </c>
      <c r="BK5">
        <v>7432</v>
      </c>
      <c r="BL5">
        <v>3128.8</v>
      </c>
      <c r="BM5">
        <v>6042</v>
      </c>
      <c r="BN5">
        <v>1.74</v>
      </c>
      <c r="BO5">
        <v>1022.95</v>
      </c>
      <c r="BP5">
        <v>745.5</v>
      </c>
      <c r="BQ5">
        <v>1046</v>
      </c>
      <c r="BR5">
        <v>3050</v>
      </c>
      <c r="BS5">
        <v>2913</v>
      </c>
      <c r="BT5">
        <v>1439</v>
      </c>
      <c r="BU5">
        <v>488</v>
      </c>
      <c r="BV5">
        <v>1281.5</v>
      </c>
      <c r="BW5">
        <v>2430.1799999999998</v>
      </c>
      <c r="BX5">
        <v>1386.1</v>
      </c>
      <c r="BY5">
        <v>2063.65</v>
      </c>
      <c r="BZ5">
        <v>358.2</v>
      </c>
      <c r="CA5">
        <v>4958.7</v>
      </c>
      <c r="CB5">
        <v>529.22</v>
      </c>
      <c r="CC5">
        <v>322.95</v>
      </c>
      <c r="CD5">
        <v>581.72</v>
      </c>
      <c r="CE5">
        <v>1107.1500000000001</v>
      </c>
      <c r="CF5">
        <v>372.8</v>
      </c>
      <c r="CG5">
        <v>120.42</v>
      </c>
      <c r="CH5">
        <v>1057.92</v>
      </c>
      <c r="CI5">
        <v>1741.8</v>
      </c>
      <c r="CJ5">
        <v>5.94</v>
      </c>
      <c r="CK5">
        <v>220.8</v>
      </c>
      <c r="CL5">
        <v>149.01</v>
      </c>
      <c r="CM5">
        <v>104.19</v>
      </c>
      <c r="CN5">
        <v>7.56</v>
      </c>
      <c r="CO5">
        <v>27.72</v>
      </c>
      <c r="CP5">
        <v>205.8</v>
      </c>
      <c r="CQ5">
        <v>45.96</v>
      </c>
      <c r="CR5">
        <v>20.399999999999999</v>
      </c>
      <c r="CS5">
        <v>760.6</v>
      </c>
      <c r="CT5">
        <v>3.78</v>
      </c>
      <c r="CU5">
        <v>41.89</v>
      </c>
      <c r="CV5">
        <v>3.95</v>
      </c>
      <c r="CW5">
        <v>74.73</v>
      </c>
      <c r="CX5">
        <v>322.5</v>
      </c>
      <c r="CY5">
        <v>209.78</v>
      </c>
      <c r="CZ5">
        <v>100.48</v>
      </c>
      <c r="DA5">
        <v>49.88</v>
      </c>
      <c r="DB5">
        <v>238</v>
      </c>
      <c r="DC5">
        <v>327.60000000000002</v>
      </c>
      <c r="DD5">
        <v>12.55</v>
      </c>
      <c r="DE5">
        <v>291.86</v>
      </c>
      <c r="DF5">
        <v>122.07</v>
      </c>
      <c r="DG5">
        <v>10.08</v>
      </c>
      <c r="DH5">
        <v>30.24</v>
      </c>
      <c r="DI5">
        <v>316.56</v>
      </c>
      <c r="DJ5">
        <v>225.42</v>
      </c>
      <c r="DK5">
        <v>2130.1</v>
      </c>
      <c r="DL5">
        <v>233.11</v>
      </c>
      <c r="DM5">
        <v>87.08</v>
      </c>
      <c r="DN5">
        <v>207.5</v>
      </c>
      <c r="DO5">
        <v>675.64</v>
      </c>
      <c r="DP5">
        <v>41.76</v>
      </c>
      <c r="DQ5">
        <v>278.2</v>
      </c>
      <c r="DR5">
        <v>32.33</v>
      </c>
      <c r="DS5">
        <v>44.74</v>
      </c>
      <c r="DT5">
        <v>40</v>
      </c>
      <c r="DU5">
        <v>50.85</v>
      </c>
      <c r="DV5">
        <v>79.95</v>
      </c>
      <c r="DW5">
        <v>20</v>
      </c>
      <c r="DX5">
        <v>80</v>
      </c>
      <c r="DY5">
        <v>66</v>
      </c>
      <c r="DZ5">
        <v>55224</v>
      </c>
      <c r="EA5">
        <v>281.88</v>
      </c>
      <c r="EB5">
        <v>73.650000000000006</v>
      </c>
      <c r="EC5">
        <v>24.84</v>
      </c>
      <c r="ED5">
        <v>59.36</v>
      </c>
      <c r="EE5">
        <v>366.82</v>
      </c>
      <c r="EF5">
        <v>262.39999999999998</v>
      </c>
      <c r="EG5">
        <v>266.62</v>
      </c>
      <c r="EH5">
        <v>179.76</v>
      </c>
      <c r="EI5">
        <v>49.99</v>
      </c>
      <c r="EJ5">
        <v>16.63</v>
      </c>
      <c r="EK5">
        <v>49.92</v>
      </c>
      <c r="EL5">
        <v>619.9</v>
      </c>
      <c r="EM5">
        <v>374.12</v>
      </c>
      <c r="EN5">
        <v>50.4</v>
      </c>
      <c r="EO5">
        <v>8.3699999999999992</v>
      </c>
      <c r="EP5">
        <v>33.299999999999997</v>
      </c>
      <c r="EQ5">
        <v>88.2</v>
      </c>
      <c r="ER5">
        <v>100.8</v>
      </c>
      <c r="ES5">
        <v>859.84</v>
      </c>
      <c r="ET5">
        <v>240</v>
      </c>
      <c r="EU5">
        <v>507.62</v>
      </c>
      <c r="EV5">
        <v>3247.43</v>
      </c>
      <c r="EW5">
        <v>1977.82</v>
      </c>
      <c r="EX5">
        <v>1584.25</v>
      </c>
      <c r="EY5">
        <v>2189676.9300000002</v>
      </c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130.09</v>
      </c>
      <c r="E6" s="1063">
        <v>128.6</v>
      </c>
      <c r="F6" s="1063">
        <v>-1.48</v>
      </c>
      <c r="G6" s="1063">
        <v>-1.1399999999999999</v>
      </c>
      <c r="H6" s="1066" t="str">
        <f t="shared" si="1"/>
        <v>CORN</v>
      </c>
      <c r="I6" s="1068">
        <f t="shared" si="3"/>
        <v>128.6</v>
      </c>
      <c r="J6" s="836">
        <v>25299.67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2376</v>
      </c>
      <c r="P6">
        <v>0</v>
      </c>
      <c r="Q6">
        <v>0</v>
      </c>
      <c r="R6">
        <v>0.27</v>
      </c>
      <c r="S6">
        <v>-1.48</v>
      </c>
      <c r="T6">
        <v>0.04</v>
      </c>
      <c r="U6">
        <v>-16.27</v>
      </c>
      <c r="V6">
        <v>18.48</v>
      </c>
      <c r="W6">
        <v>0</v>
      </c>
      <c r="X6">
        <v>1.82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-6.19</v>
      </c>
      <c r="AF6">
        <v>0.46</v>
      </c>
      <c r="AG6">
        <v>110.2</v>
      </c>
      <c r="AH6">
        <v>-1062.8399999999999</v>
      </c>
      <c r="AI6">
        <v>234.32</v>
      </c>
      <c r="AJ6">
        <v>-147.97999999999999</v>
      </c>
      <c r="AK6">
        <v>-160</v>
      </c>
      <c r="AL6">
        <v>-64.59</v>
      </c>
      <c r="AM6">
        <v>25.09</v>
      </c>
      <c r="AN6">
        <v>62</v>
      </c>
      <c r="AO6">
        <v>-377.07</v>
      </c>
      <c r="AP6">
        <v>-450.65</v>
      </c>
      <c r="AQ6">
        <v>-66.59</v>
      </c>
      <c r="AR6">
        <v>14.53</v>
      </c>
      <c r="AS6">
        <v>45.68</v>
      </c>
      <c r="AT6">
        <v>58.02</v>
      </c>
      <c r="AU6">
        <v>142.62</v>
      </c>
      <c r="AV6">
        <v>61.18</v>
      </c>
      <c r="AW6">
        <v>-104.2</v>
      </c>
      <c r="AX6">
        <v>16.72</v>
      </c>
      <c r="AY6">
        <v>-267.89</v>
      </c>
      <c r="AZ6">
        <v>45.59</v>
      </c>
      <c r="BA6">
        <v>9.58</v>
      </c>
      <c r="BB6">
        <v>-0.01</v>
      </c>
      <c r="BC6">
        <v>0.7</v>
      </c>
      <c r="BD6">
        <v>-180.82</v>
      </c>
      <c r="BE6">
        <v>0</v>
      </c>
      <c r="BF6">
        <v>0</v>
      </c>
      <c r="BG6">
        <v>9.11</v>
      </c>
      <c r="BH6">
        <v>-11.54</v>
      </c>
      <c r="BI6">
        <v>-26.88</v>
      </c>
      <c r="BJ6">
        <v>85.42</v>
      </c>
      <c r="BK6">
        <v>-28</v>
      </c>
      <c r="BL6">
        <v>-11.99</v>
      </c>
      <c r="BM6">
        <v>-51.69</v>
      </c>
      <c r="BN6">
        <v>0</v>
      </c>
      <c r="BO6">
        <v>1.26</v>
      </c>
      <c r="BP6">
        <v>-4.5</v>
      </c>
      <c r="BQ6">
        <v>-4</v>
      </c>
      <c r="BR6">
        <v>0</v>
      </c>
      <c r="BS6">
        <v>13</v>
      </c>
      <c r="BT6">
        <v>-1</v>
      </c>
      <c r="BU6">
        <v>8</v>
      </c>
      <c r="BV6">
        <v>1.5</v>
      </c>
      <c r="BW6">
        <v>-0.19</v>
      </c>
      <c r="BX6">
        <v>0.47</v>
      </c>
      <c r="BY6">
        <v>2.91</v>
      </c>
      <c r="BZ6">
        <v>0.54</v>
      </c>
      <c r="CA6">
        <v>-33.39</v>
      </c>
      <c r="CB6">
        <v>-1.22</v>
      </c>
      <c r="CC6">
        <v>-0.56999999999999995</v>
      </c>
      <c r="CD6">
        <v>-2.65</v>
      </c>
      <c r="CE6">
        <v>3.4</v>
      </c>
      <c r="CF6">
        <v>-2.04</v>
      </c>
      <c r="CG6">
        <v>-1.04</v>
      </c>
      <c r="CH6">
        <v>-12.57</v>
      </c>
      <c r="CI6">
        <v>-21.55</v>
      </c>
      <c r="CJ6">
        <v>-0.06</v>
      </c>
      <c r="CK6">
        <v>0</v>
      </c>
      <c r="CL6">
        <v>-1.79</v>
      </c>
      <c r="CM6">
        <v>-0.81</v>
      </c>
      <c r="CN6">
        <v>0</v>
      </c>
      <c r="CO6">
        <v>0</v>
      </c>
      <c r="CP6">
        <v>0</v>
      </c>
      <c r="CQ6">
        <v>-0.04</v>
      </c>
      <c r="CR6">
        <v>0</v>
      </c>
      <c r="CS6">
        <v>-7.4</v>
      </c>
      <c r="CT6">
        <v>0</v>
      </c>
      <c r="CU6">
        <v>-0.11</v>
      </c>
      <c r="CV6">
        <v>0</v>
      </c>
      <c r="CW6">
        <v>-0.67</v>
      </c>
      <c r="CX6">
        <v>1.5</v>
      </c>
      <c r="CY6">
        <v>-1.54</v>
      </c>
      <c r="CZ6">
        <v>-0.32</v>
      </c>
      <c r="DA6">
        <v>-0.51</v>
      </c>
      <c r="DB6">
        <v>0.4</v>
      </c>
      <c r="DC6">
        <v>0</v>
      </c>
      <c r="DD6">
        <v>-0.05</v>
      </c>
      <c r="DE6">
        <v>-1.1399999999999999</v>
      </c>
      <c r="DF6">
        <v>0.63</v>
      </c>
      <c r="DG6">
        <v>0</v>
      </c>
      <c r="DH6">
        <v>0</v>
      </c>
      <c r="DI6">
        <v>0</v>
      </c>
      <c r="DJ6">
        <v>0.03</v>
      </c>
      <c r="DK6">
        <v>2.66</v>
      </c>
      <c r="DL6">
        <v>-7.0000000000000007E-2</v>
      </c>
      <c r="DM6">
        <v>-0.12</v>
      </c>
      <c r="DN6">
        <v>-1.29</v>
      </c>
      <c r="DO6">
        <v>-7.16</v>
      </c>
      <c r="DP6">
        <v>-0.24</v>
      </c>
      <c r="DQ6">
        <v>1.4</v>
      </c>
      <c r="DR6">
        <v>0.33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35.99</v>
      </c>
      <c r="EA6">
        <v>-1.62</v>
      </c>
      <c r="EB6">
        <v>-0.95</v>
      </c>
      <c r="EC6">
        <v>-0.36</v>
      </c>
      <c r="ED6">
        <v>0.56000000000000005</v>
      </c>
      <c r="EE6">
        <v>0.1</v>
      </c>
      <c r="EF6">
        <v>-1.6</v>
      </c>
      <c r="EG6">
        <v>-2.1800000000000002</v>
      </c>
      <c r="EH6">
        <v>-0.84</v>
      </c>
      <c r="EI6">
        <v>-0.41</v>
      </c>
      <c r="EJ6">
        <v>-0.17</v>
      </c>
      <c r="EK6">
        <v>-0.47</v>
      </c>
      <c r="EL6">
        <v>-2.17</v>
      </c>
      <c r="EM6">
        <v>1.1599999999999999</v>
      </c>
      <c r="EN6">
        <v>0</v>
      </c>
      <c r="EO6">
        <v>-0.03</v>
      </c>
      <c r="EP6">
        <v>-0.3</v>
      </c>
      <c r="EQ6">
        <v>0</v>
      </c>
      <c r="ER6">
        <v>0</v>
      </c>
      <c r="ES6">
        <v>-1.96</v>
      </c>
      <c r="ET6">
        <v>0</v>
      </c>
      <c r="EU6">
        <v>-8.98</v>
      </c>
      <c r="EV6">
        <v>37.43</v>
      </c>
      <c r="EW6">
        <v>3.43</v>
      </c>
      <c r="EX6">
        <v>0.85</v>
      </c>
      <c r="EY6">
        <v>-2107.37</v>
      </c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26.02</v>
      </c>
      <c r="E7" s="1063">
        <v>26.06</v>
      </c>
      <c r="F7" s="1063">
        <v>0.04</v>
      </c>
      <c r="G7" s="1063">
        <v>0.16</v>
      </c>
      <c r="H7" s="1066" t="str">
        <f t="shared" si="1"/>
        <v>CORN</v>
      </c>
      <c r="I7" s="1068">
        <f t="shared" si="3"/>
        <v>26.06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2377</v>
      </c>
      <c r="P7">
        <v>0</v>
      </c>
      <c r="Q7">
        <v>0</v>
      </c>
      <c r="R7">
        <v>1.05</v>
      </c>
      <c r="S7">
        <v>-1.1399999999999999</v>
      </c>
      <c r="T7">
        <v>0.16</v>
      </c>
      <c r="U7">
        <v>-15.64</v>
      </c>
      <c r="V7">
        <v>0.7</v>
      </c>
      <c r="W7">
        <v>0</v>
      </c>
      <c r="X7">
        <v>0.11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-0.34</v>
      </c>
      <c r="AF7">
        <v>0.15</v>
      </c>
      <c r="AG7">
        <v>0.21</v>
      </c>
      <c r="AH7">
        <v>-0.14000000000000001</v>
      </c>
      <c r="AI7">
        <v>0.13</v>
      </c>
      <c r="AJ7">
        <v>-0.16</v>
      </c>
      <c r="AK7">
        <v>-0.2</v>
      </c>
      <c r="AL7">
        <v>-0.15</v>
      </c>
      <c r="AM7">
        <v>1</v>
      </c>
      <c r="AN7">
        <v>0.97</v>
      </c>
      <c r="AO7">
        <v>-0.7</v>
      </c>
      <c r="AP7">
        <v>-2.82</v>
      </c>
      <c r="AQ7">
        <v>-1.65</v>
      </c>
      <c r="AR7">
        <v>0.03</v>
      </c>
      <c r="AS7">
        <v>0.01</v>
      </c>
      <c r="AT7">
        <v>1</v>
      </c>
      <c r="AU7">
        <v>0.14000000000000001</v>
      </c>
      <c r="AV7">
        <v>7.0000000000000007E-2</v>
      </c>
      <c r="AW7">
        <v>-0.71</v>
      </c>
      <c r="AX7">
        <v>0.79</v>
      </c>
      <c r="AY7">
        <v>-2.04</v>
      </c>
      <c r="AZ7">
        <v>0.06</v>
      </c>
      <c r="BA7">
        <v>0.67</v>
      </c>
      <c r="BB7">
        <v>-0.12</v>
      </c>
      <c r="BC7">
        <v>0.28999999999999998</v>
      </c>
      <c r="BD7">
        <v>-1.29</v>
      </c>
      <c r="BE7">
        <v>0</v>
      </c>
      <c r="BF7">
        <v>0</v>
      </c>
      <c r="BG7">
        <v>0.22</v>
      </c>
      <c r="BH7">
        <v>-0.1</v>
      </c>
      <c r="BI7">
        <v>-0.18</v>
      </c>
      <c r="BJ7">
        <v>0.81</v>
      </c>
      <c r="BK7">
        <v>-0.38</v>
      </c>
      <c r="BL7">
        <v>-0.38</v>
      </c>
      <c r="BM7">
        <v>-0.85</v>
      </c>
      <c r="BN7">
        <v>0</v>
      </c>
      <c r="BO7">
        <v>0.12</v>
      </c>
      <c r="BP7">
        <v>-0.6</v>
      </c>
      <c r="BQ7">
        <v>-0.38</v>
      </c>
      <c r="BR7">
        <v>0</v>
      </c>
      <c r="BS7">
        <v>0.45</v>
      </c>
      <c r="BT7">
        <v>-7.0000000000000007E-2</v>
      </c>
      <c r="BU7">
        <v>1.67</v>
      </c>
      <c r="BV7">
        <v>0.12</v>
      </c>
      <c r="BW7">
        <v>-0.01</v>
      </c>
      <c r="BX7">
        <v>0.03</v>
      </c>
      <c r="BY7">
        <v>0.14000000000000001</v>
      </c>
      <c r="BZ7">
        <v>0.15</v>
      </c>
      <c r="CA7">
        <v>-0.67</v>
      </c>
      <c r="CB7">
        <v>-0.23</v>
      </c>
      <c r="CC7">
        <v>-0.17</v>
      </c>
      <c r="CD7">
        <v>-0.45</v>
      </c>
      <c r="CE7">
        <v>0.31</v>
      </c>
      <c r="CF7">
        <v>-0.54</v>
      </c>
      <c r="CG7">
        <v>-0.86</v>
      </c>
      <c r="CH7">
        <v>-1.17</v>
      </c>
      <c r="CI7">
        <v>-1.22</v>
      </c>
      <c r="CJ7">
        <v>-1</v>
      </c>
      <c r="CK7">
        <v>0</v>
      </c>
      <c r="CL7">
        <v>-1.19</v>
      </c>
      <c r="CM7">
        <v>-0.77</v>
      </c>
      <c r="CN7">
        <v>0</v>
      </c>
      <c r="CO7">
        <v>0</v>
      </c>
      <c r="CP7">
        <v>0</v>
      </c>
      <c r="CQ7">
        <v>-0.09</v>
      </c>
      <c r="CR7">
        <v>0</v>
      </c>
      <c r="CS7">
        <v>-0.96</v>
      </c>
      <c r="CT7">
        <v>0</v>
      </c>
      <c r="CU7">
        <v>-0.26</v>
      </c>
      <c r="CV7">
        <v>0</v>
      </c>
      <c r="CW7">
        <v>-0.89</v>
      </c>
      <c r="CX7">
        <v>0.47</v>
      </c>
      <c r="CY7">
        <v>-0.73</v>
      </c>
      <c r="CZ7">
        <v>-0.32</v>
      </c>
      <c r="DA7">
        <v>-1</v>
      </c>
      <c r="DB7">
        <v>0.17</v>
      </c>
      <c r="DC7">
        <v>0</v>
      </c>
      <c r="DD7">
        <v>-0.4</v>
      </c>
      <c r="DE7">
        <v>-0.39</v>
      </c>
      <c r="DF7">
        <v>0.52</v>
      </c>
      <c r="DG7">
        <v>0</v>
      </c>
      <c r="DH7">
        <v>0</v>
      </c>
      <c r="DI7">
        <v>0</v>
      </c>
      <c r="DJ7">
        <v>0.01</v>
      </c>
      <c r="DK7">
        <v>0.12</v>
      </c>
      <c r="DL7">
        <v>-0.03</v>
      </c>
      <c r="DM7">
        <v>-0.14000000000000001</v>
      </c>
      <c r="DN7">
        <v>-0.62</v>
      </c>
      <c r="DO7">
        <v>-1.05</v>
      </c>
      <c r="DP7">
        <v>-0.56999999999999995</v>
      </c>
      <c r="DQ7">
        <v>0.51</v>
      </c>
      <c r="DR7">
        <v>1.03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7.0000000000000007E-2</v>
      </c>
      <c r="EA7">
        <v>-0.56999999999999995</v>
      </c>
      <c r="EB7">
        <v>-1.27</v>
      </c>
      <c r="EC7">
        <v>-1.43</v>
      </c>
      <c r="ED7">
        <v>0.95</v>
      </c>
      <c r="EE7">
        <v>0.03</v>
      </c>
      <c r="EF7">
        <v>-0.61</v>
      </c>
      <c r="EG7">
        <v>-0.81</v>
      </c>
      <c r="EH7">
        <v>-0.47</v>
      </c>
      <c r="EI7">
        <v>-0.81</v>
      </c>
      <c r="EJ7">
        <v>-1.01</v>
      </c>
      <c r="EK7">
        <v>-0.92</v>
      </c>
      <c r="EL7">
        <v>-0.35</v>
      </c>
      <c r="EM7">
        <v>0.31</v>
      </c>
      <c r="EN7">
        <v>0</v>
      </c>
      <c r="EO7">
        <v>-0.36</v>
      </c>
      <c r="EP7">
        <v>-0.89</v>
      </c>
      <c r="EQ7">
        <v>0</v>
      </c>
      <c r="ER7">
        <v>0</v>
      </c>
      <c r="ES7">
        <v>-0.23</v>
      </c>
      <c r="ET7">
        <v>0</v>
      </c>
      <c r="EU7">
        <v>-1.74</v>
      </c>
      <c r="EV7">
        <v>1.17</v>
      </c>
      <c r="EW7">
        <v>0.17</v>
      </c>
      <c r="EX7">
        <v>0.05</v>
      </c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104.02</v>
      </c>
      <c r="E8" s="1063">
        <v>87.75</v>
      </c>
      <c r="F8" s="1063">
        <v>-16.27</v>
      </c>
      <c r="G8" s="1063">
        <v>-15.64</v>
      </c>
      <c r="H8" s="1066" t="str">
        <f t="shared" si="1"/>
        <v>CORN</v>
      </c>
      <c r="I8" s="1068">
        <f t="shared" si="3"/>
        <v>87.75</v>
      </c>
      <c r="J8" s="832"/>
      <c r="K8" s="1063"/>
      <c r="L8" s="1190" t="s">
        <v>1668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2630.97</v>
      </c>
      <c r="E9" s="1063">
        <v>2649.45</v>
      </c>
      <c r="F9" s="1063">
        <v>18.48</v>
      </c>
      <c r="G9" s="1063">
        <v>0.7</v>
      </c>
      <c r="H9" s="1066" t="str">
        <f t="shared" si="1"/>
        <v>CORN</v>
      </c>
      <c r="I9" s="1068">
        <f t="shared" si="3"/>
        <v>2649.45</v>
      </c>
      <c r="J9" s="835" t="s">
        <v>941</v>
      </c>
      <c r="K9" s="835" t="s">
        <v>1694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105.68</v>
      </c>
      <c r="E10" s="1063">
        <v>105.68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220</v>
      </c>
      <c r="K10" s="1893">
        <f>SUMIF($B:$B,"840155",$E:$E)</f>
        <v>220.8</v>
      </c>
      <c r="L10" s="833" t="s">
        <v>1567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1659.18</v>
      </c>
      <c r="E11" s="1063">
        <v>1661</v>
      </c>
      <c r="F11" s="1063">
        <v>1.82</v>
      </c>
      <c r="G11" s="1063">
        <v>0.11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260.45</v>
      </c>
      <c r="E12" s="1063">
        <v>260.45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1522</v>
      </c>
      <c r="L12" s="1190" t="s">
        <v>1625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77.8</v>
      </c>
      <c r="E13" s="1063">
        <v>77.8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1977.82</v>
      </c>
      <c r="K13" s="836">
        <f>203+369</f>
        <v>572</v>
      </c>
      <c r="L13" s="1190">
        <v>26904</v>
      </c>
      <c r="M13" s="834" t="s">
        <v>804</v>
      </c>
      <c r="N13" s="1069">
        <f t="shared" si="4"/>
        <v>0</v>
      </c>
      <c r="O13" t="s">
        <v>2378</v>
      </c>
      <c r="P13">
        <v>26903</v>
      </c>
      <c r="Q13">
        <v>112001</v>
      </c>
      <c r="R13" t="s">
        <v>2379</v>
      </c>
      <c r="S13">
        <v>115501</v>
      </c>
      <c r="T13">
        <v>115901</v>
      </c>
      <c r="U13">
        <v>127001</v>
      </c>
      <c r="V13">
        <v>12700815</v>
      </c>
      <c r="W13">
        <v>203101</v>
      </c>
      <c r="X13">
        <v>31210825</v>
      </c>
      <c r="Y13">
        <v>31410854</v>
      </c>
      <c r="Z13">
        <v>31411813</v>
      </c>
      <c r="AA13">
        <v>31411831</v>
      </c>
      <c r="AB13">
        <v>320001</v>
      </c>
      <c r="AC13">
        <v>320101</v>
      </c>
      <c r="AD13">
        <v>321001</v>
      </c>
      <c r="AE13">
        <v>321018</v>
      </c>
      <c r="AF13">
        <v>321101</v>
      </c>
      <c r="AG13">
        <v>321181</v>
      </c>
      <c r="AH13">
        <v>332211</v>
      </c>
      <c r="AI13">
        <v>364201</v>
      </c>
      <c r="AJ13">
        <v>364301</v>
      </c>
      <c r="AK13">
        <v>366201</v>
      </c>
      <c r="AL13">
        <v>36620834</v>
      </c>
      <c r="AM13">
        <v>36630831</v>
      </c>
      <c r="AN13">
        <v>36710834</v>
      </c>
      <c r="AO13">
        <v>36730825</v>
      </c>
      <c r="AP13">
        <v>422001</v>
      </c>
      <c r="AQ13">
        <v>423001</v>
      </c>
      <c r="AR13">
        <v>423701</v>
      </c>
      <c r="AS13">
        <v>433000</v>
      </c>
      <c r="AT13">
        <v>433777</v>
      </c>
      <c r="AU13">
        <v>433787</v>
      </c>
      <c r="AV13">
        <v>433790</v>
      </c>
      <c r="AW13">
        <v>433792</v>
      </c>
      <c r="AX13">
        <v>546001</v>
      </c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3618</v>
      </c>
      <c r="B14" s="1063">
        <v>3618</v>
      </c>
      <c r="C14" s="1063" t="str">
        <v>KemZin 2000 CP</v>
      </c>
      <c r="D14" s="1063">
        <v>2.44</v>
      </c>
      <c r="E14" s="1063">
        <v>2.44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1744</v>
      </c>
      <c r="M14" s="834" t="s">
        <v>804</v>
      </c>
      <c r="N14" s="1069">
        <f t="shared" si="4"/>
        <v>0</v>
      </c>
      <c r="O14" t="s">
        <v>2264</v>
      </c>
      <c r="P14" t="s">
        <v>2279</v>
      </c>
      <c r="Q14" t="s">
        <v>2380</v>
      </c>
      <c r="R14" t="s">
        <v>2381</v>
      </c>
      <c r="S14" t="s">
        <v>2382</v>
      </c>
      <c r="T14" t="s">
        <v>2383</v>
      </c>
      <c r="U14" t="s">
        <v>2384</v>
      </c>
      <c r="V14" t="s">
        <v>2385</v>
      </c>
      <c r="W14" t="s">
        <v>2386</v>
      </c>
      <c r="X14" t="s">
        <v>2387</v>
      </c>
      <c r="Y14" t="s">
        <v>2388</v>
      </c>
      <c r="Z14" t="s">
        <v>2389</v>
      </c>
      <c r="AA14" t="s">
        <v>2390</v>
      </c>
      <c r="AB14" t="s">
        <v>2391</v>
      </c>
      <c r="AC14" t="s">
        <v>2392</v>
      </c>
      <c r="AD14" t="s">
        <v>2393</v>
      </c>
      <c r="AE14" t="s">
        <v>2394</v>
      </c>
      <c r="AF14" t="s">
        <v>2395</v>
      </c>
      <c r="AG14" t="s">
        <v>2396</v>
      </c>
      <c r="AH14" t="s">
        <v>2397</v>
      </c>
      <c r="AI14" t="s">
        <v>2398</v>
      </c>
      <c r="AJ14" t="s">
        <v>2399</v>
      </c>
      <c r="AK14" t="s">
        <v>2400</v>
      </c>
      <c r="AL14" t="s">
        <v>2401</v>
      </c>
      <c r="AM14" t="s">
        <v>2402</v>
      </c>
      <c r="AN14" t="s">
        <v>2403</v>
      </c>
      <c r="AO14" t="s">
        <v>2404</v>
      </c>
      <c r="AP14" t="s">
        <v>2405</v>
      </c>
      <c r="AQ14" t="s">
        <v>2406</v>
      </c>
      <c r="AR14" t="s">
        <v>2407</v>
      </c>
      <c r="AS14" t="s">
        <v>2408</v>
      </c>
      <c r="AT14" t="s">
        <v>2409</v>
      </c>
      <c r="AU14" t="s">
        <v>2410</v>
      </c>
      <c r="AV14" t="s">
        <v>2411</v>
      </c>
      <c r="AW14" t="s">
        <v>2412</v>
      </c>
      <c r="AX14" t="s">
        <v>2413</v>
      </c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3619</v>
      </c>
      <c r="B15" s="1063">
        <v>3619</v>
      </c>
      <c r="C15" s="1063" t="str">
        <v>Acidoline</v>
      </c>
      <c r="D15" s="1063">
        <v>7</v>
      </c>
      <c r="E15" s="1063">
        <v>7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v>39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2374</v>
      </c>
      <c r="P15">
        <v>87457.99</v>
      </c>
      <c r="Q15">
        <v>67200</v>
      </c>
      <c r="R15">
        <v>25200</v>
      </c>
      <c r="S15">
        <v>211050</v>
      </c>
      <c r="T15">
        <v>75978</v>
      </c>
      <c r="U15">
        <v>110783.4</v>
      </c>
      <c r="V15">
        <v>40000</v>
      </c>
      <c r="W15">
        <v>58800</v>
      </c>
      <c r="X15">
        <v>24120</v>
      </c>
      <c r="Y15">
        <v>80399.990000000005</v>
      </c>
      <c r="Z15">
        <v>80368</v>
      </c>
      <c r="AA15">
        <v>80400</v>
      </c>
      <c r="AB15">
        <v>50652</v>
      </c>
      <c r="AC15">
        <v>488344.97</v>
      </c>
      <c r="AD15">
        <v>25201</v>
      </c>
      <c r="AE15">
        <v>8399</v>
      </c>
      <c r="AF15">
        <v>235255.01</v>
      </c>
      <c r="AG15">
        <v>50412</v>
      </c>
      <c r="AH15">
        <v>42000</v>
      </c>
      <c r="AI15">
        <v>8400</v>
      </c>
      <c r="AJ15">
        <v>25199</v>
      </c>
      <c r="AK15">
        <v>25200</v>
      </c>
      <c r="AL15">
        <v>8400</v>
      </c>
      <c r="AM15">
        <v>67200</v>
      </c>
      <c r="AN15">
        <v>8353.91</v>
      </c>
      <c r="AO15">
        <v>42210</v>
      </c>
      <c r="AP15">
        <v>25200</v>
      </c>
      <c r="AQ15">
        <v>25200</v>
      </c>
      <c r="AR15">
        <v>8400</v>
      </c>
      <c r="AS15">
        <v>8400</v>
      </c>
      <c r="AT15">
        <v>14000</v>
      </c>
      <c r="AU15">
        <v>16400</v>
      </c>
      <c r="AV15">
        <v>10000</v>
      </c>
      <c r="AW15">
        <v>32000</v>
      </c>
      <c r="AX15">
        <v>25200</v>
      </c>
      <c r="AY15">
        <v>2191784.2999999998</v>
      </c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5116</v>
      </c>
      <c r="B16" s="1063">
        <v>5116</v>
      </c>
      <c r="C16" s="1063" t="str">
        <v>Stearolac 90</v>
      </c>
      <c r="D16" s="1063">
        <v>67.63</v>
      </c>
      <c r="E16" s="1063">
        <v>67.63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2375</v>
      </c>
      <c r="P16">
        <v>87439.46</v>
      </c>
      <c r="Q16">
        <v>67017.600000000006</v>
      </c>
      <c r="R16">
        <v>25105.84</v>
      </c>
      <c r="S16">
        <v>211091.15</v>
      </c>
      <c r="T16">
        <v>75857.100000000006</v>
      </c>
      <c r="U16">
        <v>110812.71</v>
      </c>
      <c r="V16">
        <v>39948.379999999997</v>
      </c>
      <c r="W16">
        <v>58645.73</v>
      </c>
      <c r="X16">
        <v>24140</v>
      </c>
      <c r="Y16">
        <v>80513.350000000006</v>
      </c>
      <c r="Z16">
        <v>80240.84</v>
      </c>
      <c r="AA16">
        <v>80254.28</v>
      </c>
      <c r="AB16">
        <v>50585.13</v>
      </c>
      <c r="AC16">
        <v>487679.35</v>
      </c>
      <c r="AD16">
        <v>25105.78</v>
      </c>
      <c r="AE16">
        <v>8403.42</v>
      </c>
      <c r="AF16">
        <v>234918.12</v>
      </c>
      <c r="AG16">
        <v>50489.22</v>
      </c>
      <c r="AH16">
        <v>41962.78</v>
      </c>
      <c r="AI16">
        <v>8397.51</v>
      </c>
      <c r="AJ16">
        <v>25106.880000000001</v>
      </c>
      <c r="AK16">
        <v>25171.63</v>
      </c>
      <c r="AL16">
        <v>8371.48</v>
      </c>
      <c r="AM16">
        <v>67149.97</v>
      </c>
      <c r="AN16">
        <v>8334.9599999999991</v>
      </c>
      <c r="AO16">
        <v>42207.9</v>
      </c>
      <c r="AP16">
        <v>25120.61</v>
      </c>
      <c r="AQ16">
        <v>25183.93</v>
      </c>
      <c r="AR16">
        <v>8395.15</v>
      </c>
      <c r="AS16">
        <v>8425.39</v>
      </c>
      <c r="AT16">
        <v>14034.28</v>
      </c>
      <c r="AU16">
        <v>16427.53</v>
      </c>
      <c r="AV16">
        <v>10015.379999999999</v>
      </c>
      <c r="AW16">
        <v>31985.93</v>
      </c>
      <c r="AX16">
        <v>25138.13</v>
      </c>
      <c r="AY16">
        <v>2189676.9300000002</v>
      </c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5118</v>
      </c>
      <c r="B17" s="1063">
        <v>5118</v>
      </c>
      <c r="C17" s="1063" t="str">
        <v>Nutracor</v>
      </c>
      <c r="D17" s="1063">
        <v>707.64</v>
      </c>
      <c r="E17" s="1063">
        <v>707.64</v>
      </c>
      <c r="F17" s="1063">
        <v>0</v>
      </c>
      <c r="G17" s="1063">
        <v>0</v>
      </c>
      <c r="H17" s="1066">
        <f t="shared" si="1"/>
        <v>0</v>
      </c>
      <c r="I17" s="1068">
        <f t="shared" si="3"/>
        <v>0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2376</v>
      </c>
      <c r="P17">
        <v>-18.53</v>
      </c>
      <c r="Q17">
        <v>-182.4</v>
      </c>
      <c r="R17">
        <v>-94.16</v>
      </c>
      <c r="S17">
        <v>41.15</v>
      </c>
      <c r="T17">
        <v>-120.9</v>
      </c>
      <c r="U17">
        <v>29.31</v>
      </c>
      <c r="V17">
        <v>-51.62</v>
      </c>
      <c r="W17">
        <v>-154.27000000000001</v>
      </c>
      <c r="X17">
        <v>20</v>
      </c>
      <c r="Y17">
        <v>113.37</v>
      </c>
      <c r="Z17">
        <v>-127.16</v>
      </c>
      <c r="AA17">
        <v>-145.72</v>
      </c>
      <c r="AB17">
        <v>-66.87</v>
      </c>
      <c r="AC17">
        <v>-665.62</v>
      </c>
      <c r="AD17">
        <v>-95.22</v>
      </c>
      <c r="AE17">
        <v>4.42</v>
      </c>
      <c r="AF17">
        <v>-336.89</v>
      </c>
      <c r="AG17">
        <v>77.22</v>
      </c>
      <c r="AH17">
        <v>-37.22</v>
      </c>
      <c r="AI17">
        <v>-2.4900000000000002</v>
      </c>
      <c r="AJ17">
        <v>-92.12</v>
      </c>
      <c r="AK17">
        <v>-28.37</v>
      </c>
      <c r="AL17">
        <v>-28.52</v>
      </c>
      <c r="AM17">
        <v>-50.02</v>
      </c>
      <c r="AN17">
        <v>-18.95</v>
      </c>
      <c r="AO17">
        <v>-2.1</v>
      </c>
      <c r="AP17">
        <v>-79.39</v>
      </c>
      <c r="AQ17">
        <v>-16.07</v>
      </c>
      <c r="AR17">
        <v>-4.8499999999999996</v>
      </c>
      <c r="AS17">
        <v>25.39</v>
      </c>
      <c r="AT17">
        <v>34.28</v>
      </c>
      <c r="AU17">
        <v>27.53</v>
      </c>
      <c r="AV17">
        <v>15.38</v>
      </c>
      <c r="AW17">
        <v>-14.07</v>
      </c>
      <c r="AX17">
        <v>-61.87</v>
      </c>
      <c r="AY17">
        <v>-2107.37</v>
      </c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5121</v>
      </c>
      <c r="B18" s="1063">
        <v>5121</v>
      </c>
      <c r="C18" s="1063" t="str">
        <v>Amino Plus</v>
      </c>
      <c r="D18" s="1063">
        <v>1843.19</v>
      </c>
      <c r="E18" s="1063">
        <v>1837</v>
      </c>
      <c r="F18" s="1063">
        <v>-6.19</v>
      </c>
      <c r="G18" s="1063">
        <v>-0.34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2377</v>
      </c>
      <c r="P18">
        <v>-0.02</v>
      </c>
      <c r="Q18">
        <v>-0.27</v>
      </c>
      <c r="R18">
        <v>-0.37</v>
      </c>
      <c r="S18">
        <v>0.02</v>
      </c>
      <c r="T18">
        <v>-0.16</v>
      </c>
      <c r="U18">
        <v>0.03</v>
      </c>
      <c r="V18">
        <v>-0.13</v>
      </c>
      <c r="W18">
        <v>-0.26</v>
      </c>
      <c r="X18">
        <v>0.08</v>
      </c>
      <c r="Y18">
        <v>0.14000000000000001</v>
      </c>
      <c r="Z18">
        <v>-0.16</v>
      </c>
      <c r="AA18">
        <v>-0.18</v>
      </c>
      <c r="AB18">
        <v>-0.13</v>
      </c>
      <c r="AC18">
        <v>-0.14000000000000001</v>
      </c>
      <c r="AD18">
        <v>-0.38</v>
      </c>
      <c r="AE18">
        <v>0.05</v>
      </c>
      <c r="AF18">
        <v>-0.14000000000000001</v>
      </c>
      <c r="AG18">
        <v>0.15</v>
      </c>
      <c r="AH18">
        <v>-0.09</v>
      </c>
      <c r="AI18">
        <v>-0.03</v>
      </c>
      <c r="AJ18">
        <v>-0.37</v>
      </c>
      <c r="AK18">
        <v>-0.11</v>
      </c>
      <c r="AL18">
        <v>-0.34</v>
      </c>
      <c r="AM18">
        <v>-7.0000000000000007E-2</v>
      </c>
      <c r="AN18">
        <v>-0.23</v>
      </c>
      <c r="AO18">
        <v>0</v>
      </c>
      <c r="AP18">
        <v>-0.32</v>
      </c>
      <c r="AQ18">
        <v>-0.06</v>
      </c>
      <c r="AR18">
        <v>-0.06</v>
      </c>
      <c r="AS18">
        <v>0.3</v>
      </c>
      <c r="AT18">
        <v>0.24</v>
      </c>
      <c r="AU18">
        <v>0.17</v>
      </c>
      <c r="AV18">
        <v>0.15</v>
      </c>
      <c r="AW18">
        <v>-0.04</v>
      </c>
      <c r="AX18">
        <v>-0.25</v>
      </c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5123</v>
      </c>
      <c r="B19" s="1063">
        <v>5123</v>
      </c>
      <c r="C19" s="1063" t="str">
        <v>RHODIMET 88%</v>
      </c>
      <c r="D19" s="1063">
        <v>304.83999999999997</v>
      </c>
      <c r="E19" s="1063">
        <v>305.3</v>
      </c>
      <c r="F19" s="1063">
        <v>0.46</v>
      </c>
      <c r="G19" s="1063">
        <v>0.15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10252</v>
      </c>
      <c r="B20" s="1063">
        <v>10252</v>
      </c>
      <c r="C20" s="1063" t="str">
        <v>CORN#2_ EXT 8.2%</v>
      </c>
      <c r="D20" s="1063">
        <v>53614.8</v>
      </c>
      <c r="E20" s="1063">
        <v>53725</v>
      </c>
      <c r="F20" s="1063">
        <v>110.2</v>
      </c>
      <c r="G20" s="1063">
        <v>0.21</v>
      </c>
      <c r="H20" s="1066">
        <f t="shared" si="1"/>
        <v>0</v>
      </c>
      <c r="I20" s="1068">
        <f t="shared" si="3"/>
        <v>0</v>
      </c>
      <c r="J20" s="2344" t="s">
        <v>990</v>
      </c>
      <c r="K20" s="2345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21201</v>
      </c>
      <c r="B21" s="1063">
        <v>21201</v>
      </c>
      <c r="C21" s="1063" t="str">
        <v>CORN # USA</v>
      </c>
      <c r="D21" s="1063">
        <v>752755.84</v>
      </c>
      <c r="E21" s="1063">
        <v>751693</v>
      </c>
      <c r="F21" s="1063">
        <v>-1062.8399999999999</v>
      </c>
      <c r="G21" s="1063">
        <v>-0.14000000000000001</v>
      </c>
      <c r="H21" s="1066" t="str">
        <f t="shared" si="1"/>
        <v>CORN</v>
      </c>
      <c r="I21" s="1068">
        <f t="shared" si="3"/>
        <v>751693</v>
      </c>
      <c r="J21" s="1169" t="s">
        <v>936</v>
      </c>
      <c r="K21" s="1170">
        <f>+usage!I255+usage!I222+usage!J69</f>
        <v>2043166.65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21211</v>
      </c>
      <c r="B22" s="1063">
        <v>21211</v>
      </c>
      <c r="C22" s="1063" t="str">
        <v>CORN  # USA 8x8</v>
      </c>
      <c r="D22" s="1063">
        <v>185683.68</v>
      </c>
      <c r="E22" s="1063">
        <v>185918</v>
      </c>
      <c r="F22" s="1063">
        <v>234.32</v>
      </c>
      <c r="G22" s="1063">
        <v>0.13</v>
      </c>
      <c r="H22" s="1066" t="str">
        <f t="shared" si="1"/>
        <v>CORN</v>
      </c>
      <c r="I22" s="1068">
        <f t="shared" si="3"/>
        <v>185918</v>
      </c>
      <c r="J22" s="837" t="s">
        <v>938</v>
      </c>
      <c r="K22" s="1071">
        <f>+J2+N2-J15-J10-J6-J13-K13</f>
        <v>146512.12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25201</v>
      </c>
      <c r="B23" s="1063">
        <v>25201</v>
      </c>
      <c r="C23" s="1063" t="str">
        <v>CRNArg #2 7.0% (3X3)</v>
      </c>
      <c r="D23" s="1063">
        <v>90723.98</v>
      </c>
      <c r="E23" s="1063">
        <v>90576</v>
      </c>
      <c r="F23" s="1063">
        <v>-147.97999999999999</v>
      </c>
      <c r="G23" s="1063">
        <v>-0.16</v>
      </c>
      <c r="H23" s="1066" t="str">
        <f t="shared" si="1"/>
        <v>CORN</v>
      </c>
      <c r="I23" s="1068">
        <f t="shared" si="3"/>
        <v>90576</v>
      </c>
      <c r="J23" s="837" t="s">
        <v>937</v>
      </c>
      <c r="K23" s="1266">
        <f>+K21+K22+M60</f>
        <v>2189678.77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26903</v>
      </c>
      <c r="B24" s="1063">
        <v>26903</v>
      </c>
      <c r="C24" s="1063" t="str">
        <v>CLEARLINE 1/8</v>
      </c>
      <c r="D24" s="1063">
        <v>79607</v>
      </c>
      <c r="E24" s="1063">
        <v>79447</v>
      </c>
      <c r="F24" s="1063">
        <v>-160</v>
      </c>
      <c r="G24" s="1063">
        <v>-0.2</v>
      </c>
      <c r="H24" s="1066" t="str">
        <f t="shared" si="1"/>
        <v>CORN</v>
      </c>
      <c r="I24" s="1068">
        <f t="shared" si="3"/>
        <v>79447</v>
      </c>
      <c r="J24" s="838" t="s">
        <v>935</v>
      </c>
      <c r="K24" s="839">
        <f>MAX(E3:E156)</f>
        <v>2189676.9300000002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43234</v>
      </c>
      <c r="B25" s="1063">
        <v>43234</v>
      </c>
      <c r="C25" s="1063" t="str">
        <v>TAP BP Fiber high</v>
      </c>
      <c r="D25" s="1063">
        <v>44111.59</v>
      </c>
      <c r="E25" s="1063">
        <v>44047</v>
      </c>
      <c r="F25" s="1063">
        <v>-64.59</v>
      </c>
      <c r="G25" s="1063">
        <v>-0.15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1.8399999998509884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043234</v>
      </c>
      <c r="B26" s="1063" t="str">
        <v>043234*</v>
      </c>
      <c r="C26" s="1063" t="str">
        <v>TAP BP fiber 25-27% (bin 74 bo de)</v>
      </c>
      <c r="D26" s="1063">
        <v>2514.91</v>
      </c>
      <c r="E26" s="1063">
        <v>2540</v>
      </c>
      <c r="F26" s="1063">
        <v>25.09</v>
      </c>
      <c r="G26" s="1063">
        <v>1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50118</v>
      </c>
      <c r="B27" s="1209">
        <v>50118</v>
      </c>
      <c r="C27" s="1063" t="str">
        <v>RCE. BR 8.2%</v>
      </c>
      <c r="D27" s="1063">
        <v>6400</v>
      </c>
      <c r="E27" s="1063">
        <v>6462</v>
      </c>
      <c r="F27" s="1063">
        <v>62</v>
      </c>
      <c r="G27" s="1063">
        <v>0.97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104112</v>
      </c>
      <c r="B28" s="1063">
        <v>104112</v>
      </c>
      <c r="C28" s="1063" t="str">
        <v>WHEAT ARG</v>
      </c>
      <c r="D28" s="1063">
        <v>54033.07</v>
      </c>
      <c r="E28" s="1063">
        <v>53656</v>
      </c>
      <c r="F28" s="1063">
        <v>-377.07</v>
      </c>
      <c r="G28" s="1063">
        <v>-0.7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219752</v>
      </c>
      <c r="B29" s="1063">
        <v>219752</v>
      </c>
      <c r="C29" s="1063" t="str">
        <v>MBM 52%</v>
      </c>
      <c r="D29" s="1063">
        <v>16002.15</v>
      </c>
      <c r="E29" s="1063">
        <v>15551.5</v>
      </c>
      <c r="F29" s="1063">
        <v>-450.65</v>
      </c>
      <c r="G29" s="1063">
        <v>-2.82</v>
      </c>
      <c r="H29" s="1066">
        <f t="shared" si="1"/>
        <v>0</v>
      </c>
      <c r="I29" s="1068">
        <f t="shared" si="3"/>
        <v>0</v>
      </c>
      <c r="J29" s="2344" t="s">
        <v>991</v>
      </c>
      <c r="K29" s="2345"/>
      <c r="L29" s="2343" t="s">
        <v>966</v>
      </c>
      <c r="M29" s="2343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220183</v>
      </c>
      <c r="B30" s="1063">
        <v>220183</v>
      </c>
      <c r="C30" s="1063" t="str">
        <v>FEM 83%</v>
      </c>
      <c r="D30" s="1063">
        <v>4031.59</v>
      </c>
      <c r="E30" s="1063">
        <v>3965</v>
      </c>
      <c r="F30" s="1063">
        <v>-66.59</v>
      </c>
      <c r="G30" s="1063">
        <v>-1.65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2189676.9300000002</v>
      </c>
      <c r="L30" s="1816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311235</v>
      </c>
      <c r="B31" s="1063">
        <v>311235</v>
      </c>
      <c r="C31" s="1063" t="str">
        <v>FFSUsa35/19</v>
      </c>
      <c r="D31" s="1063">
        <v>51820.47</v>
      </c>
      <c r="E31" s="1063">
        <v>51835</v>
      </c>
      <c r="F31" s="1063">
        <v>14.53</v>
      </c>
      <c r="G31" s="1063">
        <v>0.03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2189676.9300000002</v>
      </c>
      <c r="L31" s="1816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335147</v>
      </c>
      <c r="B32" s="1063">
        <v>335147</v>
      </c>
      <c r="C32" s="1063" t="str">
        <v>SBM.AGR 47%</v>
      </c>
      <c r="D32" s="1063">
        <v>343422.32</v>
      </c>
      <c r="E32" s="1063">
        <v>343468</v>
      </c>
      <c r="F32" s="1063">
        <v>45.68</v>
      </c>
      <c r="G32" s="1063">
        <v>0.01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6">
        <v>811000</v>
      </c>
      <c r="M32" s="1228">
        <f t="shared" si="5"/>
        <v>24926.85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452136</v>
      </c>
      <c r="B33" s="1063">
        <v>452136</v>
      </c>
      <c r="C33" s="1063" t="str">
        <v>CANOLA 36%</v>
      </c>
      <c r="D33" s="1063">
        <v>5794.98</v>
      </c>
      <c r="E33" s="1063">
        <v>5853</v>
      </c>
      <c r="F33" s="1063">
        <v>58.02</v>
      </c>
      <c r="G33" s="1063">
        <v>1</v>
      </c>
      <c r="H33" s="1066">
        <f t="shared" si="1"/>
        <v>0</v>
      </c>
      <c r="I33" s="1068">
        <f t="shared" si="3"/>
        <v>0</v>
      </c>
      <c r="J33" s="1063"/>
      <c r="K33" s="1063"/>
      <c r="L33" s="1816">
        <v>890000</v>
      </c>
      <c r="M33" s="1228">
        <f t="shared" si="5"/>
        <v>55224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561428</v>
      </c>
      <c r="B34" s="1063">
        <v>561428</v>
      </c>
      <c r="C34" s="1063" t="str">
        <v>DDGS Fat 8%</v>
      </c>
      <c r="D34" s="1063">
        <v>104119.38</v>
      </c>
      <c r="E34" s="1063">
        <v>104262</v>
      </c>
      <c r="F34" s="1063">
        <v>142.62</v>
      </c>
      <c r="G34" s="1063">
        <v>0.14000000000000001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600136</v>
      </c>
      <c r="B35" s="1063">
        <v>600136</v>
      </c>
      <c r="C35" s="1063" t="str">
        <v>RBF FAT CAO</v>
      </c>
      <c r="D35" s="1063">
        <v>82128.820000000007</v>
      </c>
      <c r="E35" s="1063">
        <v>82190</v>
      </c>
      <c r="F35" s="1063">
        <v>61.18</v>
      </c>
      <c r="G35" s="1063">
        <v>7.0000000000000007E-2</v>
      </c>
      <c r="H35" s="1066">
        <f t="shared" si="1"/>
        <v>0</v>
      </c>
      <c r="I35" s="1068">
        <f t="shared" si="3"/>
        <v>0</v>
      </c>
      <c r="J35" s="1063"/>
      <c r="K35" s="1063"/>
      <c r="L35" s="1817" t="s">
        <v>974</v>
      </c>
      <c r="M35" s="1228">
        <f t="shared" si="5"/>
        <v>3247.43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610315</v>
      </c>
      <c r="B36" s="1063">
        <v>610315</v>
      </c>
      <c r="C36" s="1063" t="str">
        <v>RB_S 15%</v>
      </c>
      <c r="D36" s="1063">
        <v>14701.2</v>
      </c>
      <c r="E36" s="1063">
        <v>14597</v>
      </c>
      <c r="F36" s="1063">
        <v>-104.2</v>
      </c>
      <c r="G36" s="1063">
        <v>-0.71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620115</v>
      </c>
      <c r="B37" s="1063">
        <v>620115</v>
      </c>
      <c r="C37" s="1063" t="str">
        <v>WB 15%</v>
      </c>
      <c r="D37" s="1063">
        <v>2120.2800000000002</v>
      </c>
      <c r="E37" s="1063">
        <v>2137</v>
      </c>
      <c r="F37" s="1063">
        <v>16.72</v>
      </c>
      <c r="G37" s="1063">
        <v>0.79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630025</v>
      </c>
      <c r="B38" s="1063">
        <v>630025</v>
      </c>
      <c r="C38" s="1063" t="str">
        <v>BDG_DRY 25%</v>
      </c>
      <c r="D38" s="1063">
        <v>13121.89</v>
      </c>
      <c r="E38" s="1063">
        <v>12854</v>
      </c>
      <c r="F38" s="1063">
        <v>-267.89</v>
      </c>
      <c r="G38" s="1063">
        <v>-2.04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1890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740725</v>
      </c>
      <c r="B39" s="1063">
        <v>740725</v>
      </c>
      <c r="C39" s="1063" t="str">
        <v>palm meal</v>
      </c>
      <c r="D39" s="1063">
        <v>72555.41</v>
      </c>
      <c r="E39" s="1063">
        <v>72601</v>
      </c>
      <c r="F39" s="1063">
        <v>45.59</v>
      </c>
      <c r="G39" s="1063">
        <v>0.06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1997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790401</v>
      </c>
      <c r="B40" s="1063">
        <v>790401</v>
      </c>
      <c r="C40" s="1063" t="str">
        <v>SOY-HULL</v>
      </c>
      <c r="D40" s="1063">
        <v>1440.42</v>
      </c>
      <c r="E40" s="1063">
        <v>1450</v>
      </c>
      <c r="F40" s="1063">
        <v>9.58</v>
      </c>
      <c r="G40" s="1063">
        <v>0.67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1858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791820</v>
      </c>
      <c r="B41" s="1063">
        <v>791820</v>
      </c>
      <c r="C41" s="1063" t="str">
        <v>LEVUCELL</v>
      </c>
      <c r="D41" s="1063">
        <v>8.99</v>
      </c>
      <c r="E41" s="1063">
        <v>8.98</v>
      </c>
      <c r="F41" s="1063">
        <v>-0.01</v>
      </c>
      <c r="G41" s="1063">
        <v>-0.12</v>
      </c>
      <c r="H41" s="1066">
        <f t="shared" si="1"/>
        <v>0</v>
      </c>
      <c r="I41" s="1068">
        <f t="shared" si="3"/>
        <v>0</v>
      </c>
      <c r="J41" s="1063"/>
      <c r="K41" s="1063"/>
      <c r="L41" s="1817">
        <v>840155</v>
      </c>
      <c r="M41" s="1228">
        <f t="shared" si="5"/>
        <v>220.8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800123</v>
      </c>
      <c r="B42" s="1063">
        <v>800123</v>
      </c>
      <c r="C42" s="1063" t="str">
        <v>SO</v>
      </c>
      <c r="D42" s="1063">
        <v>240</v>
      </c>
      <c r="E42" s="1063">
        <v>240.7</v>
      </c>
      <c r="F42" s="1063">
        <v>0.7</v>
      </c>
      <c r="G42" s="1063">
        <v>0.28999999999999998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1946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800211</v>
      </c>
      <c r="B43" s="1063">
        <v>800211</v>
      </c>
      <c r="C43" s="1063" t="str">
        <v>FO BASA VNF</v>
      </c>
      <c r="D43" s="1063">
        <v>14060.22</v>
      </c>
      <c r="E43" s="1063">
        <v>13879.4</v>
      </c>
      <c r="F43" s="1063">
        <v>-180.82</v>
      </c>
      <c r="G43" s="1063">
        <v>-1.29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1900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801211</v>
      </c>
      <c r="B44" s="1063">
        <v>801211</v>
      </c>
      <c r="C44" s="1063" t="str">
        <v>FO BASA VNF (D)</v>
      </c>
      <c r="D44" s="1063">
        <v>2100</v>
      </c>
      <c r="E44" s="1063">
        <v>2100</v>
      </c>
      <c r="F44" s="1063">
        <v>0</v>
      </c>
      <c r="G44" s="1063">
        <v>0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1728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811000</v>
      </c>
      <c r="B45" s="1063">
        <v>811000</v>
      </c>
      <c r="C45" s="1063" t="str">
        <v>molasses Vnf</v>
      </c>
      <c r="D45" s="1063">
        <v>24926.85</v>
      </c>
      <c r="E45" s="1063">
        <v>24926.85</v>
      </c>
      <c r="F45" s="1063">
        <v>0</v>
      </c>
      <c r="G45" s="1063">
        <v>0</v>
      </c>
      <c r="H45" s="1066">
        <f t="shared" si="1"/>
        <v>0</v>
      </c>
      <c r="I45" s="1068">
        <f t="shared" si="3"/>
        <v>0</v>
      </c>
      <c r="J45" s="1063"/>
      <c r="K45" s="1063"/>
      <c r="L45" s="1817" t="s">
        <v>1132</v>
      </c>
      <c r="M45" s="1228">
        <f t="shared" si="5"/>
        <v>3562.0699999999997</v>
      </c>
      <c r="N45" s="1069">
        <f t="shared" si="4"/>
        <v>24926.85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811003</v>
      </c>
      <c r="B46" s="1063">
        <v>811003</v>
      </c>
      <c r="C46" s="1063" t="str">
        <v>VEDANFEED</v>
      </c>
      <c r="D46" s="1063">
        <v>4048.59</v>
      </c>
      <c r="E46" s="1063">
        <v>4057.7</v>
      </c>
      <c r="F46" s="1063">
        <v>9.11</v>
      </c>
      <c r="G46" s="1063">
        <v>0.22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820098</v>
      </c>
      <c r="B47" s="1063">
        <v>820098</v>
      </c>
      <c r="C47" s="1063" t="str">
        <v>M DCP</v>
      </c>
      <c r="D47" s="1063">
        <v>11592.84</v>
      </c>
      <c r="E47" s="1063">
        <v>11581.3</v>
      </c>
      <c r="F47" s="1063">
        <v>-11.54</v>
      </c>
      <c r="G47" s="1063">
        <v>-0.1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1435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820207</v>
      </c>
      <c r="B48" s="1063">
        <v>820207</v>
      </c>
      <c r="C48" s="1063" t="str">
        <v>L.S</v>
      </c>
      <c r="D48" s="1063">
        <v>15257.88</v>
      </c>
      <c r="E48" s="1063">
        <v>15231</v>
      </c>
      <c r="F48" s="1063">
        <v>-26.88</v>
      </c>
      <c r="G48" s="1063">
        <v>-0.18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820207</v>
      </c>
      <c r="B49" s="1063">
        <v>820207</v>
      </c>
      <c r="C49" s="1063" t="str">
        <v>LS</v>
      </c>
      <c r="D49" s="1063">
        <v>10531.08</v>
      </c>
      <c r="E49" s="1063">
        <v>10616.5</v>
      </c>
      <c r="F49" s="1063">
        <v>85.42</v>
      </c>
      <c r="G49" s="1063">
        <v>0.81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1889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820217</v>
      </c>
      <c r="B50" s="1063">
        <v>820217</v>
      </c>
      <c r="C50" s="1063" t="str">
        <v>LS_C 38%</v>
      </c>
      <c r="D50" s="1063">
        <v>7460</v>
      </c>
      <c r="E50" s="1063">
        <v>7432</v>
      </c>
      <c r="F50" s="1063">
        <v>-28</v>
      </c>
      <c r="G50" s="1063">
        <v>-0.38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1849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820300</v>
      </c>
      <c r="B51" s="1063">
        <v>820300</v>
      </c>
      <c r="C51" s="1063" t="str">
        <v>CALCIUM FEED</v>
      </c>
      <c r="D51" s="1063">
        <v>3140.79</v>
      </c>
      <c r="E51" s="1063">
        <v>3128.8</v>
      </c>
      <c r="F51" s="1063">
        <v>-11.99</v>
      </c>
      <c r="G51" s="1063">
        <v>-0.38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87181.15</v>
      </c>
      <c r="N51" s="1069">
        <f t="shared" si="4"/>
        <v>0</v>
      </c>
    </row>
    <row r="52" spans="1:14" x14ac:dyDescent="0.2">
      <c r="A52" s="1062" t="str">
        <f t="shared" si="0"/>
        <v>820498</v>
      </c>
      <c r="B52" s="1063">
        <v>820498</v>
      </c>
      <c r="C52" s="1063" t="str">
        <v>SALT F98%</v>
      </c>
      <c r="D52" s="1063">
        <v>6093.69</v>
      </c>
      <c r="E52" s="1063">
        <v>6042</v>
      </c>
      <c r="F52" s="1063">
        <v>-51.69</v>
      </c>
      <c r="G52" s="1063">
        <v>-0.85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820498</v>
      </c>
      <c r="B53" s="1063" t="str">
        <v>820498.HA</v>
      </c>
      <c r="C53" s="1063" t="str">
        <v>SALT F98%.HA</v>
      </c>
      <c r="D53" s="1063">
        <v>1.74</v>
      </c>
      <c r="E53" s="1063">
        <v>1.74</v>
      </c>
      <c r="F53" s="1063">
        <v>0</v>
      </c>
      <c r="G53" s="1063">
        <v>0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820500</v>
      </c>
      <c r="B54" s="1063">
        <v>820500</v>
      </c>
      <c r="C54" s="1063" t="str">
        <v>Sodium Bicabonate</v>
      </c>
      <c r="D54" s="1063">
        <v>1021.69</v>
      </c>
      <c r="E54" s="1063">
        <v>1022.95</v>
      </c>
      <c r="F54" s="1063">
        <v>1.26</v>
      </c>
      <c r="G54" s="1063">
        <v>0.12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830603</v>
      </c>
      <c r="B55" s="1063">
        <v>830603</v>
      </c>
      <c r="C55" s="1063" t="str">
        <v>DEXTROSE</v>
      </c>
      <c r="D55" s="1063">
        <v>750</v>
      </c>
      <c r="E55" s="1063">
        <v>745.5</v>
      </c>
      <c r="F55" s="1063">
        <v>-4.5</v>
      </c>
      <c r="G55" s="1063">
        <v>-0.6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831001</v>
      </c>
      <c r="B56" s="1063">
        <v>831001</v>
      </c>
      <c r="C56" s="1063" t="str">
        <v>WY SWEET 11.5%</v>
      </c>
      <c r="D56" s="1063">
        <v>1050</v>
      </c>
      <c r="E56" s="1063">
        <v>1046</v>
      </c>
      <c r="F56" s="1063">
        <v>-4</v>
      </c>
      <c r="G56" s="1063">
        <v>-0.38</v>
      </c>
      <c r="H56" s="1066">
        <f t="shared" si="1"/>
        <v>0</v>
      </c>
      <c r="I56" s="1068">
        <f t="shared" si="3"/>
        <v>0</v>
      </c>
      <c r="J56" s="1063"/>
      <c r="K56" s="1063"/>
      <c r="L56" s="2346" t="s">
        <v>1491</v>
      </c>
      <c r="M56" s="2347"/>
      <c r="N56" s="1069">
        <f t="shared" si="4"/>
        <v>0</v>
      </c>
    </row>
    <row r="57" spans="1:14" x14ac:dyDescent="0.2">
      <c r="A57" s="1062" t="str">
        <f t="shared" si="0"/>
        <v>831001</v>
      </c>
      <c r="B57" s="1063" t="str">
        <v>831001*H.A</v>
      </c>
      <c r="C57" s="1063" t="str">
        <v>WY SWEET 11.5%</v>
      </c>
      <c r="D57" s="1063">
        <v>3050</v>
      </c>
      <c r="E57" s="1063">
        <v>3050</v>
      </c>
      <c r="F57" s="1063">
        <v>0</v>
      </c>
      <c r="G57" s="1063">
        <v>0</v>
      </c>
      <c r="H57" s="1066">
        <f t="shared" si="1"/>
        <v>0</v>
      </c>
      <c r="I57" s="1068">
        <f t="shared" si="3"/>
        <v>0</v>
      </c>
      <c r="J57" s="1063"/>
      <c r="K57" s="1063"/>
      <c r="L57" s="1708" t="s">
        <v>1196</v>
      </c>
      <c r="M57" s="1708"/>
      <c r="N57" s="1069">
        <f t="shared" si="4"/>
        <v>0</v>
      </c>
    </row>
    <row r="58" spans="1:14" x14ac:dyDescent="0.2">
      <c r="A58" s="1062" t="str">
        <f t="shared" si="0"/>
        <v>831003</v>
      </c>
      <c r="B58" s="1063">
        <v>831003</v>
      </c>
      <c r="C58" s="1063" t="str">
        <v>WY DEPRO 3.6%</v>
      </c>
      <c r="D58" s="1063">
        <v>2900</v>
      </c>
      <c r="E58" s="1063">
        <v>2913</v>
      </c>
      <c r="F58" s="1063">
        <v>13</v>
      </c>
      <c r="G58" s="1063">
        <v>0.45</v>
      </c>
      <c r="H58" s="1066">
        <f t="shared" si="1"/>
        <v>0</v>
      </c>
      <c r="I58" s="1068">
        <f t="shared" si="3"/>
        <v>0</v>
      </c>
      <c r="J58" s="1063"/>
      <c r="K58" s="1063"/>
      <c r="L58" s="1708" t="s">
        <v>1716</v>
      </c>
      <c r="M58" s="1708"/>
      <c r="N58" s="1069">
        <f t="shared" si="4"/>
        <v>0</v>
      </c>
    </row>
    <row r="59" spans="1:14" x14ac:dyDescent="0.2">
      <c r="A59" s="1062" t="str">
        <f t="shared" si="0"/>
        <v>831951</v>
      </c>
      <c r="B59" s="1063">
        <v>831951</v>
      </c>
      <c r="C59" s="1063" t="str">
        <v>PROVISOY</v>
      </c>
      <c r="D59" s="1063">
        <v>1440</v>
      </c>
      <c r="E59" s="1063">
        <v>1439</v>
      </c>
      <c r="F59" s="1063">
        <v>-1</v>
      </c>
      <c r="G59" s="1063">
        <v>-7.0000000000000007E-2</v>
      </c>
      <c r="H59" s="1066">
        <f t="shared" si="1"/>
        <v>0</v>
      </c>
      <c r="I59" s="1068">
        <f t="shared" si="3"/>
        <v>0</v>
      </c>
      <c r="J59" s="1063"/>
      <c r="K59" s="1063"/>
      <c r="L59" s="1708" t="s">
        <v>604</v>
      </c>
      <c r="M59" s="1708"/>
      <c r="N59" s="1069">
        <f t="shared" si="4"/>
        <v>0</v>
      </c>
    </row>
    <row r="60" spans="1:14" x14ac:dyDescent="0.2">
      <c r="A60" s="1062" t="str">
        <f t="shared" si="0"/>
        <v>831977</v>
      </c>
      <c r="B60" s="1063">
        <v>831977</v>
      </c>
      <c r="C60" s="1063" t="str">
        <v>NEXTIDE</v>
      </c>
      <c r="D60" s="1063">
        <v>480</v>
      </c>
      <c r="E60" s="1063">
        <v>488</v>
      </c>
      <c r="F60" s="1063">
        <v>8</v>
      </c>
      <c r="G60" s="1063">
        <v>1.67</v>
      </c>
      <c r="H60" s="1066">
        <f t="shared" si="1"/>
        <v>0</v>
      </c>
      <c r="I60" s="1068">
        <f t="shared" si="3"/>
        <v>0</v>
      </c>
      <c r="J60" s="1063"/>
      <c r="K60" s="1063"/>
      <c r="L60" s="1709" t="s">
        <v>453</v>
      </c>
      <c r="M60" s="1709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833101</v>
      </c>
      <c r="B61" s="1063">
        <v>833101</v>
      </c>
      <c r="C61" s="1063" t="str">
        <v>CAROMIC/TRIGARROFA/ EURO BIOSWEET/CARANI</v>
      </c>
      <c r="D61" s="1063">
        <v>1280</v>
      </c>
      <c r="E61" s="1063">
        <v>1281.5</v>
      </c>
      <c r="F61" s="1063">
        <v>1.5</v>
      </c>
      <c r="G61" s="1063">
        <v>0.12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840002</v>
      </c>
      <c r="B62" s="1063">
        <v>840002</v>
      </c>
      <c r="C62" s="1063" t="str">
        <v>D-L 99%</v>
      </c>
      <c r="D62" s="1063">
        <v>2430.38</v>
      </c>
      <c r="E62" s="1063">
        <v>2430.1799999999998</v>
      </c>
      <c r="F62" s="1063">
        <v>-0.19</v>
      </c>
      <c r="G62" s="1063">
        <v>-0.01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840011</v>
      </c>
      <c r="B63" s="1063">
        <v>840011</v>
      </c>
      <c r="C63" s="1063" t="str">
        <v>L-LYSINE 78% MINERAL</v>
      </c>
      <c r="D63" s="1063">
        <v>1385.63</v>
      </c>
      <c r="E63" s="1063">
        <v>1386.1</v>
      </c>
      <c r="F63" s="1063">
        <v>0.47</v>
      </c>
      <c r="G63" s="1063">
        <v>0.03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840011</v>
      </c>
      <c r="B64" s="1063" t="str">
        <v>840011.MNS</v>
      </c>
      <c r="C64" s="1063" t="str">
        <v>L-LYSINE 78%</v>
      </c>
      <c r="D64" s="1063">
        <v>2060.7399999999998</v>
      </c>
      <c r="E64" s="1063">
        <v>2063.65</v>
      </c>
      <c r="F64" s="1063">
        <v>2.91</v>
      </c>
      <c r="G64" s="1063">
        <v>0.14000000000000001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840012</v>
      </c>
      <c r="B65" s="1063" t="str">
        <v>840012 MNS</v>
      </c>
      <c r="C65" s="1063" t="str">
        <v>LL 55% M</v>
      </c>
      <c r="D65" s="1063">
        <v>357.66</v>
      </c>
      <c r="E65" s="1063">
        <v>358.2</v>
      </c>
      <c r="F65" s="1063">
        <v>0.54</v>
      </c>
      <c r="G65" s="1063">
        <v>0.15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840012</v>
      </c>
      <c r="B66" s="1063">
        <v>840012</v>
      </c>
      <c r="C66" s="1063" t="str">
        <v>L-L55%</v>
      </c>
      <c r="D66" s="1063">
        <v>4992.09</v>
      </c>
      <c r="E66" s="1063">
        <v>4958.7</v>
      </c>
      <c r="F66" s="1063">
        <v>-33.39</v>
      </c>
      <c r="G66" s="1063">
        <v>-0.67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840019</v>
      </c>
      <c r="B67" s="1063">
        <v>840019</v>
      </c>
      <c r="C67" s="1063" t="str">
        <v>LL50%</v>
      </c>
      <c r="D67" s="1063">
        <v>530.44000000000005</v>
      </c>
      <c r="E67" s="1063">
        <v>529.22</v>
      </c>
      <c r="F67" s="1063">
        <v>-1.22</v>
      </c>
      <c r="G67" s="1063">
        <v>-0.23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840020</v>
      </c>
      <c r="B68" s="1063">
        <v>840020</v>
      </c>
      <c r="C68" s="1063" t="str">
        <v>L-TRYTOPHAN</v>
      </c>
      <c r="D68" s="1063">
        <v>323.52</v>
      </c>
      <c r="E68" s="1063">
        <v>322.95</v>
      </c>
      <c r="F68" s="1063">
        <v>-0.56999999999999995</v>
      </c>
      <c r="G68" s="1063">
        <v>-0.17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840030</v>
      </c>
      <c r="B69" s="1063">
        <v>840030</v>
      </c>
      <c r="C69" s="1063" t="str">
        <v>L-THREONINE 98.5%</v>
      </c>
      <c r="D69" s="1063">
        <v>584.37</v>
      </c>
      <c r="E69" s="1063">
        <v>581.72</v>
      </c>
      <c r="F69" s="1063">
        <v>-2.65</v>
      </c>
      <c r="G69" s="1063">
        <v>-0.45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840030</v>
      </c>
      <c r="B70" s="1063" t="str">
        <v>840030 Mini</v>
      </c>
      <c r="C70" s="1063" t="str">
        <v>L-THREONINE Mine scale</v>
      </c>
      <c r="D70" s="1063">
        <v>1103.75</v>
      </c>
      <c r="E70" s="1063">
        <v>1107.1500000000001</v>
      </c>
      <c r="F70" s="1063">
        <v>3.4</v>
      </c>
      <c r="G70" s="1063">
        <v>0.31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840032</v>
      </c>
      <c r="B71" s="1063">
        <v>840032</v>
      </c>
      <c r="C71" s="1063" t="str">
        <v>L-VALINE</v>
      </c>
      <c r="D71" s="1063">
        <v>374.84</v>
      </c>
      <c r="E71" s="1063">
        <v>372.8</v>
      </c>
      <c r="F71" s="1063">
        <v>-2.04</v>
      </c>
      <c r="G71" s="1063">
        <v>-0.54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840035</v>
      </c>
      <c r="B72" s="1063">
        <v>840035</v>
      </c>
      <c r="C72" s="1063" t="str">
        <v>L-ARG 99.7%</v>
      </c>
      <c r="D72" s="1063">
        <v>121.46</v>
      </c>
      <c r="E72" s="1063">
        <v>120.42</v>
      </c>
      <c r="F72" s="1063">
        <v>-1.04</v>
      </c>
      <c r="G72" s="1063">
        <v>-0.86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840041</v>
      </c>
      <c r="B73" s="1063">
        <v>840041</v>
      </c>
      <c r="C73" s="1063" t="str">
        <v>Ch_CH 75%</v>
      </c>
      <c r="D73" s="1063">
        <v>1070.49</v>
      </c>
      <c r="E73" s="1063">
        <v>1057.92</v>
      </c>
      <c r="F73" s="1063">
        <v>-12.57</v>
      </c>
      <c r="G73" s="1063">
        <v>-1.17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840058</v>
      </c>
      <c r="B74" s="1063">
        <v>840058</v>
      </c>
      <c r="C74" s="1063" t="str">
        <v>betafin liqiud 38%</v>
      </c>
      <c r="D74" s="1063">
        <v>1763.35</v>
      </c>
      <c r="E74" s="1063">
        <v>1741.8</v>
      </c>
      <c r="F74" s="1063">
        <v>-21.55</v>
      </c>
      <c r="G74" s="1063">
        <v>-1.22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840101</v>
      </c>
      <c r="B75" s="1063">
        <v>840101</v>
      </c>
      <c r="C75" s="1063" t="str">
        <v>Axtra# PRIME 501 T</v>
      </c>
      <c r="D75" s="1063">
        <v>6</v>
      </c>
      <c r="E75" s="1063">
        <v>5.94</v>
      </c>
      <c r="F75" s="1063">
        <v>-0.06</v>
      </c>
      <c r="G75" s="1063">
        <v>-1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840155</v>
      </c>
      <c r="B76" s="1063">
        <v>840155</v>
      </c>
      <c r="C76" s="1063" t="str">
        <v>Rovabio Advance Phy L</v>
      </c>
      <c r="D76" s="1063">
        <v>220.8</v>
      </c>
      <c r="E76" s="1063">
        <v>220.8</v>
      </c>
      <c r="F76" s="1063">
        <v>0</v>
      </c>
      <c r="G76" s="1063">
        <v>0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220.8</v>
      </c>
    </row>
    <row r="77" spans="1:14" x14ac:dyDescent="0.2">
      <c r="A77" s="1062" t="str">
        <f t="shared" si="6"/>
        <v>840194</v>
      </c>
      <c r="B77" s="1063">
        <v>840194</v>
      </c>
      <c r="C77" s="1063" t="str">
        <v>ROVABIO ADVNCE T-FLEX 25</v>
      </c>
      <c r="D77" s="1063">
        <v>150.80000000000001</v>
      </c>
      <c r="E77" s="1063">
        <v>149.01</v>
      </c>
      <c r="F77" s="1063">
        <v>-1.79</v>
      </c>
      <c r="G77" s="1063">
        <v>-1.19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840197</v>
      </c>
      <c r="B78" s="1063">
        <v>840197</v>
      </c>
      <c r="C78" s="1063" t="str">
        <v>Versazyme/cibenza</v>
      </c>
      <c r="D78" s="1063">
        <v>105</v>
      </c>
      <c r="E78" s="1063">
        <v>104.19</v>
      </c>
      <c r="F78" s="1063">
        <v>-0.81</v>
      </c>
      <c r="G78" s="1063">
        <v>-0.77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840224</v>
      </c>
      <c r="B79" s="1063">
        <v>840224</v>
      </c>
      <c r="C79" s="1063" t="str">
        <v>LUCATINRED10%/LeaderRed/Canthaxanthin10%</v>
      </c>
      <c r="D79" s="1063">
        <v>7.56</v>
      </c>
      <c r="E79" s="1063">
        <v>7.56</v>
      </c>
      <c r="F79" s="1063">
        <v>0</v>
      </c>
      <c r="G79" s="1063">
        <v>0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840245</v>
      </c>
      <c r="B80" s="1063">
        <v>840245</v>
      </c>
      <c r="C80" s="1063" t="str">
        <v>TARTRAZINE 50%</v>
      </c>
      <c r="D80" s="1063">
        <v>27.72</v>
      </c>
      <c r="E80" s="1063">
        <v>27.72</v>
      </c>
      <c r="F80" s="1063">
        <v>0</v>
      </c>
      <c r="G80" s="1063">
        <v>0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840255</v>
      </c>
      <c r="B81" s="1063">
        <v>840255</v>
      </c>
      <c r="C81" s="1063" t="str">
        <v>LEADER  YELLOW</v>
      </c>
      <c r="D81" s="1063">
        <v>205.8</v>
      </c>
      <c r="E81" s="1063">
        <v>205.8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840305</v>
      </c>
      <c r="B82" s="1063">
        <v>840305</v>
      </c>
      <c r="C82" s="1063" t="str">
        <v>PIGOR TEX659</v>
      </c>
      <c r="D82" s="1063">
        <v>46</v>
      </c>
      <c r="E82" s="1063">
        <v>45.96</v>
      </c>
      <c r="F82" s="1063">
        <v>-0.04</v>
      </c>
      <c r="G82" s="1063">
        <v>-0.09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840358</v>
      </c>
      <c r="B83" s="1063">
        <v>840358</v>
      </c>
      <c r="C83" s="1063" t="str">
        <v xml:space="preserve">Sucram 5S </v>
      </c>
      <c r="D83" s="1063">
        <v>20.399999999999999</v>
      </c>
      <c r="E83" s="1063">
        <v>20.399999999999999</v>
      </c>
      <c r="F83" s="1063">
        <v>0</v>
      </c>
      <c r="G83" s="1063">
        <v>0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840400</v>
      </c>
      <c r="B84" s="1063">
        <v>840400</v>
      </c>
      <c r="C84" s="1063" t="str">
        <v>ACID LAC PREMIUM</v>
      </c>
      <c r="D84" s="1063">
        <v>768</v>
      </c>
      <c r="E84" s="1063">
        <v>760.6</v>
      </c>
      <c r="F84" s="1063">
        <v>-7.4</v>
      </c>
      <c r="G84" s="1063">
        <v>-0.96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840537</v>
      </c>
      <c r="B85" s="1063">
        <v>840537</v>
      </c>
      <c r="C85" s="1063" t="str">
        <v>VITAMIN E</v>
      </c>
      <c r="D85" s="1063">
        <v>3.78</v>
      </c>
      <c r="E85" s="1063">
        <v>3.78</v>
      </c>
      <c r="F85" s="1063">
        <v>0</v>
      </c>
      <c r="G85" s="1063">
        <v>0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840547</v>
      </c>
      <c r="B86" s="1063">
        <v>840547</v>
      </c>
      <c r="C86" s="1063" t="str">
        <v>PHYTOCEE</v>
      </c>
      <c r="D86" s="1063">
        <v>42</v>
      </c>
      <c r="E86" s="1063">
        <v>41.89</v>
      </c>
      <c r="F86" s="1063">
        <v>-0.11</v>
      </c>
      <c r="G86" s="1063">
        <v>-0.26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840550</v>
      </c>
      <c r="B87" s="1063">
        <v>840550</v>
      </c>
      <c r="C87" s="1063" t="str">
        <v>BIOTIN(2%)</v>
      </c>
      <c r="D87" s="1063">
        <v>3.95</v>
      </c>
      <c r="E87" s="1063">
        <v>3.95</v>
      </c>
      <c r="F87" s="1063">
        <v>0</v>
      </c>
      <c r="G87" s="1063">
        <v>0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840929</v>
      </c>
      <c r="B88" s="1063">
        <v>840929</v>
      </c>
      <c r="C88" s="1063" t="str">
        <v>Rovabio PHY</v>
      </c>
      <c r="D88" s="1063">
        <v>75.400000000000006</v>
      </c>
      <c r="E88" s="1063">
        <v>74.73</v>
      </c>
      <c r="F88" s="1063">
        <v>-0.67</v>
      </c>
      <c r="G88" s="1063">
        <v>-0.89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841299</v>
      </c>
      <c r="B89" s="1063">
        <v>841299</v>
      </c>
      <c r="C89" s="1063" t="str">
        <v>Avi-multop</v>
      </c>
      <c r="D89" s="1063">
        <v>321</v>
      </c>
      <c r="E89" s="1063">
        <v>322.5</v>
      </c>
      <c r="F89" s="1063">
        <v>1.5</v>
      </c>
      <c r="G89" s="1063">
        <v>0.47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842107</v>
      </c>
      <c r="B90" s="1063">
        <v>842107</v>
      </c>
      <c r="C90" s="1063" t="str">
        <v xml:space="preserve">M-TOX PLUS </v>
      </c>
      <c r="D90" s="1063">
        <v>211.32</v>
      </c>
      <c r="E90" s="1063">
        <v>209.78</v>
      </c>
      <c r="F90" s="1063">
        <v>-1.54</v>
      </c>
      <c r="G90" s="1063">
        <v>-0.73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842123</v>
      </c>
      <c r="B91" s="1063">
        <v>842123</v>
      </c>
      <c r="C91" s="1063" t="str">
        <v>MYCOFIX Plux 3.0</v>
      </c>
      <c r="D91" s="1063">
        <v>100.8</v>
      </c>
      <c r="E91" s="1063">
        <v>100.48</v>
      </c>
      <c r="F91" s="1063">
        <v>-0.32</v>
      </c>
      <c r="G91" s="1063">
        <v>-0.32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842133</v>
      </c>
      <c r="B92" s="1063">
        <v>842133</v>
      </c>
      <c r="C92" s="1063" t="str">
        <v>Toxy-nil dry</v>
      </c>
      <c r="D92" s="1063">
        <v>50.39</v>
      </c>
      <c r="E92" s="1063">
        <v>49.88</v>
      </c>
      <c r="F92" s="1063">
        <v>-0.51</v>
      </c>
      <c r="G92" s="1063">
        <v>-1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842154</v>
      </c>
      <c r="B93" s="1063">
        <v>842154</v>
      </c>
      <c r="C93" s="1063" t="str">
        <v>BENTONITE</v>
      </c>
      <c r="D93" s="1063">
        <v>237.6</v>
      </c>
      <c r="E93" s="1063">
        <v>238</v>
      </c>
      <c r="F93" s="1063">
        <v>0.4</v>
      </c>
      <c r="G93" s="1063">
        <v>0.17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842154</v>
      </c>
      <c r="B94" s="1063">
        <v>842154</v>
      </c>
      <c r="C94" s="1063" t="str">
        <v>BENTONITE. HA</v>
      </c>
      <c r="D94" s="1063">
        <v>327.60000000000002</v>
      </c>
      <c r="E94" s="1063">
        <v>327.60000000000002</v>
      </c>
      <c r="F94" s="1063">
        <v>0</v>
      </c>
      <c r="G94" s="1063">
        <v>0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842206</v>
      </c>
      <c r="B95" s="1063">
        <v>842206</v>
      </c>
      <c r="C95" s="1063" t="str">
        <v>BIOMIN</v>
      </c>
      <c r="D95" s="1063">
        <v>12.6</v>
      </c>
      <c r="E95" s="1063">
        <v>12.55</v>
      </c>
      <c r="F95" s="1063">
        <v>-0.05</v>
      </c>
      <c r="G95" s="1063">
        <v>-0.4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842259</v>
      </c>
      <c r="B96" s="1063">
        <v>842259</v>
      </c>
      <c r="C96" s="1063" t="str">
        <v>GalliPro Tect(Probiotic)</v>
      </c>
      <c r="D96" s="1063">
        <v>293</v>
      </c>
      <c r="E96" s="1063">
        <v>291.86</v>
      </c>
      <c r="F96" s="1063">
        <v>-1.1399999999999999</v>
      </c>
      <c r="G96" s="1063">
        <v>-0.39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842300</v>
      </c>
      <c r="B97" s="1063">
        <v>842300</v>
      </c>
      <c r="C97" s="1063" t="str">
        <v>ENDOX</v>
      </c>
      <c r="D97" s="1063">
        <v>121.44</v>
      </c>
      <c r="E97" s="1063">
        <v>122.07</v>
      </c>
      <c r="F97" s="1063">
        <v>0.63</v>
      </c>
      <c r="G97" s="1063">
        <v>0.52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842520</v>
      </c>
      <c r="B98" s="1063">
        <v>842520</v>
      </c>
      <c r="C98" s="1063" t="str">
        <v>Monensin</v>
      </c>
      <c r="D98" s="1063">
        <v>10.08</v>
      </c>
      <c r="E98" s="1063">
        <v>10.08</v>
      </c>
      <c r="F98" s="1063">
        <v>0</v>
      </c>
      <c r="G98" s="1063">
        <v>0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842523</v>
      </c>
      <c r="B99" s="1063">
        <v>842523</v>
      </c>
      <c r="C99" s="1063" t="str">
        <v>MAXIBAN</v>
      </c>
      <c r="D99" s="1063">
        <v>30.24</v>
      </c>
      <c r="E99" s="1063">
        <v>30.24</v>
      </c>
      <c r="F99" s="1063">
        <v>0</v>
      </c>
      <c r="G99" s="1063">
        <v>0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842880</v>
      </c>
      <c r="B100" s="1063">
        <v>842880</v>
      </c>
      <c r="C100" s="1063" t="str">
        <v>Acid Buf 10</v>
      </c>
      <c r="D100" s="1063">
        <v>316.56</v>
      </c>
      <c r="E100" s="1063">
        <v>316.56</v>
      </c>
      <c r="F100" s="1063">
        <v>0</v>
      </c>
      <c r="G100" s="1063">
        <v>0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842903</v>
      </c>
      <c r="B101" s="1063">
        <v>842903</v>
      </c>
      <c r="C101" s="1063" t="str">
        <v>COPPER CHLORIDE 58%Caliton</v>
      </c>
      <c r="D101" s="1063">
        <v>225.39</v>
      </c>
      <c r="E101" s="1063">
        <v>225.42</v>
      </c>
      <c r="F101" s="1063">
        <v>0.03</v>
      </c>
      <c r="G101" s="1063">
        <v>0.01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842906</v>
      </c>
      <c r="B102" s="1063">
        <v>842906</v>
      </c>
      <c r="C102" s="1063" t="str">
        <v>UREA FINE</v>
      </c>
      <c r="D102" s="1063">
        <v>2127.44</v>
      </c>
      <c r="E102" s="1063">
        <v>2130.1</v>
      </c>
      <c r="F102" s="1063">
        <v>2.66</v>
      </c>
      <c r="G102" s="1063">
        <v>0.12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842922</v>
      </c>
      <c r="B103" s="1063">
        <v>842922</v>
      </c>
      <c r="C103" s="1063" t="str">
        <v>AVAILA Zn</v>
      </c>
      <c r="D103" s="1063">
        <v>233.18</v>
      </c>
      <c r="E103" s="1063">
        <v>233.11</v>
      </c>
      <c r="F103" s="1063">
        <v>-7.0000000000000007E-2</v>
      </c>
      <c r="G103" s="1063">
        <v>-0.03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842930</v>
      </c>
      <c r="B104" s="1063">
        <v>842930</v>
      </c>
      <c r="C104" s="1063" t="str">
        <v>ALLPLEX -B</v>
      </c>
      <c r="D104" s="1063">
        <v>87.2</v>
      </c>
      <c r="E104" s="1063">
        <v>87.08</v>
      </c>
      <c r="F104" s="1063">
        <v>-0.12</v>
      </c>
      <c r="G104" s="1063">
        <v>-0.14000000000000001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842931</v>
      </c>
      <c r="B105" s="1063">
        <v>842931</v>
      </c>
      <c r="C105" s="1063" t="str">
        <v>ALLPLEX -S</v>
      </c>
      <c r="D105" s="1063">
        <v>208.79</v>
      </c>
      <c r="E105" s="1063">
        <v>207.5</v>
      </c>
      <c r="F105" s="1063">
        <v>-1.29</v>
      </c>
      <c r="G105" s="1063">
        <v>-0.62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842934</v>
      </c>
      <c r="B106" s="1063">
        <v>842934</v>
      </c>
      <c r="C106" s="1063" t="str">
        <v>ALLPLEX -GF</v>
      </c>
      <c r="D106" s="1063">
        <v>682.8</v>
      </c>
      <c r="E106" s="1063">
        <v>675.64</v>
      </c>
      <c r="F106" s="1063">
        <v>-7.16</v>
      </c>
      <c r="G106" s="1063">
        <v>-1.05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842959</v>
      </c>
      <c r="B107" s="1063">
        <v>842959</v>
      </c>
      <c r="C107" s="1063" t="str">
        <v>Microplex Cr</v>
      </c>
      <c r="D107" s="1063">
        <v>42</v>
      </c>
      <c r="E107" s="1063">
        <v>41.76</v>
      </c>
      <c r="F107" s="1063">
        <v>-0.24</v>
      </c>
      <c r="G107" s="1063">
        <v>-0.56999999999999995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842984</v>
      </c>
      <c r="B108" s="1063">
        <v>842984</v>
      </c>
      <c r="C108" s="1063" t="str">
        <v>ZN OXIDE 75%</v>
      </c>
      <c r="D108" s="1063">
        <v>276.8</v>
      </c>
      <c r="E108" s="1063">
        <v>278.2</v>
      </c>
      <c r="F108" s="1063">
        <v>1.4</v>
      </c>
      <c r="G108" s="1063">
        <v>0.51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842994</v>
      </c>
      <c r="B109" s="1063">
        <v>842994</v>
      </c>
      <c r="C109" s="1063" t="str">
        <v>HIZOX</v>
      </c>
      <c r="D109" s="1063">
        <v>32</v>
      </c>
      <c r="E109" s="1063">
        <v>32.33</v>
      </c>
      <c r="F109" s="1063">
        <v>0.33</v>
      </c>
      <c r="G109" s="1063">
        <v>1.03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843029</v>
      </c>
      <c r="B110" s="1063">
        <v>843029</v>
      </c>
      <c r="C110" s="1063" t="str">
        <v>CHLOTETRA 15%</v>
      </c>
      <c r="D110" s="1063">
        <v>44.74</v>
      </c>
      <c r="E110" s="1063">
        <v>44.74</v>
      </c>
      <c r="F110" s="1063">
        <v>0</v>
      </c>
      <c r="G110" s="1063">
        <v>0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843075</v>
      </c>
      <c r="B111" s="1063">
        <v>843075</v>
      </c>
      <c r="C111" s="1063" t="str">
        <v>QUIXALUD</v>
      </c>
      <c r="D111" s="1063">
        <v>40</v>
      </c>
      <c r="E111" s="1063">
        <v>40</v>
      </c>
      <c r="F111" s="1063">
        <v>0</v>
      </c>
      <c r="G111" s="1063">
        <v>0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843084</v>
      </c>
      <c r="B112" s="1063">
        <v>843084</v>
      </c>
      <c r="C112" s="1063" t="str">
        <v>TIOTILIN 80%</v>
      </c>
      <c r="D112" s="1063">
        <v>50.85</v>
      </c>
      <c r="E112" s="1063">
        <v>50.85</v>
      </c>
      <c r="F112" s="1063">
        <v>0</v>
      </c>
      <c r="G112" s="1063">
        <v>0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843125</v>
      </c>
      <c r="B113" s="1063">
        <v>843125</v>
      </c>
      <c r="C113" s="1063" t="str">
        <v>Amoxycillin 80%</v>
      </c>
      <c r="D113" s="1063">
        <v>79.95</v>
      </c>
      <c r="E113" s="1063">
        <v>79.95</v>
      </c>
      <c r="F113" s="1063">
        <v>0</v>
      </c>
      <c r="G113" s="1063">
        <v>0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843254</v>
      </c>
      <c r="B114" s="1063">
        <v>843254</v>
      </c>
      <c r="C114" s="1063" t="str">
        <v>LAVADEX 1%</v>
      </c>
      <c r="D114" s="1063">
        <v>20</v>
      </c>
      <c r="E114" s="1063">
        <v>20</v>
      </c>
      <c r="F114" s="1063">
        <v>0</v>
      </c>
      <c r="G114" s="1063">
        <v>0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843267</v>
      </c>
      <c r="B115" s="1063">
        <v>843267</v>
      </c>
      <c r="C115" s="1063" t="str">
        <v>PIGFEN</v>
      </c>
      <c r="D115" s="1063">
        <v>80</v>
      </c>
      <c r="E115" s="1063">
        <v>80</v>
      </c>
      <c r="F115" s="1063">
        <v>0</v>
      </c>
      <c r="G115" s="1063">
        <v>0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843274</v>
      </c>
      <c r="B116" s="1063">
        <v>843274</v>
      </c>
      <c r="C116" s="1063" t="str">
        <v>Tilmovet/Pulmotil/Timicox/Miclozan 200</v>
      </c>
      <c r="D116" s="1063">
        <v>66</v>
      </c>
      <c r="E116" s="1063">
        <v>66</v>
      </c>
      <c r="F116" s="1063">
        <v>0</v>
      </c>
      <c r="G116" s="1063">
        <v>0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890000</v>
      </c>
      <c r="B117" s="1063">
        <v>890000</v>
      </c>
      <c r="C117" s="1063" t="str">
        <v>IR/FR (SWINE)</v>
      </c>
      <c r="D117" s="1063">
        <v>55188.01</v>
      </c>
      <c r="E117" s="1063">
        <v>55224</v>
      </c>
      <c r="F117" s="1063">
        <v>35.99</v>
      </c>
      <c r="G117" s="1063">
        <v>7.0000000000000007E-2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55224</v>
      </c>
    </row>
    <row r="118" spans="1:14" x14ac:dyDescent="0.2">
      <c r="A118" s="1062" t="str">
        <f t="shared" si="6"/>
        <v>911101</v>
      </c>
      <c r="B118" s="1063">
        <v>911101</v>
      </c>
      <c r="C118" s="1063" t="str">
        <v>PX 10V</v>
      </c>
      <c r="D118" s="1063">
        <v>283.5</v>
      </c>
      <c r="E118" s="1063">
        <v>281.88</v>
      </c>
      <c r="F118" s="1063">
        <v>-1.62</v>
      </c>
      <c r="G118" s="1063">
        <v>-0.56999999999999995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911121</v>
      </c>
      <c r="B119" s="1063">
        <v>911121</v>
      </c>
      <c r="C119" s="1063" t="str">
        <v>PX_21V</v>
      </c>
      <c r="D119" s="1063">
        <v>74.599999999999994</v>
      </c>
      <c r="E119" s="1063">
        <v>73.650000000000006</v>
      </c>
      <c r="F119" s="1063">
        <v>-0.95</v>
      </c>
      <c r="G119" s="1063">
        <v>-1.27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911125</v>
      </c>
      <c r="B120" s="1063">
        <v>911125</v>
      </c>
      <c r="C120" s="1063" t="str">
        <v>px 25v</v>
      </c>
      <c r="D120" s="1063">
        <v>25.2</v>
      </c>
      <c r="E120" s="1063">
        <v>24.84</v>
      </c>
      <c r="F120" s="1063">
        <v>-0.36</v>
      </c>
      <c r="G120" s="1063">
        <v>-1.43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911401</v>
      </c>
      <c r="B121" s="1063">
        <v>911401</v>
      </c>
      <c r="C121" s="1063" t="str">
        <v>PX_48V</v>
      </c>
      <c r="D121" s="1063">
        <v>58.8</v>
      </c>
      <c r="E121" s="1063">
        <v>59.36</v>
      </c>
      <c r="F121" s="1063">
        <v>0.56000000000000005</v>
      </c>
      <c r="G121" s="1063">
        <v>0.95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912101</v>
      </c>
      <c r="B122" s="1063">
        <v>912101</v>
      </c>
      <c r="C122" s="1063" t="str">
        <v>PX 10M</v>
      </c>
      <c r="D122" s="1063">
        <v>366.72</v>
      </c>
      <c r="E122" s="1063">
        <v>366.82</v>
      </c>
      <c r="F122" s="1063">
        <v>0.1</v>
      </c>
      <c r="G122" s="1063">
        <v>0.03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913501</v>
      </c>
      <c r="B123" s="1063">
        <v>913501</v>
      </c>
      <c r="C123" s="1063" t="str">
        <v>PX 51V</v>
      </c>
      <c r="D123" s="1063">
        <v>264</v>
      </c>
      <c r="E123" s="1063">
        <v>262.39999999999998</v>
      </c>
      <c r="F123" s="1063">
        <v>-1.6</v>
      </c>
      <c r="G123" s="1063">
        <v>-0.61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913511</v>
      </c>
      <c r="B124" s="1063">
        <v>913511</v>
      </c>
      <c r="C124" s="1063" t="str">
        <v>PX 52SV</v>
      </c>
      <c r="D124" s="1063">
        <v>268.8</v>
      </c>
      <c r="E124" s="1063">
        <v>266.62</v>
      </c>
      <c r="F124" s="1063">
        <v>-2.1800000000000002</v>
      </c>
      <c r="G124" s="1063">
        <v>-0.81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913521</v>
      </c>
      <c r="B125" s="1063">
        <v>913521</v>
      </c>
      <c r="C125" s="1063" t="str">
        <v>PX52V</v>
      </c>
      <c r="D125" s="1063">
        <v>180.6</v>
      </c>
      <c r="E125" s="1063">
        <v>179.76</v>
      </c>
      <c r="F125" s="1063">
        <v>-0.84</v>
      </c>
      <c r="G125" s="1063">
        <v>-0.47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>913561</v>
      </c>
      <c r="B126" s="1063">
        <v>913561</v>
      </c>
      <c r="C126" s="1063" t="str">
        <v>PX-66V</v>
      </c>
      <c r="D126" s="1063">
        <v>50.4</v>
      </c>
      <c r="E126" s="1063">
        <v>49.99</v>
      </c>
      <c r="F126" s="1063">
        <v>-0.41</v>
      </c>
      <c r="G126" s="1063">
        <v>-0.81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>913563</v>
      </c>
      <c r="B127" s="1063">
        <v>913563</v>
      </c>
      <c r="C127" s="1063" t="str">
        <v>PX-62PV</v>
      </c>
      <c r="D127" s="1063">
        <v>16.8</v>
      </c>
      <c r="E127" s="1063">
        <v>16.63</v>
      </c>
      <c r="F127" s="1063">
        <v>-0.17</v>
      </c>
      <c r="G127" s="1063">
        <v>-1.01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>913572</v>
      </c>
      <c r="B128" s="1063">
        <v>913572</v>
      </c>
      <c r="C128" s="1063" t="str">
        <v>PX-67SV</v>
      </c>
      <c r="D128" s="1063">
        <v>50.39</v>
      </c>
      <c r="E128" s="1063">
        <v>49.92</v>
      </c>
      <c r="F128" s="1063">
        <v>-0.47</v>
      </c>
      <c r="G128" s="1063">
        <v>-0.92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>914001</v>
      </c>
      <c r="B129" s="1063">
        <v>914001</v>
      </c>
      <c r="C129" s="1063" t="str">
        <v>MS Swine 0314 (Biomin)</v>
      </c>
      <c r="D129" s="1063">
        <v>622.07000000000005</v>
      </c>
      <c r="E129" s="1063">
        <v>619.9</v>
      </c>
      <c r="F129" s="1063">
        <v>-2.17</v>
      </c>
      <c r="G129" s="1063">
        <v>-0.35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>914521</v>
      </c>
      <c r="B130" s="1063">
        <v>914521</v>
      </c>
      <c r="C130" s="1063" t="str">
        <v>pX 52M</v>
      </c>
      <c r="D130" s="1063">
        <v>372.96</v>
      </c>
      <c r="E130" s="1063">
        <v>374.12</v>
      </c>
      <c r="F130" s="1063">
        <v>1.1599999999999999</v>
      </c>
      <c r="G130" s="1063">
        <v>0.31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>916001</v>
      </c>
      <c r="B131" s="1063">
        <v>916001</v>
      </c>
      <c r="C131" s="1063" t="str">
        <v>571V Premix</v>
      </c>
      <c r="D131" s="1063">
        <v>50.4</v>
      </c>
      <c r="E131" s="1063">
        <v>50.4</v>
      </c>
      <c r="F131" s="1063">
        <v>0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>916002</v>
      </c>
      <c r="B132" s="1063">
        <v>916002</v>
      </c>
      <c r="C132" s="1063" t="str">
        <v>572sv Premix</v>
      </c>
      <c r="D132" s="1063">
        <v>8.4</v>
      </c>
      <c r="E132" s="1063">
        <v>8.3699999999999992</v>
      </c>
      <c r="F132" s="1063">
        <v>-0.03</v>
      </c>
      <c r="G132" s="1063">
        <v>-0.36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>916021</v>
      </c>
      <c r="B133" s="1063">
        <v>916021</v>
      </c>
      <c r="C133" s="1063" t="str">
        <v>PX 582 VNF</v>
      </c>
      <c r="D133" s="1063">
        <v>33.6</v>
      </c>
      <c r="E133" s="1063">
        <v>33.299999999999997</v>
      </c>
      <c r="F133" s="1063">
        <v>-0.3</v>
      </c>
      <c r="G133" s="1063">
        <v>-0.89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>916201</v>
      </c>
      <c r="B134" s="1063">
        <v>916201</v>
      </c>
      <c r="C134" s="1063" t="str">
        <v>MC-0697 Premix</v>
      </c>
      <c r="D134" s="1063">
        <v>88.2</v>
      </c>
      <c r="E134" s="1063">
        <v>88.2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>916202</v>
      </c>
      <c r="B135" s="1063">
        <v>916202</v>
      </c>
      <c r="C135" s="1063" t="str">
        <v>MC0697B Premix</v>
      </c>
      <c r="D135" s="1063">
        <v>100.8</v>
      </c>
      <c r="E135" s="1063">
        <v>100.8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>917004</v>
      </c>
      <c r="B136" s="1063">
        <v>917004</v>
      </c>
      <c r="C136" s="1063" t="str">
        <v>PMX 0.2% RED Premix</v>
      </c>
      <c r="D136" s="1063">
        <v>861.8</v>
      </c>
      <c r="E136" s="1063">
        <v>859.84</v>
      </c>
      <c r="F136" s="1063">
        <v>-1.96</v>
      </c>
      <c r="G136" s="1063">
        <v>-0.23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>917004</v>
      </c>
      <c r="B137" s="1063" t="str">
        <v>917004 HA</v>
      </c>
      <c r="C137" s="1063" t="str">
        <v>PMX 0.2% RED Premix</v>
      </c>
      <c r="D137" s="1063">
        <v>240</v>
      </c>
      <c r="E137" s="1063">
        <v>240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>917302</v>
      </c>
      <c r="B138" s="1063">
        <v>917302</v>
      </c>
      <c r="C138" s="1063" t="str">
        <v>PREMIX AMNIL</v>
      </c>
      <c r="D138" s="1063">
        <v>516.6</v>
      </c>
      <c r="E138" s="1063">
        <v>507.62</v>
      </c>
      <c r="F138" s="1063">
        <v>-8.98</v>
      </c>
      <c r="G138" s="1063">
        <v>-1.74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>AVI WA</v>
      </c>
      <c r="B139" s="1063" t="str">
        <v>AVI WATER</v>
      </c>
      <c r="C139" s="1063" t="str">
        <v>AVI WATER</v>
      </c>
      <c r="D139" s="1063">
        <v>3210</v>
      </c>
      <c r="E139" s="1063">
        <v>3247.43</v>
      </c>
      <c r="F139" s="1063">
        <v>37.43</v>
      </c>
      <c r="G139" s="1063">
        <v>1.17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 xml:space="preserve">KOMOS </v>
      </c>
      <c r="B140" s="1063" t="str">
        <v>KOMOS MCL</v>
      </c>
      <c r="C140" s="1063" t="str">
        <v>MCL</v>
      </c>
      <c r="D140" s="1063">
        <v>1974.39</v>
      </c>
      <c r="E140" s="1063">
        <v>1977.82</v>
      </c>
      <c r="F140" s="1063">
        <v>3.43</v>
      </c>
      <c r="G140" s="1063">
        <v>0.17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 xml:space="preserve">KOMOS </v>
      </c>
      <c r="B141" s="1063" t="str">
        <v>KOMOS Water</v>
      </c>
      <c r="C141" s="1063">
        <v>0</v>
      </c>
      <c r="D141" s="1063">
        <v>1583.4</v>
      </c>
      <c r="E141" s="1063">
        <v>1584.25</v>
      </c>
      <c r="F141" s="1063">
        <v>0.85</v>
      </c>
      <c r="G141" s="1063">
        <v>0.05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2191784.2999999998</v>
      </c>
      <c r="E142" s="1063">
        <v>2189676.9300000002</v>
      </c>
      <c r="F142" s="1063">
        <v>-2107.37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topLeftCell="A109"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2414</v>
      </c>
      <c r="C6" s="666" t="s">
        <v>2415</v>
      </c>
      <c r="D6" s="666" t="s">
        <v>2416</v>
      </c>
      <c r="E6" s="666" t="s">
        <v>2417</v>
      </c>
      <c r="F6" s="666" t="s">
        <v>2418</v>
      </c>
      <c r="G6" s="666" t="s">
        <v>2419</v>
      </c>
      <c r="H6" s="666" t="s">
        <v>2420</v>
      </c>
      <c r="I6" s="666" t="s">
        <v>2421</v>
      </c>
      <c r="J6" s="666" t="s">
        <v>2422</v>
      </c>
      <c r="K6" s="666" t="s">
        <v>2423</v>
      </c>
    </row>
    <row r="7" spans="1:27" x14ac:dyDescent="0.2">
      <c r="A7" s="1106" t="str">
        <f t="shared" si="0"/>
        <v/>
      </c>
      <c r="C7" s="666" t="s">
        <v>2424</v>
      </c>
      <c r="D7" s="2001">
        <v>46276.631249999999</v>
      </c>
      <c r="E7" s="2001">
        <v>46276.631249999999</v>
      </c>
    </row>
    <row r="8" spans="1:27" x14ac:dyDescent="0.2">
      <c r="A8" s="1106" t="str">
        <f t="shared" si="0"/>
        <v>Dextrose MonohydrateA19.246274</v>
      </c>
      <c r="B8" s="2002">
        <v>46276</v>
      </c>
      <c r="C8" s="2003">
        <v>8000095522</v>
      </c>
      <c r="D8" s="2003">
        <v>1</v>
      </c>
      <c r="E8" s="666" t="s">
        <v>36</v>
      </c>
      <c r="H8" s="2004">
        <v>46274</v>
      </c>
      <c r="I8" s="717">
        <v>0</v>
      </c>
      <c r="K8" s="666" t="s">
        <v>2425</v>
      </c>
      <c r="L8" s="666" t="s">
        <v>360</v>
      </c>
      <c r="M8" s="666" t="s">
        <v>2426</v>
      </c>
      <c r="N8" s="717">
        <v>25</v>
      </c>
      <c r="O8" s="715">
        <v>120</v>
      </c>
      <c r="P8" s="717">
        <v>3000</v>
      </c>
      <c r="Q8" s="666" t="s">
        <v>2427</v>
      </c>
      <c r="R8" s="666" t="s">
        <v>2428</v>
      </c>
      <c r="AA8" s="1163"/>
    </row>
    <row r="9" spans="1:27" x14ac:dyDescent="0.2">
      <c r="A9" s="1106" t="str">
        <f t="shared" si="0"/>
        <v/>
      </c>
      <c r="C9" s="666" t="s">
        <v>2424</v>
      </c>
      <c r="D9" s="2001">
        <v>46276.631249999999</v>
      </c>
      <c r="E9" s="2001">
        <v>46276.631249999999</v>
      </c>
    </row>
    <row r="10" spans="1:27" ht="12.75" customHeight="1" x14ac:dyDescent="0.2">
      <c r="A10" s="1106" t="str">
        <f t="shared" si="0"/>
        <v>Dextrose MonohydrateA19.246274</v>
      </c>
      <c r="B10" s="2002">
        <v>46276</v>
      </c>
      <c r="C10" s="2003">
        <v>8000095522</v>
      </c>
      <c r="D10" s="2003">
        <v>2</v>
      </c>
      <c r="E10" s="666" t="s">
        <v>36</v>
      </c>
      <c r="H10" s="2004">
        <v>46274</v>
      </c>
      <c r="I10" s="717">
        <v>0</v>
      </c>
      <c r="K10" s="666" t="s">
        <v>2425</v>
      </c>
      <c r="L10" s="666" t="s">
        <v>360</v>
      </c>
      <c r="M10" s="666" t="s">
        <v>2426</v>
      </c>
      <c r="N10" s="717">
        <v>25</v>
      </c>
      <c r="O10" s="715">
        <v>280</v>
      </c>
      <c r="P10" s="717">
        <v>7000</v>
      </c>
      <c r="Q10" s="666" t="s">
        <v>2427</v>
      </c>
      <c r="R10" s="666" t="s">
        <v>2428</v>
      </c>
    </row>
    <row r="11" spans="1:27" ht="12.75" customHeight="1" x14ac:dyDescent="0.2">
      <c r="A11" s="1106" t="str">
        <f t="shared" si="0"/>
        <v/>
      </c>
      <c r="B11" s="666" t="s">
        <v>2429</v>
      </c>
      <c r="C11" s="666" t="s">
        <v>2424</v>
      </c>
      <c r="D11" s="2001">
        <v>46276.631944444445</v>
      </c>
      <c r="E11" s="2001">
        <v>46276.631944444445</v>
      </c>
    </row>
    <row r="12" spans="1:27" ht="12.75" customHeight="1" x14ac:dyDescent="0.2">
      <c r="A12" s="1106" t="str">
        <f t="shared" si="0"/>
        <v>Limestone (Fine)B13.246249</v>
      </c>
      <c r="B12" s="2002">
        <v>46276</v>
      </c>
      <c r="C12" s="2003">
        <v>8000095522</v>
      </c>
      <c r="D12" s="2003">
        <v>3</v>
      </c>
      <c r="E12" s="666" t="s">
        <v>811</v>
      </c>
      <c r="H12" s="2004">
        <v>46249</v>
      </c>
      <c r="I12" s="717">
        <v>0</v>
      </c>
      <c r="J12" s="666" t="s">
        <v>2430</v>
      </c>
      <c r="K12" s="666" t="s">
        <v>2425</v>
      </c>
      <c r="L12" s="666" t="s">
        <v>1496</v>
      </c>
      <c r="M12" s="666" t="s">
        <v>2426</v>
      </c>
      <c r="N12" s="717">
        <v>1452</v>
      </c>
      <c r="O12" s="715">
        <v>2</v>
      </c>
      <c r="P12" s="717">
        <v>2904</v>
      </c>
      <c r="Q12" s="666" t="s">
        <v>2427</v>
      </c>
      <c r="R12" s="666" t="s">
        <v>2428</v>
      </c>
    </row>
    <row r="13" spans="1:27" x14ac:dyDescent="0.2">
      <c r="A13" s="1106" t="str">
        <f t="shared" si="0"/>
        <v/>
      </c>
      <c r="B13" s="666" t="s">
        <v>2431</v>
      </c>
      <c r="C13" s="666" t="s">
        <v>2424</v>
      </c>
      <c r="D13" s="2001">
        <v>46276.631944444445</v>
      </c>
      <c r="E13" s="2001">
        <v>46276.631944444445</v>
      </c>
    </row>
    <row r="14" spans="1:27" ht="12.75" customHeight="1" x14ac:dyDescent="0.2">
      <c r="A14" s="1106" t="str">
        <f t="shared" si="0"/>
        <v>Calcium feedA13.146272</v>
      </c>
      <c r="B14" s="2002">
        <v>46276</v>
      </c>
      <c r="C14" s="2003">
        <v>8000095522</v>
      </c>
      <c r="D14" s="2003">
        <v>4</v>
      </c>
      <c r="E14" s="666" t="s">
        <v>829</v>
      </c>
      <c r="H14" s="2004">
        <v>46272</v>
      </c>
      <c r="I14" s="717">
        <v>0</v>
      </c>
      <c r="J14" s="666" t="s">
        <v>2432</v>
      </c>
      <c r="K14" s="666" t="s">
        <v>2425</v>
      </c>
      <c r="L14" s="666" t="s">
        <v>2214</v>
      </c>
      <c r="M14" s="666" t="s">
        <v>2426</v>
      </c>
      <c r="N14" s="717">
        <v>1488</v>
      </c>
      <c r="O14" s="715">
        <v>2</v>
      </c>
      <c r="P14" s="717">
        <v>2976</v>
      </c>
      <c r="Q14" s="666" t="s">
        <v>2427</v>
      </c>
      <c r="R14" s="666" t="s">
        <v>2428</v>
      </c>
    </row>
    <row r="15" spans="1:27" ht="12.75" customHeight="1" x14ac:dyDescent="0.2">
      <c r="A15" s="1106" t="str">
        <f t="shared" si="0"/>
        <v/>
      </c>
      <c r="C15" s="666" t="s">
        <v>2424</v>
      </c>
      <c r="D15" s="2001">
        <v>46276.636805555558</v>
      </c>
      <c r="E15" s="2001">
        <v>46276.636805555558</v>
      </c>
    </row>
    <row r="16" spans="1:27" x14ac:dyDescent="0.2">
      <c r="A16" s="1106" t="str">
        <f t="shared" si="0"/>
        <v>Monocalcium Phosphate (China)B646256</v>
      </c>
      <c r="B16" s="2002">
        <v>46276</v>
      </c>
      <c r="C16" s="2003">
        <v>8000095522</v>
      </c>
      <c r="D16" s="2003">
        <v>5</v>
      </c>
      <c r="E16" s="666" t="s">
        <v>1584</v>
      </c>
      <c r="H16" s="2004">
        <v>46256</v>
      </c>
      <c r="I16" s="717">
        <v>0</v>
      </c>
      <c r="K16" s="666" t="s">
        <v>2425</v>
      </c>
      <c r="L16" s="666" t="s">
        <v>1943</v>
      </c>
      <c r="M16" s="666" t="s">
        <v>2426</v>
      </c>
      <c r="N16" s="717">
        <v>1000</v>
      </c>
      <c r="O16" s="715">
        <v>14</v>
      </c>
      <c r="P16" s="717">
        <v>14000</v>
      </c>
      <c r="Q16" s="666" t="s">
        <v>2427</v>
      </c>
      <c r="R16" s="666" t="s">
        <v>2428</v>
      </c>
    </row>
    <row r="17" spans="1:18" ht="12.75" customHeight="1" x14ac:dyDescent="0.2">
      <c r="A17" s="1106" t="str">
        <f t="shared" si="0"/>
        <v/>
      </c>
      <c r="B17" s="666" t="s">
        <v>2433</v>
      </c>
      <c r="C17" s="666" t="s">
        <v>2424</v>
      </c>
      <c r="D17" s="2001">
        <v>46276.636805555558</v>
      </c>
      <c r="E17" s="2001">
        <v>46276.636805555558</v>
      </c>
    </row>
    <row r="18" spans="1:18" ht="12.75" customHeight="1" x14ac:dyDescent="0.2">
      <c r="A18" s="1106" t="str">
        <f t="shared" si="0"/>
        <v>SaltB12.246270</v>
      </c>
      <c r="B18" s="2002">
        <v>46276</v>
      </c>
      <c r="C18" s="2003">
        <v>8000095522</v>
      </c>
      <c r="D18" s="2003">
        <v>6</v>
      </c>
      <c r="E18" s="666" t="s">
        <v>1585</v>
      </c>
      <c r="H18" s="2004">
        <v>46270</v>
      </c>
      <c r="I18" s="717">
        <v>0</v>
      </c>
      <c r="J18" s="666" t="s">
        <v>2434</v>
      </c>
      <c r="K18" s="666" t="s">
        <v>2425</v>
      </c>
      <c r="L18" s="666" t="s">
        <v>1884</v>
      </c>
      <c r="M18" s="666" t="s">
        <v>2426</v>
      </c>
      <c r="N18" s="717">
        <v>52.7</v>
      </c>
      <c r="O18" s="715">
        <v>120</v>
      </c>
      <c r="P18" s="717">
        <v>6324</v>
      </c>
      <c r="Q18" s="666" t="s">
        <v>2427</v>
      </c>
      <c r="R18" s="666" t="s">
        <v>2428</v>
      </c>
    </row>
    <row r="19" spans="1:18" x14ac:dyDescent="0.2">
      <c r="A19" s="1106" t="str">
        <f t="shared" si="0"/>
        <v/>
      </c>
      <c r="C19" s="666" t="s">
        <v>2424</v>
      </c>
      <c r="D19" s="2001">
        <v>46276.637499999997</v>
      </c>
      <c r="E19" s="2001">
        <v>46276.637499999997</v>
      </c>
    </row>
    <row r="20" spans="1:18" ht="12.75" customHeight="1" x14ac:dyDescent="0.2">
      <c r="A20" s="1106" t="str">
        <f t="shared" si="0"/>
        <v>Provisoy (VN)A346255</v>
      </c>
      <c r="B20" s="2002">
        <v>46276</v>
      </c>
      <c r="C20" s="2003">
        <v>8000095522</v>
      </c>
      <c r="D20" s="2003">
        <v>7</v>
      </c>
      <c r="E20" s="666" t="s">
        <v>1234</v>
      </c>
      <c r="H20" s="2004">
        <v>46255</v>
      </c>
      <c r="I20" s="717">
        <v>0</v>
      </c>
      <c r="K20" s="666" t="s">
        <v>2425</v>
      </c>
      <c r="L20" s="666" t="s">
        <v>1852</v>
      </c>
      <c r="M20" s="666" t="s">
        <v>2426</v>
      </c>
      <c r="N20" s="717">
        <v>25</v>
      </c>
      <c r="O20" s="715">
        <v>300</v>
      </c>
      <c r="P20" s="717">
        <v>7500</v>
      </c>
      <c r="Q20" s="666" t="s">
        <v>2427</v>
      </c>
      <c r="R20" s="666" t="s">
        <v>2428</v>
      </c>
    </row>
    <row r="21" spans="1:18" ht="12.75" customHeight="1" x14ac:dyDescent="0.2">
      <c r="A21" s="1106" t="str">
        <f t="shared" si="0"/>
        <v/>
      </c>
      <c r="C21" s="666" t="s">
        <v>2424</v>
      </c>
      <c r="D21" s="2001">
        <v>46276.637499999997</v>
      </c>
      <c r="E21" s="2001">
        <v>46276.637499999997</v>
      </c>
    </row>
    <row r="22" spans="1:18" x14ac:dyDescent="0.2">
      <c r="A22" s="1106" t="str">
        <f t="shared" si="0"/>
        <v>Provisoy (VN)A346255</v>
      </c>
      <c r="B22" s="2002">
        <v>46276</v>
      </c>
      <c r="C22" s="2003">
        <v>8000095522</v>
      </c>
      <c r="D22" s="2003">
        <v>8</v>
      </c>
      <c r="E22" s="666" t="s">
        <v>1234</v>
      </c>
      <c r="H22" s="2004">
        <v>46255</v>
      </c>
      <c r="I22" s="717">
        <v>0</v>
      </c>
      <c r="K22" s="666" t="s">
        <v>2425</v>
      </c>
      <c r="L22" s="666" t="s">
        <v>1852</v>
      </c>
      <c r="M22" s="666" t="s">
        <v>2426</v>
      </c>
      <c r="N22" s="717">
        <v>25</v>
      </c>
      <c r="O22" s="715">
        <v>300</v>
      </c>
      <c r="P22" s="717">
        <v>7500</v>
      </c>
      <c r="Q22" s="666" t="s">
        <v>2427</v>
      </c>
      <c r="R22" s="666" t="s">
        <v>2428</v>
      </c>
    </row>
    <row r="23" spans="1:18" ht="12.75" customHeight="1" x14ac:dyDescent="0.2">
      <c r="A23" s="1106" t="str">
        <f t="shared" si="0"/>
        <v/>
      </c>
      <c r="B23" s="666" t="s">
        <v>2435</v>
      </c>
      <c r="C23" s="666" t="s">
        <v>2424</v>
      </c>
      <c r="D23" s="2001">
        <v>46276.637499999997</v>
      </c>
      <c r="E23" s="2001">
        <v>46276.637499999997</v>
      </c>
    </row>
    <row r="24" spans="1:18" ht="12.75" customHeight="1" x14ac:dyDescent="0.2">
      <c r="A24" s="1106" t="str">
        <f t="shared" si="0"/>
        <v>Nextide (ViÖt Nam)C746259</v>
      </c>
      <c r="B24" s="2002">
        <v>46276</v>
      </c>
      <c r="C24" s="2003">
        <v>8000095522</v>
      </c>
      <c r="D24" s="2003">
        <v>9</v>
      </c>
      <c r="E24" s="666" t="s">
        <v>1964</v>
      </c>
      <c r="H24" s="2004">
        <v>46259</v>
      </c>
      <c r="I24" s="717">
        <v>58.5</v>
      </c>
      <c r="J24" s="666" t="s">
        <v>2436</v>
      </c>
      <c r="K24" s="666" t="s">
        <v>2425</v>
      </c>
      <c r="L24" s="666" t="s">
        <v>2213</v>
      </c>
      <c r="M24" s="666" t="s">
        <v>2426</v>
      </c>
      <c r="N24" s="717">
        <v>25</v>
      </c>
      <c r="O24" s="715">
        <v>400</v>
      </c>
      <c r="P24" s="717">
        <v>10000</v>
      </c>
      <c r="Q24" s="666" t="s">
        <v>2427</v>
      </c>
      <c r="R24" s="666" t="s">
        <v>2428</v>
      </c>
    </row>
    <row r="25" spans="1:18" x14ac:dyDescent="0.2">
      <c r="A25" s="1106" t="str">
        <f t="shared" si="0"/>
        <v/>
      </c>
      <c r="C25" s="666" t="s">
        <v>2424</v>
      </c>
      <c r="D25" s="2001">
        <v>46276.638194444444</v>
      </c>
      <c r="E25" s="2001">
        <v>46276.638194444444</v>
      </c>
    </row>
    <row r="26" spans="1:18" ht="12.75" customHeight="1" x14ac:dyDescent="0.2">
      <c r="A26" s="1106" t="str">
        <f t="shared" si="0"/>
        <v>Deproteinized WheyB16.146255</v>
      </c>
      <c r="B26" s="2002">
        <v>46276</v>
      </c>
      <c r="C26" s="2003">
        <v>8000095522</v>
      </c>
      <c r="D26" s="2003">
        <v>11</v>
      </c>
      <c r="E26" s="666" t="s">
        <v>39</v>
      </c>
      <c r="H26" s="2004">
        <v>46255</v>
      </c>
      <c r="I26" s="717">
        <v>0</v>
      </c>
      <c r="K26" s="666" t="s">
        <v>2425</v>
      </c>
      <c r="L26" s="666" t="s">
        <v>1903</v>
      </c>
      <c r="M26" s="666" t="s">
        <v>2426</v>
      </c>
      <c r="N26" s="717">
        <v>25</v>
      </c>
      <c r="O26" s="715">
        <v>200</v>
      </c>
      <c r="P26" s="717">
        <v>5000</v>
      </c>
      <c r="Q26" s="666" t="s">
        <v>2427</v>
      </c>
      <c r="R26" s="666" t="s">
        <v>2428</v>
      </c>
    </row>
    <row r="27" spans="1:18" ht="12.75" customHeight="1" x14ac:dyDescent="0.2">
      <c r="A27" s="1106" t="str">
        <f t="shared" si="0"/>
        <v/>
      </c>
      <c r="C27" s="666" t="s">
        <v>2424</v>
      </c>
      <c r="D27" s="2001">
        <v>46276.638194444444</v>
      </c>
      <c r="E27" s="2001">
        <v>46276.638194444444</v>
      </c>
    </row>
    <row r="28" spans="1:18" x14ac:dyDescent="0.2">
      <c r="A28" s="1106" t="str">
        <f t="shared" si="0"/>
        <v>Sweet Whey Powder (USA)B18.146270</v>
      </c>
      <c r="B28" s="2002">
        <v>46276</v>
      </c>
      <c r="C28" s="2003">
        <v>8000095522</v>
      </c>
      <c r="D28" s="2003">
        <v>10</v>
      </c>
      <c r="E28" s="666" t="s">
        <v>1887</v>
      </c>
      <c r="H28" s="2004">
        <v>46270</v>
      </c>
      <c r="I28" s="717">
        <v>0</v>
      </c>
      <c r="K28" s="666" t="s">
        <v>2425</v>
      </c>
      <c r="L28" s="666" t="s">
        <v>1316</v>
      </c>
      <c r="M28" s="666" t="s">
        <v>2426</v>
      </c>
      <c r="N28" s="717">
        <v>25</v>
      </c>
      <c r="O28" s="715">
        <v>330</v>
      </c>
      <c r="P28" s="717">
        <v>8250</v>
      </c>
      <c r="Q28" s="666" t="s">
        <v>2427</v>
      </c>
      <c r="R28" s="666" t="s">
        <v>2428</v>
      </c>
    </row>
    <row r="29" spans="1:18" ht="12.75" customHeight="1" x14ac:dyDescent="0.2">
      <c r="A29" s="1106" t="str">
        <f t="shared" si="0"/>
        <v/>
      </c>
      <c r="C29" s="666" t="s">
        <v>2424</v>
      </c>
      <c r="D29" s="2001">
        <v>46276.552777777775</v>
      </c>
      <c r="E29" s="2001">
        <v>46276.552777777775</v>
      </c>
    </row>
    <row r="30" spans="1:18" ht="12.75" customHeight="1" x14ac:dyDescent="0.2">
      <c r="A30" s="1106" t="str">
        <f t="shared" si="0"/>
        <v>Sweet Whey Powder  (Turkey)C146253</v>
      </c>
      <c r="B30" s="2002">
        <v>46276</v>
      </c>
      <c r="C30" s="2003">
        <v>8000095520</v>
      </c>
      <c r="D30" s="2003">
        <v>1</v>
      </c>
      <c r="E30" s="666" t="s">
        <v>1781</v>
      </c>
      <c r="H30" s="2004">
        <v>46253</v>
      </c>
      <c r="I30" s="717">
        <v>0</v>
      </c>
      <c r="K30" s="666" t="s">
        <v>2425</v>
      </c>
      <c r="L30" s="666" t="s">
        <v>506</v>
      </c>
      <c r="M30" s="666" t="s">
        <v>2426</v>
      </c>
      <c r="N30" s="717">
        <v>25</v>
      </c>
      <c r="O30" s="715">
        <v>400</v>
      </c>
      <c r="P30" s="717">
        <v>10000</v>
      </c>
      <c r="Q30" s="666" t="s">
        <v>2427</v>
      </c>
      <c r="R30" s="666" t="s">
        <v>2428</v>
      </c>
    </row>
    <row r="31" spans="1:18" x14ac:dyDescent="0.2">
      <c r="A31" s="1106" t="str">
        <f t="shared" si="0"/>
        <v/>
      </c>
      <c r="B31" s="666" t="s">
        <v>2437</v>
      </c>
      <c r="C31" s="666" t="s">
        <v>2424</v>
      </c>
      <c r="D31" s="2001">
        <v>46276.638194444444</v>
      </c>
      <c r="E31" s="2001">
        <v>46276.638194444444</v>
      </c>
    </row>
    <row r="32" spans="1:18" ht="12.75" customHeight="1" x14ac:dyDescent="0.2">
      <c r="A32" s="1106" t="str">
        <f t="shared" si="0"/>
        <v>Pork Meat Bone Meal (USA)B22.146272</v>
      </c>
      <c r="B32" s="2002">
        <v>46276</v>
      </c>
      <c r="C32" s="2003">
        <v>8000095522</v>
      </c>
      <c r="D32" s="2003">
        <v>12</v>
      </c>
      <c r="E32" s="666" t="s">
        <v>1589</v>
      </c>
      <c r="H32" s="2004">
        <v>46272</v>
      </c>
      <c r="I32" s="717">
        <v>49.64</v>
      </c>
      <c r="J32" s="666" t="s">
        <v>2438</v>
      </c>
      <c r="K32" s="666" t="s">
        <v>2425</v>
      </c>
      <c r="L32" s="666" t="s">
        <v>487</v>
      </c>
      <c r="M32" s="666" t="s">
        <v>2426</v>
      </c>
      <c r="N32" s="717">
        <v>1549</v>
      </c>
      <c r="O32" s="715">
        <v>8</v>
      </c>
      <c r="P32" s="717">
        <v>12392</v>
      </c>
      <c r="Q32" s="666" t="s">
        <v>2427</v>
      </c>
      <c r="R32" s="666" t="s">
        <v>2428</v>
      </c>
    </row>
    <row r="33" spans="1:20" ht="12.75" customHeight="1" x14ac:dyDescent="0.2">
      <c r="A33" s="1106" t="str">
        <f t="shared" si="0"/>
        <v/>
      </c>
      <c r="C33" s="666" t="s">
        <v>2424</v>
      </c>
      <c r="D33" s="2001">
        <v>46276.551388888889</v>
      </c>
      <c r="E33" s="2001">
        <v>46276.551388888889</v>
      </c>
    </row>
    <row r="34" spans="1:20" x14ac:dyDescent="0.2">
      <c r="A34" s="1106" t="str">
        <f t="shared" si="0"/>
        <v>Premix MC-0697X4.146262</v>
      </c>
      <c r="B34" s="2002">
        <v>46276</v>
      </c>
      <c r="C34" s="2003">
        <v>8000095519</v>
      </c>
      <c r="D34" s="2003">
        <v>7</v>
      </c>
      <c r="E34" s="666" t="s">
        <v>638</v>
      </c>
      <c r="H34" s="2004">
        <v>46262</v>
      </c>
      <c r="I34" s="717">
        <v>0</v>
      </c>
      <c r="K34" s="666" t="s">
        <v>2425</v>
      </c>
      <c r="L34" s="666" t="s">
        <v>226</v>
      </c>
      <c r="M34" s="666" t="s">
        <v>2426</v>
      </c>
      <c r="N34" s="717">
        <v>30</v>
      </c>
      <c r="O34" s="715">
        <v>2</v>
      </c>
      <c r="P34" s="717">
        <v>60</v>
      </c>
      <c r="Q34" s="666" t="s">
        <v>2427</v>
      </c>
      <c r="R34" s="666" t="s">
        <v>2428</v>
      </c>
    </row>
    <row r="35" spans="1:20" ht="12.75" customHeight="1" x14ac:dyDescent="0.2">
      <c r="A35" s="1106" t="str">
        <f t="shared" si="0"/>
        <v/>
      </c>
      <c r="C35" s="666" t="s">
        <v>2424</v>
      </c>
      <c r="D35" s="2001">
        <v>46276.550694444442</v>
      </c>
      <c r="E35" s="2001">
        <v>46276.550694444442</v>
      </c>
    </row>
    <row r="36" spans="1:20" ht="12.75" customHeight="1" x14ac:dyDescent="0.2">
      <c r="A36" s="1106" t="str">
        <f t="shared" si="0"/>
        <v>Premix RED 2%Z5.346262</v>
      </c>
      <c r="B36" s="2002">
        <v>46276</v>
      </c>
      <c r="C36" s="2003">
        <v>8000095519</v>
      </c>
      <c r="D36" s="2003">
        <v>1</v>
      </c>
      <c r="E36" s="666" t="s">
        <v>631</v>
      </c>
      <c r="H36" s="2004">
        <v>46262</v>
      </c>
      <c r="I36" s="717">
        <v>0</v>
      </c>
      <c r="K36" s="666" t="s">
        <v>2425</v>
      </c>
      <c r="L36" s="666" t="s">
        <v>265</v>
      </c>
      <c r="M36" s="666" t="s">
        <v>2426</v>
      </c>
      <c r="N36" s="717">
        <v>30</v>
      </c>
      <c r="O36" s="715">
        <v>35</v>
      </c>
      <c r="P36" s="717">
        <v>1050</v>
      </c>
      <c r="Q36" s="666" t="s">
        <v>2427</v>
      </c>
      <c r="R36" s="666" t="s">
        <v>2428</v>
      </c>
    </row>
    <row r="37" spans="1:20" x14ac:dyDescent="0.2">
      <c r="A37" s="1106" t="str">
        <f t="shared" si="0"/>
        <v/>
      </c>
      <c r="C37" s="666" t="s">
        <v>2424</v>
      </c>
      <c r="D37" s="2001">
        <v>46276.552083333336</v>
      </c>
      <c r="E37" s="2001">
        <v>46276.552083333336</v>
      </c>
    </row>
    <row r="38" spans="1:20" ht="12.75" customHeight="1" x14ac:dyDescent="0.2">
      <c r="A38" s="1106" t="str">
        <f t="shared" si="0"/>
        <v>Premix 48VX1.246262</v>
      </c>
      <c r="B38" s="2002">
        <v>46276</v>
      </c>
      <c r="C38" s="2003">
        <v>8000095519</v>
      </c>
      <c r="D38" s="2003">
        <v>11</v>
      </c>
      <c r="E38" s="666" t="s">
        <v>643</v>
      </c>
      <c r="H38" s="2004">
        <v>46262</v>
      </c>
      <c r="I38" s="717">
        <v>0</v>
      </c>
      <c r="K38" s="666" t="s">
        <v>2425</v>
      </c>
      <c r="L38" s="666" t="s">
        <v>188</v>
      </c>
      <c r="M38" s="666" t="s">
        <v>2426</v>
      </c>
      <c r="N38" s="717">
        <v>30</v>
      </c>
      <c r="O38" s="715">
        <v>8</v>
      </c>
      <c r="P38" s="717">
        <v>240</v>
      </c>
      <c r="Q38" s="666" t="s">
        <v>2427</v>
      </c>
      <c r="R38" s="666" t="s">
        <v>2428</v>
      </c>
    </row>
    <row r="39" spans="1:20" ht="12.75" customHeight="1" x14ac:dyDescent="0.2">
      <c r="A39" s="1106" t="str">
        <f t="shared" si="0"/>
        <v/>
      </c>
      <c r="C39" s="666" t="s">
        <v>2424</v>
      </c>
      <c r="D39" s="2001">
        <v>46276.551388888889</v>
      </c>
      <c r="E39" s="2001">
        <v>46276.551388888889</v>
      </c>
    </row>
    <row r="40" spans="1:20" x14ac:dyDescent="0.2">
      <c r="A40" s="1106" t="str">
        <f t="shared" si="0"/>
        <v>Premix 582X7.146262</v>
      </c>
      <c r="B40" s="2002">
        <v>46276</v>
      </c>
      <c r="C40" s="2003">
        <v>8000095519</v>
      </c>
      <c r="D40" s="2003">
        <v>6</v>
      </c>
      <c r="E40" s="666" t="s">
        <v>637</v>
      </c>
      <c r="H40" s="2004">
        <v>46262</v>
      </c>
      <c r="I40" s="717">
        <v>0</v>
      </c>
      <c r="K40" s="666" t="s">
        <v>2425</v>
      </c>
      <c r="L40" s="666" t="s">
        <v>1742</v>
      </c>
      <c r="M40" s="666" t="s">
        <v>2426</v>
      </c>
      <c r="N40" s="717">
        <v>30</v>
      </c>
      <c r="O40" s="715">
        <v>2</v>
      </c>
      <c r="P40" s="717">
        <v>60</v>
      </c>
      <c r="Q40" s="666" t="s">
        <v>2427</v>
      </c>
      <c r="R40" s="666" t="s">
        <v>2428</v>
      </c>
    </row>
    <row r="41" spans="1:20" ht="12.75" customHeight="1" x14ac:dyDescent="0.2">
      <c r="A41" s="1106" t="str">
        <f t="shared" si="0"/>
        <v/>
      </c>
      <c r="C41" s="666" t="s">
        <v>2424</v>
      </c>
      <c r="D41" s="2001">
        <v>46276.552083333336</v>
      </c>
      <c r="E41" s="2001">
        <v>46276.552083333336</v>
      </c>
    </row>
    <row r="42" spans="1:20" ht="12.75" customHeight="1" x14ac:dyDescent="0.2">
      <c r="A42" s="1106" t="str">
        <f t="shared" si="0"/>
        <v>Premix MC-0697BY7.146254</v>
      </c>
      <c r="B42" s="2002">
        <v>46276</v>
      </c>
      <c r="C42" s="2003">
        <v>8000095519</v>
      </c>
      <c r="D42" s="2003">
        <v>8</v>
      </c>
      <c r="E42" s="666" t="s">
        <v>639</v>
      </c>
      <c r="H42" s="2004">
        <v>46254</v>
      </c>
      <c r="I42" s="717">
        <v>0</v>
      </c>
      <c r="K42" s="666" t="s">
        <v>2425</v>
      </c>
      <c r="L42" s="666" t="s">
        <v>146</v>
      </c>
      <c r="M42" s="666" t="s">
        <v>2426</v>
      </c>
      <c r="N42" s="717">
        <v>30</v>
      </c>
      <c r="O42" s="715">
        <v>4</v>
      </c>
      <c r="P42" s="717">
        <v>120</v>
      </c>
      <c r="Q42" s="666" t="s">
        <v>2427</v>
      </c>
      <c r="R42" s="666" t="s">
        <v>2428</v>
      </c>
    </row>
    <row r="43" spans="1:20" ht="13.5" customHeight="1" x14ac:dyDescent="0.2">
      <c r="A43" s="1106" t="str">
        <f t="shared" si="0"/>
        <v/>
      </c>
      <c r="C43" s="666" t="s">
        <v>2424</v>
      </c>
      <c r="D43" s="2001">
        <v>46276.552083333336</v>
      </c>
      <c r="E43" s="2001">
        <v>46276.552083333336</v>
      </c>
    </row>
    <row r="44" spans="1:20" ht="12.75" customHeight="1" x14ac:dyDescent="0.2">
      <c r="A44" s="1106" t="str">
        <f t="shared" si="0"/>
        <v>Premix 21VX2.146254</v>
      </c>
      <c r="B44" s="2002">
        <v>46276</v>
      </c>
      <c r="C44" s="2003">
        <v>8000095519</v>
      </c>
      <c r="D44" s="2003">
        <v>9</v>
      </c>
      <c r="E44" s="666" t="s">
        <v>628</v>
      </c>
      <c r="H44" s="2004">
        <v>46254</v>
      </c>
      <c r="I44" s="717">
        <v>0</v>
      </c>
      <c r="K44" s="666" t="s">
        <v>2425</v>
      </c>
      <c r="L44" s="666" t="s">
        <v>191</v>
      </c>
      <c r="M44" s="666" t="s">
        <v>2426</v>
      </c>
      <c r="N44" s="717">
        <v>30</v>
      </c>
      <c r="O44" s="715">
        <v>3</v>
      </c>
      <c r="P44" s="717">
        <v>90</v>
      </c>
      <c r="Q44" s="666" t="s">
        <v>2427</v>
      </c>
      <c r="R44" s="666" t="s">
        <v>2428</v>
      </c>
    </row>
    <row r="45" spans="1:20" ht="12.75" customHeight="1" x14ac:dyDescent="0.2">
      <c r="A45" s="1106" t="str">
        <f t="shared" si="0"/>
        <v/>
      </c>
      <c r="C45" s="666" t="s">
        <v>2424</v>
      </c>
      <c r="D45" s="2001">
        <v>46276.550694444442</v>
      </c>
      <c r="E45" s="2001">
        <v>46276.550694444442</v>
      </c>
      <c r="S45" s="1201"/>
      <c r="T45" s="1201"/>
    </row>
    <row r="46" spans="1:20" x14ac:dyDescent="0.2">
      <c r="A46" s="1106" t="str">
        <f t="shared" si="0"/>
        <v>MS SWINE 0314A18.446269</v>
      </c>
      <c r="B46" s="2002">
        <v>46276</v>
      </c>
      <c r="C46" s="2003">
        <v>8000095519</v>
      </c>
      <c r="D46" s="2003">
        <v>2</v>
      </c>
      <c r="E46" s="666" t="s">
        <v>633</v>
      </c>
      <c r="H46" s="2004">
        <v>46269</v>
      </c>
      <c r="I46" s="717">
        <v>0</v>
      </c>
      <c r="K46" s="666" t="s">
        <v>2425</v>
      </c>
      <c r="L46" s="666" t="s">
        <v>1598</v>
      </c>
      <c r="M46" s="666" t="s">
        <v>2426</v>
      </c>
      <c r="N46" s="717">
        <v>25</v>
      </c>
      <c r="O46" s="715">
        <v>40</v>
      </c>
      <c r="P46" s="717">
        <v>1000</v>
      </c>
      <c r="Q46" s="666" t="s">
        <v>2427</v>
      </c>
      <c r="R46" s="666" t="s">
        <v>2428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2424</v>
      </c>
      <c r="D47" s="2001">
        <v>46276.552083333336</v>
      </c>
      <c r="E47" s="2001">
        <v>46276.552083333336</v>
      </c>
      <c r="S47" s="1201"/>
      <c r="T47" s="1201"/>
    </row>
    <row r="48" spans="1:20" ht="12.75" customHeight="1" x14ac:dyDescent="0.2">
      <c r="A48" s="1106" t="str">
        <f t="shared" si="0"/>
        <v>Premix 25VX8.146247</v>
      </c>
      <c r="B48" s="2002">
        <v>46276</v>
      </c>
      <c r="C48" s="2003">
        <v>8000095519</v>
      </c>
      <c r="D48" s="2003">
        <v>10</v>
      </c>
      <c r="E48" s="666" t="s">
        <v>641</v>
      </c>
      <c r="H48" s="2004">
        <v>46247</v>
      </c>
      <c r="I48" s="717">
        <v>0</v>
      </c>
      <c r="K48" s="666" t="s">
        <v>2425</v>
      </c>
      <c r="L48" s="666" t="s">
        <v>1870</v>
      </c>
      <c r="M48" s="666" t="s">
        <v>2426</v>
      </c>
      <c r="N48" s="717">
        <v>30</v>
      </c>
      <c r="O48" s="715">
        <v>2</v>
      </c>
      <c r="P48" s="717">
        <v>60</v>
      </c>
      <c r="Q48" s="666" t="s">
        <v>2427</v>
      </c>
      <c r="R48" s="666" t="s">
        <v>2428</v>
      </c>
    </row>
    <row r="49" spans="1:18" x14ac:dyDescent="0.2">
      <c r="A49" s="1106" t="str">
        <f t="shared" si="0"/>
        <v/>
      </c>
      <c r="C49" s="666" t="s">
        <v>2424</v>
      </c>
      <c r="D49" s="2001">
        <v>46276.551388888889</v>
      </c>
      <c r="E49" s="2001">
        <v>46276.551388888889</v>
      </c>
    </row>
    <row r="50" spans="1:18" ht="12.75" customHeight="1" x14ac:dyDescent="0.2">
      <c r="A50" s="1106" t="str">
        <f t="shared" si="0"/>
        <v>Premix 571X6.146270</v>
      </c>
      <c r="B50" s="2002">
        <v>46276</v>
      </c>
      <c r="C50" s="2003">
        <v>8000095519</v>
      </c>
      <c r="D50" s="2003">
        <v>3</v>
      </c>
      <c r="E50" s="666" t="s">
        <v>634</v>
      </c>
      <c r="H50" s="2004">
        <v>46270</v>
      </c>
      <c r="I50" s="717">
        <v>0</v>
      </c>
      <c r="K50" s="666" t="s">
        <v>2425</v>
      </c>
      <c r="L50" s="666" t="s">
        <v>1832</v>
      </c>
      <c r="M50" s="666" t="s">
        <v>2426</v>
      </c>
      <c r="N50" s="717">
        <v>30</v>
      </c>
      <c r="O50" s="715">
        <v>1</v>
      </c>
      <c r="P50" s="717">
        <v>30</v>
      </c>
      <c r="Q50" s="666" t="s">
        <v>2427</v>
      </c>
      <c r="R50" s="666" t="s">
        <v>2428</v>
      </c>
    </row>
    <row r="51" spans="1:18" ht="12.75" customHeight="1" x14ac:dyDescent="0.2">
      <c r="A51" s="1106" t="str">
        <f t="shared" si="0"/>
        <v/>
      </c>
      <c r="C51" s="666" t="s">
        <v>2424</v>
      </c>
      <c r="D51" s="2001">
        <v>46276.551388888889</v>
      </c>
      <c r="E51" s="2001">
        <v>46276.551388888889</v>
      </c>
    </row>
    <row r="52" spans="1:18" x14ac:dyDescent="0.2">
      <c r="A52" s="1106" t="str">
        <f t="shared" si="0"/>
        <v>Premix 571X6.146275</v>
      </c>
      <c r="B52" s="2002">
        <v>46276</v>
      </c>
      <c r="C52" s="2003">
        <v>8000095519</v>
      </c>
      <c r="D52" s="2003">
        <v>4</v>
      </c>
      <c r="E52" s="666" t="s">
        <v>634</v>
      </c>
      <c r="H52" s="2004">
        <v>46275</v>
      </c>
      <c r="I52" s="717">
        <v>0</v>
      </c>
      <c r="K52" s="666" t="s">
        <v>2425</v>
      </c>
      <c r="L52" s="666" t="s">
        <v>1832</v>
      </c>
      <c r="M52" s="666" t="s">
        <v>2426</v>
      </c>
      <c r="N52" s="717">
        <v>30</v>
      </c>
      <c r="O52" s="715">
        <v>1</v>
      </c>
      <c r="P52" s="717">
        <v>30</v>
      </c>
      <c r="Q52" s="666" t="s">
        <v>2427</v>
      </c>
      <c r="R52" s="666" t="s">
        <v>2428</v>
      </c>
    </row>
    <row r="53" spans="1:18" ht="12.75" customHeight="1" x14ac:dyDescent="0.2">
      <c r="A53" s="1106" t="str">
        <f t="shared" si="0"/>
        <v/>
      </c>
      <c r="C53" s="666" t="s">
        <v>2424</v>
      </c>
      <c r="D53" s="2001">
        <v>46276.551388888889</v>
      </c>
      <c r="E53" s="2001">
        <v>46276.551388888889</v>
      </c>
    </row>
    <row r="54" spans="1:18" ht="12.75" customHeight="1" x14ac:dyDescent="0.2">
      <c r="A54" s="1106" t="str">
        <f t="shared" si="0"/>
        <v>Premix 572SX8.246262</v>
      </c>
      <c r="B54" s="2002">
        <v>46276</v>
      </c>
      <c r="C54" s="2003">
        <v>8000095519</v>
      </c>
      <c r="D54" s="2003">
        <v>5</v>
      </c>
      <c r="E54" s="666" t="s">
        <v>636</v>
      </c>
      <c r="H54" s="2004">
        <v>46262</v>
      </c>
      <c r="I54" s="717">
        <v>0</v>
      </c>
      <c r="K54" s="666" t="s">
        <v>2425</v>
      </c>
      <c r="L54" s="666" t="s">
        <v>1835</v>
      </c>
      <c r="M54" s="666" t="s">
        <v>2426</v>
      </c>
      <c r="N54" s="717">
        <v>30</v>
      </c>
      <c r="O54" s="715">
        <v>2</v>
      </c>
      <c r="P54" s="717">
        <v>60</v>
      </c>
      <c r="Q54" s="666" t="s">
        <v>2427</v>
      </c>
      <c r="R54" s="666" t="s">
        <v>2428</v>
      </c>
    </row>
    <row r="55" spans="1:18" x14ac:dyDescent="0.2">
      <c r="A55" s="1106" t="str">
        <f t="shared" si="0"/>
        <v/>
      </c>
      <c r="C55" s="666" t="s">
        <v>2424</v>
      </c>
      <c r="D55" s="2001">
        <v>46276.552777777775</v>
      </c>
      <c r="E55" s="2001">
        <v>46276.552777777775</v>
      </c>
    </row>
    <row r="56" spans="1:18" ht="12.75" customHeight="1" x14ac:dyDescent="0.2">
      <c r="A56" s="1106" t="str">
        <f t="shared" si="0"/>
        <v>Premix 51VV8.346270</v>
      </c>
      <c r="B56" s="2002">
        <v>46276</v>
      </c>
      <c r="C56" s="2003">
        <v>8000095519</v>
      </c>
      <c r="D56" s="2003">
        <v>12</v>
      </c>
      <c r="E56" s="666" t="s">
        <v>644</v>
      </c>
      <c r="H56" s="2004">
        <v>46270</v>
      </c>
      <c r="I56" s="717">
        <v>0</v>
      </c>
      <c r="K56" s="666" t="s">
        <v>2425</v>
      </c>
      <c r="L56" s="666" t="s">
        <v>1923</v>
      </c>
      <c r="M56" s="666" t="s">
        <v>2426</v>
      </c>
      <c r="N56" s="717">
        <v>30</v>
      </c>
      <c r="O56" s="715">
        <v>35</v>
      </c>
      <c r="P56" s="717">
        <v>1050</v>
      </c>
      <c r="Q56" s="666" t="s">
        <v>2427</v>
      </c>
      <c r="R56" s="666" t="s">
        <v>2428</v>
      </c>
    </row>
    <row r="57" spans="1:18" ht="12.75" customHeight="1" x14ac:dyDescent="0.2">
      <c r="A57" s="1106" t="str">
        <f t="shared" si="0"/>
        <v/>
      </c>
      <c r="C57" s="666" t="s">
        <v>2424</v>
      </c>
      <c r="D57" s="2001">
        <v>46276.552777777775</v>
      </c>
      <c r="E57" s="2001">
        <v>46276.552777777775</v>
      </c>
    </row>
    <row r="58" spans="1:18" x14ac:dyDescent="0.2">
      <c r="A58" s="1106" t="str">
        <f t="shared" si="0"/>
        <v>Premix 62PVX5.146270</v>
      </c>
      <c r="B58" s="2002">
        <v>46276</v>
      </c>
      <c r="C58" s="2003">
        <v>8000095519</v>
      </c>
      <c r="D58" s="2003">
        <v>13</v>
      </c>
      <c r="E58" s="666" t="s">
        <v>647</v>
      </c>
      <c r="H58" s="2004">
        <v>46270</v>
      </c>
      <c r="I58" s="717">
        <v>0</v>
      </c>
      <c r="K58" s="666" t="s">
        <v>2425</v>
      </c>
      <c r="L58" s="666" t="s">
        <v>233</v>
      </c>
      <c r="M58" s="666" t="s">
        <v>2426</v>
      </c>
      <c r="N58" s="717">
        <v>30</v>
      </c>
      <c r="O58" s="715">
        <v>2</v>
      </c>
      <c r="P58" s="717">
        <v>60</v>
      </c>
      <c r="Q58" s="666" t="s">
        <v>2427</v>
      </c>
      <c r="R58" s="666" t="s">
        <v>2428</v>
      </c>
    </row>
    <row r="59" spans="1:18" ht="12.6" customHeight="1" x14ac:dyDescent="0.2">
      <c r="A59" s="1106" t="str">
        <f t="shared" si="0"/>
        <v/>
      </c>
      <c r="C59" s="666" t="s">
        <v>2424</v>
      </c>
      <c r="D59" s="2001">
        <v>46276.556250000001</v>
      </c>
      <c r="E59" s="2001">
        <v>46276.556250000001</v>
      </c>
    </row>
    <row r="60" spans="1:18" ht="12.6" customHeight="1" x14ac:dyDescent="0.2">
      <c r="A60" s="1106" t="str">
        <f t="shared" si="0"/>
        <v>DH VITAMIN PREMIX (ViÖt Nam)Y3.146218</v>
      </c>
      <c r="B60" s="2002">
        <v>46276</v>
      </c>
      <c r="C60" s="2003">
        <v>8000095521</v>
      </c>
      <c r="D60" s="2003">
        <v>17</v>
      </c>
      <c r="E60" s="666" t="s">
        <v>1636</v>
      </c>
      <c r="H60" s="2004">
        <v>46218</v>
      </c>
      <c r="I60" s="717">
        <v>0</v>
      </c>
      <c r="K60" s="666" t="s">
        <v>2425</v>
      </c>
      <c r="L60" s="666" t="s">
        <v>250</v>
      </c>
      <c r="M60" s="666" t="s">
        <v>2426</v>
      </c>
      <c r="N60" s="717">
        <v>25</v>
      </c>
      <c r="O60" s="715">
        <v>1</v>
      </c>
      <c r="P60" s="717">
        <v>25</v>
      </c>
      <c r="Q60" s="666" t="s">
        <v>2427</v>
      </c>
      <c r="R60" s="666" t="s">
        <v>2428</v>
      </c>
    </row>
    <row r="61" spans="1:18" x14ac:dyDescent="0.2">
      <c r="A61" s="1106" t="str">
        <f t="shared" si="0"/>
        <v/>
      </c>
      <c r="C61" s="666" t="s">
        <v>2424</v>
      </c>
      <c r="D61" s="2001">
        <v>46276.554861111108</v>
      </c>
      <c r="E61" s="2001">
        <v>46276.554861111108</v>
      </c>
    </row>
    <row r="62" spans="1:18" x14ac:dyDescent="0.2">
      <c r="A62" s="1106" t="str">
        <f t="shared" si="0"/>
        <v>Allplex B (Local)V7.246220</v>
      </c>
      <c r="B62" s="2002">
        <v>46276</v>
      </c>
      <c r="C62" s="2003">
        <v>8000095521</v>
      </c>
      <c r="D62" s="2003">
        <v>11</v>
      </c>
      <c r="E62" s="666" t="s">
        <v>1208</v>
      </c>
      <c r="H62" s="2004">
        <v>46220</v>
      </c>
      <c r="I62" s="717">
        <v>0</v>
      </c>
      <c r="K62" s="666" t="s">
        <v>2425</v>
      </c>
      <c r="L62" s="666" t="s">
        <v>194</v>
      </c>
      <c r="M62" s="666" t="s">
        <v>2426</v>
      </c>
      <c r="N62" s="717">
        <v>25</v>
      </c>
      <c r="O62" s="715">
        <v>2</v>
      </c>
      <c r="P62" s="717">
        <v>50</v>
      </c>
      <c r="Q62" s="666" t="s">
        <v>2427</v>
      </c>
      <c r="R62" s="666" t="s">
        <v>2428</v>
      </c>
    </row>
    <row r="63" spans="1:18" x14ac:dyDescent="0.2">
      <c r="A63" s="1106" t="str">
        <f t="shared" si="0"/>
        <v/>
      </c>
      <c r="C63" s="666" t="s">
        <v>2424</v>
      </c>
      <c r="D63" s="2001">
        <v>46276.555555555555</v>
      </c>
      <c r="E63" s="2001">
        <v>46276.555555555555</v>
      </c>
    </row>
    <row r="64" spans="1:18" x14ac:dyDescent="0.2">
      <c r="A64" s="1106" t="str">
        <f t="shared" si="0"/>
        <v>Allplex B (Local)V8.246251</v>
      </c>
      <c r="B64" s="2002">
        <v>46276</v>
      </c>
      <c r="C64" s="2003">
        <v>8000095521</v>
      </c>
      <c r="D64" s="2003">
        <v>12</v>
      </c>
      <c r="E64" s="666" t="s">
        <v>1208</v>
      </c>
      <c r="H64" s="2004">
        <v>46251</v>
      </c>
      <c r="I64" s="717">
        <v>0</v>
      </c>
      <c r="K64" s="666" t="s">
        <v>2425</v>
      </c>
      <c r="L64" s="666" t="s">
        <v>197</v>
      </c>
      <c r="M64" s="666" t="s">
        <v>2426</v>
      </c>
      <c r="N64" s="717">
        <v>25</v>
      </c>
      <c r="O64" s="715">
        <v>1</v>
      </c>
      <c r="P64" s="717">
        <v>25</v>
      </c>
      <c r="Q64" s="666" t="s">
        <v>2427</v>
      </c>
      <c r="R64" s="666" t="s">
        <v>2428</v>
      </c>
    </row>
    <row r="65" spans="1:18" ht="12.75" customHeight="1" x14ac:dyDescent="0.2">
      <c r="A65" s="1106" t="str">
        <f t="shared" si="0"/>
        <v/>
      </c>
      <c r="C65" s="666" t="s">
        <v>2424</v>
      </c>
      <c r="D65" s="2001">
        <v>46276.555555555555</v>
      </c>
      <c r="E65" s="2001">
        <v>46276.555555555555</v>
      </c>
    </row>
    <row r="66" spans="1:18" ht="12.75" customHeight="1" x14ac:dyDescent="0.2">
      <c r="A66" s="1106" t="str">
        <f t="shared" si="0"/>
        <v>Availa-ZN 120A19.546254</v>
      </c>
      <c r="B66" s="2002">
        <v>46276</v>
      </c>
      <c r="C66" s="2003">
        <v>8000095521</v>
      </c>
      <c r="D66" s="2003">
        <v>13</v>
      </c>
      <c r="E66" s="666" t="s">
        <v>839</v>
      </c>
      <c r="H66" s="2004">
        <v>46254</v>
      </c>
      <c r="I66" s="717">
        <v>0</v>
      </c>
      <c r="K66" s="666" t="s">
        <v>2425</v>
      </c>
      <c r="L66" s="666" t="s">
        <v>273</v>
      </c>
      <c r="M66" s="666" t="s">
        <v>2426</v>
      </c>
      <c r="N66" s="717">
        <v>25</v>
      </c>
      <c r="O66" s="715">
        <v>7</v>
      </c>
      <c r="P66" s="717">
        <v>175</v>
      </c>
      <c r="Q66" s="666" t="s">
        <v>2427</v>
      </c>
      <c r="R66" s="666" t="s">
        <v>2428</v>
      </c>
    </row>
    <row r="67" spans="1:18" ht="12.75" customHeight="1" x14ac:dyDescent="0.2">
      <c r="A67" s="1106" t="str">
        <f t="shared" si="0"/>
        <v/>
      </c>
      <c r="C67" s="666" t="s">
        <v>2424</v>
      </c>
      <c r="D67" s="2001">
        <v>46276.557638888888</v>
      </c>
      <c r="E67" s="2001">
        <v>46276.557638888888</v>
      </c>
    </row>
    <row r="68" spans="1:18" ht="12.75" customHeight="1" x14ac:dyDescent="0.2">
      <c r="A68" s="1106" t="str">
        <f t="shared" ref="A68:A131" si="1">IF(H68&lt;&gt;0,E68&amp;L68&amp;H68,"")</f>
        <v>L-TryptophanZ1.146262</v>
      </c>
      <c r="B68" s="2002">
        <v>46276</v>
      </c>
      <c r="C68" s="2003">
        <v>8000095521</v>
      </c>
      <c r="D68" s="2003">
        <v>24</v>
      </c>
      <c r="E68" s="666" t="s">
        <v>655</v>
      </c>
      <c r="H68" s="2004">
        <v>46262</v>
      </c>
      <c r="I68" s="717">
        <v>0</v>
      </c>
      <c r="K68" s="666" t="s">
        <v>2425</v>
      </c>
      <c r="L68" s="666" t="s">
        <v>1948</v>
      </c>
      <c r="M68" s="666" t="s">
        <v>2426</v>
      </c>
      <c r="N68" s="717">
        <v>20</v>
      </c>
      <c r="O68" s="715">
        <v>17</v>
      </c>
      <c r="P68" s="717">
        <v>340</v>
      </c>
      <c r="Q68" s="666" t="s">
        <v>2427</v>
      </c>
      <c r="R68" s="666" t="s">
        <v>2428</v>
      </c>
    </row>
    <row r="69" spans="1:18" ht="12.75" customHeight="1" x14ac:dyDescent="0.2">
      <c r="A69" s="1106" t="str">
        <f t="shared" si="1"/>
        <v/>
      </c>
      <c r="C69" s="666" t="s">
        <v>2424</v>
      </c>
      <c r="D69" s="2001">
        <v>46276.55972222222</v>
      </c>
      <c r="E69" s="2001">
        <v>46276.55972222222</v>
      </c>
    </row>
    <row r="70" spans="1:18" x14ac:dyDescent="0.2">
      <c r="A70" s="1106" t="str">
        <f t="shared" si="1"/>
        <v>SUCRAM 5S HYDRO (SWITZERLAND)V7.146247</v>
      </c>
      <c r="B70" s="2002">
        <v>46276</v>
      </c>
      <c r="C70" s="2003">
        <v>8000095521</v>
      </c>
      <c r="D70" s="2003">
        <v>35</v>
      </c>
      <c r="E70" s="666" t="s">
        <v>1719</v>
      </c>
      <c r="H70" s="2004">
        <v>46247</v>
      </c>
      <c r="I70" s="717">
        <v>0</v>
      </c>
      <c r="K70" s="666" t="s">
        <v>2425</v>
      </c>
      <c r="L70" s="666" t="s">
        <v>1310</v>
      </c>
      <c r="M70" s="666" t="s">
        <v>2426</v>
      </c>
      <c r="N70" s="717">
        <v>25</v>
      </c>
      <c r="O70" s="715">
        <v>2</v>
      </c>
      <c r="P70" s="717">
        <v>50</v>
      </c>
      <c r="Q70" s="666" t="s">
        <v>2427</v>
      </c>
      <c r="R70" s="666" t="s">
        <v>2428</v>
      </c>
    </row>
    <row r="71" spans="1:18" ht="12.75" customHeight="1" x14ac:dyDescent="0.2">
      <c r="A71" s="1106" t="str">
        <f t="shared" si="1"/>
        <v/>
      </c>
      <c r="C71" s="666" t="s">
        <v>2424</v>
      </c>
      <c r="D71" s="2001">
        <v>46276.553472222222</v>
      </c>
      <c r="E71" s="2001">
        <v>46276.553472222222</v>
      </c>
    </row>
    <row r="72" spans="1:18" ht="12.75" customHeight="1" x14ac:dyDescent="0.2">
      <c r="A72" s="1106" t="str">
        <f t="shared" si="1"/>
        <v>Anti-Fly (Viet Nam)E346275</v>
      </c>
      <c r="B72" s="2002">
        <v>46276</v>
      </c>
      <c r="C72" s="2003">
        <v>8000095521</v>
      </c>
      <c r="D72" s="2003">
        <v>2</v>
      </c>
      <c r="E72" s="666" t="s">
        <v>1829</v>
      </c>
      <c r="H72" s="2004">
        <v>46275</v>
      </c>
      <c r="I72" s="717">
        <v>0</v>
      </c>
      <c r="K72" s="666" t="s">
        <v>2425</v>
      </c>
      <c r="L72" s="666" t="s">
        <v>1213</v>
      </c>
      <c r="M72" s="666" t="s">
        <v>2426</v>
      </c>
      <c r="N72" s="717">
        <v>10</v>
      </c>
      <c r="O72" s="715">
        <v>2</v>
      </c>
      <c r="P72" s="717">
        <v>20</v>
      </c>
      <c r="Q72" s="666" t="s">
        <v>2427</v>
      </c>
      <c r="R72" s="666" t="s">
        <v>2428</v>
      </c>
    </row>
    <row r="73" spans="1:18" x14ac:dyDescent="0.2">
      <c r="A73" s="1106" t="str">
        <f t="shared" si="1"/>
        <v/>
      </c>
      <c r="C73" s="666" t="s">
        <v>2424</v>
      </c>
      <c r="D73" s="2001">
        <v>46276.554861111108</v>
      </c>
      <c r="E73" s="2001">
        <v>46276.554861111108</v>
      </c>
    </row>
    <row r="74" spans="1:18" ht="12.75" customHeight="1" x14ac:dyDescent="0.2">
      <c r="A74" s="1106" t="str">
        <f t="shared" si="1"/>
        <v>Allplex GF (Local)A19.146251</v>
      </c>
      <c r="B74" s="2002">
        <v>46276</v>
      </c>
      <c r="C74" s="2003">
        <v>8000095521</v>
      </c>
      <c r="D74" s="2003">
        <v>10</v>
      </c>
      <c r="E74" s="666" t="s">
        <v>1205</v>
      </c>
      <c r="H74" s="2004">
        <v>46251</v>
      </c>
      <c r="I74" s="717">
        <v>0</v>
      </c>
      <c r="K74" s="666" t="s">
        <v>2425</v>
      </c>
      <c r="L74" s="666" t="s">
        <v>247</v>
      </c>
      <c r="M74" s="666" t="s">
        <v>2426</v>
      </c>
      <c r="N74" s="717">
        <v>25</v>
      </c>
      <c r="O74" s="715">
        <v>40</v>
      </c>
      <c r="P74" s="717">
        <v>1000</v>
      </c>
      <c r="Q74" s="666" t="s">
        <v>2427</v>
      </c>
      <c r="R74" s="666" t="s">
        <v>2428</v>
      </c>
    </row>
    <row r="75" spans="1:18" ht="12.75" customHeight="1" x14ac:dyDescent="0.2">
      <c r="A75" s="1106" t="str">
        <f t="shared" si="1"/>
        <v/>
      </c>
      <c r="C75" s="666" t="s">
        <v>2424</v>
      </c>
      <c r="D75" s="2001">
        <v>46276.555555555555</v>
      </c>
      <c r="E75" s="2001">
        <v>46276.555555555555</v>
      </c>
    </row>
    <row r="76" spans="1:18" x14ac:dyDescent="0.2">
      <c r="A76" s="1106" t="str">
        <f t="shared" si="1"/>
        <v>Axtra# PRIME 501 T (Singapore)Y3.246233</v>
      </c>
      <c r="B76" s="2002">
        <v>46276</v>
      </c>
      <c r="C76" s="2003">
        <v>8000095521</v>
      </c>
      <c r="D76" s="2003">
        <v>14</v>
      </c>
      <c r="E76" s="666" t="s">
        <v>1803</v>
      </c>
      <c r="H76" s="2004">
        <v>46233</v>
      </c>
      <c r="I76" s="717">
        <v>0</v>
      </c>
      <c r="K76" s="666" t="s">
        <v>2425</v>
      </c>
      <c r="L76" s="666" t="s">
        <v>1789</v>
      </c>
      <c r="M76" s="666" t="s">
        <v>2426</v>
      </c>
      <c r="N76" s="717">
        <v>25</v>
      </c>
      <c r="O76" s="715">
        <v>2</v>
      </c>
      <c r="P76" s="717">
        <v>50</v>
      </c>
      <c r="Q76" s="666" t="s">
        <v>2427</v>
      </c>
      <c r="R76" s="666" t="s">
        <v>2428</v>
      </c>
    </row>
    <row r="77" spans="1:18" ht="12.75" customHeight="1" x14ac:dyDescent="0.2">
      <c r="A77" s="1106" t="str">
        <f t="shared" si="1"/>
        <v/>
      </c>
      <c r="C77" s="666" t="s">
        <v>2424</v>
      </c>
      <c r="D77" s="2001">
        <v>46276.555555555555</v>
      </c>
      <c r="E77" s="2001">
        <v>46276.555555555555</v>
      </c>
    </row>
    <row r="78" spans="1:18" ht="12.75" customHeight="1" x14ac:dyDescent="0.2">
      <c r="A78" s="1106" t="str">
        <f t="shared" si="1"/>
        <v>Axtra# PRIME 501 T (Singapore)Y3.246247</v>
      </c>
      <c r="B78" s="2002">
        <v>46276</v>
      </c>
      <c r="C78" s="2003">
        <v>8000095521</v>
      </c>
      <c r="D78" s="2003">
        <v>15</v>
      </c>
      <c r="E78" s="666" t="s">
        <v>1803</v>
      </c>
      <c r="H78" s="2004">
        <v>46247</v>
      </c>
      <c r="I78" s="717">
        <v>0</v>
      </c>
      <c r="K78" s="666" t="s">
        <v>2425</v>
      </c>
      <c r="L78" s="666" t="s">
        <v>1789</v>
      </c>
      <c r="M78" s="666" t="s">
        <v>2426</v>
      </c>
      <c r="N78" s="717">
        <v>25</v>
      </c>
      <c r="O78" s="715">
        <v>1</v>
      </c>
      <c r="P78" s="717">
        <v>25</v>
      </c>
      <c r="Q78" s="666" t="s">
        <v>2427</v>
      </c>
      <c r="R78" s="666" t="s">
        <v>2428</v>
      </c>
    </row>
    <row r="79" spans="1:18" x14ac:dyDescent="0.2">
      <c r="A79" s="1106" t="str">
        <f t="shared" si="1"/>
        <v/>
      </c>
      <c r="C79" s="666" t="s">
        <v>2424</v>
      </c>
      <c r="D79" s="2001">
        <v>46276.556250000001</v>
      </c>
      <c r="E79" s="2001">
        <v>46276.556250000001</v>
      </c>
    </row>
    <row r="80" spans="1:18" ht="12.75" customHeight="1" x14ac:dyDescent="0.2">
      <c r="A80" s="1106" t="str">
        <f t="shared" si="1"/>
        <v>DPS 50(USA)A22.446262</v>
      </c>
      <c r="B80" s="2002">
        <v>46276</v>
      </c>
      <c r="C80" s="2003">
        <v>8000095521</v>
      </c>
      <c r="D80" s="2003">
        <v>18</v>
      </c>
      <c r="E80" s="666" t="s">
        <v>903</v>
      </c>
      <c r="H80" s="2004">
        <v>46262</v>
      </c>
      <c r="I80" s="717">
        <v>0</v>
      </c>
      <c r="K80" s="666" t="s">
        <v>2425</v>
      </c>
      <c r="L80" s="666" t="s">
        <v>284</v>
      </c>
      <c r="M80" s="666" t="s">
        <v>2426</v>
      </c>
      <c r="N80" s="717">
        <v>25</v>
      </c>
      <c r="O80" s="715">
        <v>100</v>
      </c>
      <c r="P80" s="717">
        <v>2500</v>
      </c>
      <c r="Q80" s="666" t="s">
        <v>2427</v>
      </c>
      <c r="R80" s="666" t="s">
        <v>2428</v>
      </c>
    </row>
    <row r="81" spans="1:18" ht="12.75" customHeight="1" x14ac:dyDescent="0.2">
      <c r="A81" s="1106" t="str">
        <f t="shared" si="1"/>
        <v/>
      </c>
      <c r="C81" s="666" t="s">
        <v>2424</v>
      </c>
      <c r="D81" s="2001">
        <v>46276.556944444441</v>
      </c>
      <c r="E81" s="2001">
        <v>46276.556944444441</v>
      </c>
    </row>
    <row r="82" spans="1:18" x14ac:dyDescent="0.2">
      <c r="A82" s="1106" t="str">
        <f t="shared" si="1"/>
        <v>Kessent MF Dry (Singapore)A19.346218</v>
      </c>
      <c r="B82" s="2002">
        <v>46276</v>
      </c>
      <c r="C82" s="2003">
        <v>8000095521</v>
      </c>
      <c r="D82" s="2003">
        <v>22</v>
      </c>
      <c r="E82" s="666" t="s">
        <v>1637</v>
      </c>
      <c r="H82" s="2004">
        <v>46218</v>
      </c>
      <c r="I82" s="717">
        <v>0</v>
      </c>
      <c r="K82" s="666" t="s">
        <v>2425</v>
      </c>
      <c r="L82" s="666" t="s">
        <v>283</v>
      </c>
      <c r="M82" s="666" t="s">
        <v>2426</v>
      </c>
      <c r="N82" s="717">
        <v>25</v>
      </c>
      <c r="O82" s="715">
        <v>5</v>
      </c>
      <c r="P82" s="717">
        <v>125</v>
      </c>
      <c r="Q82" s="666" t="s">
        <v>2427</v>
      </c>
      <c r="R82" s="666" t="s">
        <v>2428</v>
      </c>
    </row>
    <row r="83" spans="1:18" ht="12.75" customHeight="1" x14ac:dyDescent="0.2">
      <c r="A83" s="1106" t="str">
        <f t="shared" si="1"/>
        <v/>
      </c>
      <c r="C83" s="666" t="s">
        <v>2424</v>
      </c>
      <c r="D83" s="2001">
        <v>46276.558333333334</v>
      </c>
      <c r="E83" s="2001">
        <v>46276.558333333334</v>
      </c>
    </row>
    <row r="84" spans="1:18" ht="12.75" customHeight="1" x14ac:dyDescent="0.2">
      <c r="A84" s="1106" t="str">
        <f t="shared" si="1"/>
        <v>Myco curb liquidA16.2A46186</v>
      </c>
      <c r="B84" s="2002">
        <v>46276</v>
      </c>
      <c r="C84" s="2003">
        <v>8000095521</v>
      </c>
      <c r="D84" s="2003">
        <v>28</v>
      </c>
      <c r="E84" s="666" t="s">
        <v>671</v>
      </c>
      <c r="H84" s="2004">
        <v>46186</v>
      </c>
      <c r="I84" s="717">
        <v>0</v>
      </c>
      <c r="K84" s="666" t="s">
        <v>2425</v>
      </c>
      <c r="L84" s="666" t="s">
        <v>1795</v>
      </c>
      <c r="M84" s="666" t="s">
        <v>2426</v>
      </c>
      <c r="N84" s="717">
        <v>1000</v>
      </c>
      <c r="O84" s="715">
        <v>4</v>
      </c>
      <c r="P84" s="717">
        <v>4000</v>
      </c>
      <c r="Q84" s="666" t="s">
        <v>2427</v>
      </c>
      <c r="R84" s="666" t="s">
        <v>2428</v>
      </c>
    </row>
    <row r="85" spans="1:18" x14ac:dyDescent="0.2">
      <c r="A85" s="1106" t="str">
        <f t="shared" si="1"/>
        <v/>
      </c>
      <c r="C85" s="666" t="s">
        <v>2424</v>
      </c>
      <c r="D85" s="2001">
        <v>46276.559027777781</v>
      </c>
      <c r="E85" s="2001">
        <v>46276.559027777781</v>
      </c>
    </row>
    <row r="86" spans="1:18" ht="12.75" customHeight="1" x14ac:dyDescent="0.2">
      <c r="A86" s="1106" t="str">
        <f t="shared" si="1"/>
        <v>ROVABIO# PHY PLUS 10000T (SG)Y5.146233</v>
      </c>
      <c r="B86" s="2002">
        <v>46276</v>
      </c>
      <c r="C86" s="2003">
        <v>8000095521</v>
      </c>
      <c r="D86" s="2003">
        <v>31</v>
      </c>
      <c r="E86" s="666" t="s">
        <v>1654</v>
      </c>
      <c r="H86" s="2004">
        <v>46233</v>
      </c>
      <c r="I86" s="717">
        <v>0</v>
      </c>
      <c r="K86" s="666" t="s">
        <v>2425</v>
      </c>
      <c r="L86" s="666" t="s">
        <v>1297</v>
      </c>
      <c r="M86" s="666" t="s">
        <v>2426</v>
      </c>
      <c r="N86" s="717">
        <v>25</v>
      </c>
      <c r="O86" s="715">
        <v>5</v>
      </c>
      <c r="P86" s="717">
        <v>125</v>
      </c>
      <c r="Q86" s="666" t="s">
        <v>2427</v>
      </c>
      <c r="R86" s="666" t="s">
        <v>2428</v>
      </c>
    </row>
    <row r="87" spans="1:18" ht="12.75" customHeight="1" x14ac:dyDescent="0.2">
      <c r="A87" s="1106" t="str">
        <f t="shared" si="1"/>
        <v/>
      </c>
      <c r="C87" s="666" t="s">
        <v>2424</v>
      </c>
      <c r="D87" s="2001">
        <v>46276.554861111108</v>
      </c>
      <c r="E87" s="2001">
        <v>46276.554861111108</v>
      </c>
    </row>
    <row r="88" spans="1:18" x14ac:dyDescent="0.2">
      <c r="A88" s="1106" t="str">
        <f t="shared" si="1"/>
        <v>Acid Lac Premium Liquip (Singapore)B15.146261</v>
      </c>
      <c r="B88" s="2002">
        <v>46276</v>
      </c>
      <c r="C88" s="2003">
        <v>8000095521</v>
      </c>
      <c r="D88" s="2003">
        <v>8</v>
      </c>
      <c r="E88" s="666" t="s">
        <v>496</v>
      </c>
      <c r="H88" s="2004">
        <v>46261</v>
      </c>
      <c r="I88" s="717">
        <v>0</v>
      </c>
      <c r="K88" s="666" t="s">
        <v>2425</v>
      </c>
      <c r="L88" s="666" t="s">
        <v>151</v>
      </c>
      <c r="M88" s="666" t="s">
        <v>2426</v>
      </c>
      <c r="N88" s="717">
        <v>1000</v>
      </c>
      <c r="O88" s="715">
        <v>4</v>
      </c>
      <c r="P88" s="717">
        <v>4000</v>
      </c>
      <c r="Q88" s="666" t="s">
        <v>2427</v>
      </c>
      <c r="R88" s="666" t="s">
        <v>2428</v>
      </c>
    </row>
    <row r="89" spans="1:18" ht="12.75" customHeight="1" x14ac:dyDescent="0.2">
      <c r="A89" s="1106" t="str">
        <f t="shared" si="1"/>
        <v/>
      </c>
      <c r="C89" s="666" t="s">
        <v>2424</v>
      </c>
      <c r="D89" s="2001">
        <v>46276.556944444441</v>
      </c>
      <c r="E89" s="2001">
        <v>46276.556944444441</v>
      </c>
    </row>
    <row r="90" spans="1:18" ht="12.75" customHeight="1" x14ac:dyDescent="0.2">
      <c r="A90" s="1106" t="str">
        <f t="shared" si="1"/>
        <v>Endox Dry (Singapore)Z3.146262</v>
      </c>
      <c r="B90" s="2002">
        <v>46276</v>
      </c>
      <c r="C90" s="2003">
        <v>8000095521</v>
      </c>
      <c r="D90" s="2003">
        <v>19</v>
      </c>
      <c r="E90" s="666" t="s">
        <v>665</v>
      </c>
      <c r="H90" s="2004">
        <v>46262</v>
      </c>
      <c r="I90" s="717">
        <v>0</v>
      </c>
      <c r="K90" s="666" t="s">
        <v>2425</v>
      </c>
      <c r="L90" s="666" t="s">
        <v>1838</v>
      </c>
      <c r="M90" s="666" t="s">
        <v>2426</v>
      </c>
      <c r="N90" s="717">
        <v>25</v>
      </c>
      <c r="O90" s="715">
        <v>7</v>
      </c>
      <c r="P90" s="717">
        <v>175</v>
      </c>
      <c r="Q90" s="666" t="s">
        <v>2427</v>
      </c>
      <c r="R90" s="666" t="s">
        <v>2428</v>
      </c>
    </row>
    <row r="91" spans="1:18" x14ac:dyDescent="0.2">
      <c r="A91" s="1106" t="str">
        <f t="shared" si="1"/>
        <v/>
      </c>
      <c r="C91" s="666" t="s">
        <v>2424</v>
      </c>
      <c r="D91" s="2001">
        <v>46276.557638888888</v>
      </c>
      <c r="E91" s="2001">
        <v>46276.557638888888</v>
      </c>
    </row>
    <row r="92" spans="1:18" ht="12.75" customHeight="1" x14ac:dyDescent="0.2">
      <c r="A92" s="1106" t="str">
        <f t="shared" si="1"/>
        <v>L-Arginine (China)Z6.146254</v>
      </c>
      <c r="B92" s="2002">
        <v>46276</v>
      </c>
      <c r="C92" s="2003">
        <v>8000095521</v>
      </c>
      <c r="D92" s="2003">
        <v>23</v>
      </c>
      <c r="E92" s="666" t="s">
        <v>879</v>
      </c>
      <c r="H92" s="2004">
        <v>46254</v>
      </c>
      <c r="I92" s="717">
        <v>0</v>
      </c>
      <c r="K92" s="666" t="s">
        <v>2425</v>
      </c>
      <c r="L92" s="666" t="s">
        <v>267</v>
      </c>
      <c r="M92" s="666" t="s">
        <v>2426</v>
      </c>
      <c r="N92" s="717">
        <v>25</v>
      </c>
      <c r="O92" s="715">
        <v>8</v>
      </c>
      <c r="P92" s="717">
        <v>200</v>
      </c>
      <c r="Q92" s="666" t="s">
        <v>2427</v>
      </c>
      <c r="R92" s="666" t="s">
        <v>2428</v>
      </c>
    </row>
    <row r="93" spans="1:18" ht="12.75" customHeight="1" x14ac:dyDescent="0.2">
      <c r="A93" s="1106" t="str">
        <f t="shared" si="1"/>
        <v/>
      </c>
      <c r="C93" s="666" t="s">
        <v>2424</v>
      </c>
      <c r="D93" s="2001">
        <v>46276.557638888888</v>
      </c>
      <c r="E93" s="2001">
        <v>46276.557638888888</v>
      </c>
    </row>
    <row r="94" spans="1:18" x14ac:dyDescent="0.2">
      <c r="A94" s="1106" t="str">
        <f t="shared" si="1"/>
        <v>L-Threonine (China)A19.146258</v>
      </c>
      <c r="B94" s="2002">
        <v>46276</v>
      </c>
      <c r="C94" s="2003">
        <v>8000095521</v>
      </c>
      <c r="D94" s="2003">
        <v>25</v>
      </c>
      <c r="E94" s="666" t="s">
        <v>359</v>
      </c>
      <c r="H94" s="2004">
        <v>46258</v>
      </c>
      <c r="I94" s="717">
        <v>0</v>
      </c>
      <c r="K94" s="666" t="s">
        <v>2425</v>
      </c>
      <c r="L94" s="666" t="s">
        <v>247</v>
      </c>
      <c r="M94" s="666" t="s">
        <v>2426</v>
      </c>
      <c r="N94" s="717">
        <v>25</v>
      </c>
      <c r="O94" s="715">
        <v>80</v>
      </c>
      <c r="P94" s="717">
        <v>2000</v>
      </c>
      <c r="Q94" s="666" t="s">
        <v>2427</v>
      </c>
      <c r="R94" s="666" t="s">
        <v>2428</v>
      </c>
    </row>
    <row r="95" spans="1:18" ht="12.75" customHeight="1" x14ac:dyDescent="0.2">
      <c r="A95" s="1106" t="str">
        <f t="shared" si="1"/>
        <v/>
      </c>
      <c r="C95" s="666" t="s">
        <v>2424</v>
      </c>
      <c r="D95" s="2001">
        <v>46276.558333333334</v>
      </c>
      <c r="E95" s="2001">
        <v>46276.558333333334</v>
      </c>
    </row>
    <row r="96" spans="1:18" ht="12.75" customHeight="1" x14ac:dyDescent="0.2">
      <c r="A96" s="1106" t="str">
        <f t="shared" si="1"/>
        <v>Microplex 1000ppm(USA)Z5.146247</v>
      </c>
      <c r="B96" s="2002">
        <v>46276</v>
      </c>
      <c r="C96" s="2003">
        <v>8000095521</v>
      </c>
      <c r="D96" s="2003">
        <v>27</v>
      </c>
      <c r="E96" s="666" t="s">
        <v>838</v>
      </c>
      <c r="H96" s="2004">
        <v>46247</v>
      </c>
      <c r="I96" s="717">
        <v>0</v>
      </c>
      <c r="K96" s="666" t="s">
        <v>2425</v>
      </c>
      <c r="L96" s="666" t="s">
        <v>138</v>
      </c>
      <c r="M96" s="666" t="s">
        <v>2426</v>
      </c>
      <c r="N96" s="717">
        <v>25</v>
      </c>
      <c r="O96" s="715">
        <v>2</v>
      </c>
      <c r="P96" s="717">
        <v>50</v>
      </c>
      <c r="Q96" s="666" t="s">
        <v>2427</v>
      </c>
      <c r="R96" s="666" t="s">
        <v>2428</v>
      </c>
    </row>
    <row r="97" spans="1:18" x14ac:dyDescent="0.2">
      <c r="A97" s="1106" t="str">
        <f t="shared" si="1"/>
        <v/>
      </c>
      <c r="C97" s="666" t="s">
        <v>2424</v>
      </c>
      <c r="D97" s="2001">
        <v>46276.558333333334</v>
      </c>
      <c r="E97" s="2001">
        <v>46276.558333333334</v>
      </c>
    </row>
    <row r="98" spans="1:18" ht="12.75" customHeight="1" x14ac:dyDescent="0.2">
      <c r="A98" s="1106" t="str">
        <f t="shared" si="1"/>
        <v>Pigortek 659 (France)V5.146247</v>
      </c>
      <c r="B98" s="2002">
        <v>46276</v>
      </c>
      <c r="C98" s="2003">
        <v>8000095521</v>
      </c>
      <c r="D98" s="2003">
        <v>30</v>
      </c>
      <c r="E98" s="666" t="s">
        <v>670</v>
      </c>
      <c r="H98" s="2004">
        <v>46247</v>
      </c>
      <c r="I98" s="717">
        <v>0</v>
      </c>
      <c r="K98" s="666" t="s">
        <v>2425</v>
      </c>
      <c r="L98" s="666" t="s">
        <v>581</v>
      </c>
      <c r="M98" s="666" t="s">
        <v>2426</v>
      </c>
      <c r="N98" s="717">
        <v>25</v>
      </c>
      <c r="O98" s="715">
        <v>6</v>
      </c>
      <c r="P98" s="717">
        <v>150</v>
      </c>
      <c r="Q98" s="666" t="s">
        <v>2427</v>
      </c>
      <c r="R98" s="666" t="s">
        <v>2428</v>
      </c>
    </row>
    <row r="99" spans="1:18" ht="12.75" customHeight="1" x14ac:dyDescent="0.2">
      <c r="A99" s="1106" t="str">
        <f t="shared" si="1"/>
        <v/>
      </c>
      <c r="C99" s="666" t="s">
        <v>2424</v>
      </c>
      <c r="D99" s="2001">
        <v>46276.559027777781</v>
      </c>
      <c r="E99" s="2001">
        <v>46276.559027777781</v>
      </c>
    </row>
    <row r="100" spans="1:18" x14ac:dyDescent="0.2">
      <c r="A100" s="1106" t="str">
        <f t="shared" si="1"/>
        <v>Rovabio Advance Phy L (Belgium)H46213</v>
      </c>
      <c r="B100" s="2002">
        <v>46276</v>
      </c>
      <c r="C100" s="2003">
        <v>8000095521</v>
      </c>
      <c r="D100" s="2003">
        <v>33</v>
      </c>
      <c r="E100" s="666" t="s">
        <v>1324</v>
      </c>
      <c r="H100" s="2004">
        <v>46213</v>
      </c>
      <c r="I100" s="717">
        <v>0</v>
      </c>
      <c r="K100" s="666" t="s">
        <v>2425</v>
      </c>
      <c r="L100" s="666" t="s">
        <v>2439</v>
      </c>
      <c r="M100" s="666" t="s">
        <v>2426</v>
      </c>
      <c r="N100" s="717">
        <v>228</v>
      </c>
      <c r="O100" s="715">
        <v>4</v>
      </c>
      <c r="P100" s="717">
        <v>912</v>
      </c>
      <c r="Q100" s="666" t="s">
        <v>2427</v>
      </c>
      <c r="R100" s="666" t="s">
        <v>2428</v>
      </c>
    </row>
    <row r="101" spans="1:18" ht="12.75" customHeight="1" x14ac:dyDescent="0.2">
      <c r="A101" s="1106" t="str">
        <f t="shared" si="1"/>
        <v/>
      </c>
      <c r="C101" s="666" t="s">
        <v>2424</v>
      </c>
      <c r="D101" s="2001">
        <v>46276.556250000001</v>
      </c>
      <c r="E101" s="2001">
        <v>46276.556250000001</v>
      </c>
    </row>
    <row r="102" spans="1:18" ht="12.75" customHeight="1" x14ac:dyDescent="0.2">
      <c r="A102" s="1106" t="str">
        <f t="shared" si="1"/>
        <v>CIBENZA DP100 (USA)D246241</v>
      </c>
      <c r="B102" s="2002">
        <v>46276</v>
      </c>
      <c r="C102" s="2003">
        <v>8000095521</v>
      </c>
      <c r="D102" s="2003">
        <v>16</v>
      </c>
      <c r="E102" s="666" t="s">
        <v>1521</v>
      </c>
      <c r="H102" s="2004">
        <v>46241</v>
      </c>
      <c r="I102" s="717">
        <v>0</v>
      </c>
      <c r="K102" s="666" t="s">
        <v>2425</v>
      </c>
      <c r="L102" s="666" t="s">
        <v>1875</v>
      </c>
      <c r="M102" s="666" t="s">
        <v>2426</v>
      </c>
      <c r="N102" s="717">
        <v>25</v>
      </c>
      <c r="O102" s="715">
        <v>4</v>
      </c>
      <c r="P102" s="717">
        <v>100</v>
      </c>
      <c r="Q102" s="666" t="s">
        <v>2427</v>
      </c>
      <c r="R102" s="666" t="s">
        <v>2428</v>
      </c>
    </row>
    <row r="103" spans="1:18" x14ac:dyDescent="0.2">
      <c r="A103" s="1106" t="str">
        <f t="shared" si="1"/>
        <v/>
      </c>
      <c r="C103" s="666" t="s">
        <v>2424</v>
      </c>
      <c r="D103" s="2001">
        <v>46276.557638888888</v>
      </c>
      <c r="E103" s="2001">
        <v>46276.557638888888</v>
      </c>
    </row>
    <row r="104" spans="1:18" ht="12.75" customHeight="1" x14ac:dyDescent="0.2">
      <c r="A104" s="1106" t="str">
        <f t="shared" si="1"/>
        <v>Leader Yellow (China)Z4.146231</v>
      </c>
      <c r="B104" s="2002">
        <v>46276</v>
      </c>
      <c r="C104" s="2003">
        <v>8000095521</v>
      </c>
      <c r="D104" s="2003">
        <v>26</v>
      </c>
      <c r="E104" s="666" t="s">
        <v>674</v>
      </c>
      <c r="H104" s="2004">
        <v>46231</v>
      </c>
      <c r="I104" s="717">
        <v>0</v>
      </c>
      <c r="K104" s="666" t="s">
        <v>2425</v>
      </c>
      <c r="L104" s="666" t="s">
        <v>601</v>
      </c>
      <c r="M104" s="666" t="s">
        <v>2426</v>
      </c>
      <c r="N104" s="717">
        <v>25</v>
      </c>
      <c r="O104" s="715">
        <v>4</v>
      </c>
      <c r="P104" s="717">
        <v>100</v>
      </c>
      <c r="Q104" s="666" t="s">
        <v>2427</v>
      </c>
      <c r="R104" s="666" t="s">
        <v>2428</v>
      </c>
    </row>
    <row r="105" spans="1:18" ht="12.75" customHeight="1" x14ac:dyDescent="0.2">
      <c r="A105" s="1106" t="str">
        <f t="shared" si="1"/>
        <v/>
      </c>
      <c r="C105" s="666" t="s">
        <v>2424</v>
      </c>
      <c r="D105" s="2001">
        <v>46276.55972222222</v>
      </c>
      <c r="E105" s="2001">
        <v>46276.55972222222</v>
      </c>
    </row>
    <row r="106" spans="1:18" x14ac:dyDescent="0.2">
      <c r="A106" s="1106" t="str">
        <f t="shared" si="1"/>
        <v>TARTRAZINE 50% content (India)V1.146224</v>
      </c>
      <c r="B106" s="2002">
        <v>46276</v>
      </c>
      <c r="C106" s="2003">
        <v>8000095521</v>
      </c>
      <c r="D106" s="2003">
        <v>36</v>
      </c>
      <c r="E106" s="666" t="s">
        <v>1111</v>
      </c>
      <c r="H106" s="2004">
        <v>46224</v>
      </c>
      <c r="I106" s="717">
        <v>0</v>
      </c>
      <c r="K106" s="666" t="s">
        <v>2425</v>
      </c>
      <c r="L106" s="666" t="s">
        <v>1582</v>
      </c>
      <c r="M106" s="666" t="s">
        <v>2426</v>
      </c>
      <c r="N106" s="717">
        <v>25</v>
      </c>
      <c r="O106" s="715">
        <v>1</v>
      </c>
      <c r="P106" s="717">
        <v>25</v>
      </c>
      <c r="Q106" s="666" t="s">
        <v>2427</v>
      </c>
      <c r="R106" s="666" t="s">
        <v>2428</v>
      </c>
    </row>
    <row r="107" spans="1:18" ht="12.75" customHeight="1" x14ac:dyDescent="0.2">
      <c r="A107" s="1106" t="str">
        <f t="shared" si="1"/>
        <v/>
      </c>
      <c r="C107" s="666" t="s">
        <v>2424</v>
      </c>
      <c r="D107" s="2001">
        <v>46276.55972222222</v>
      </c>
      <c r="E107" s="2001">
        <v>46276.55972222222</v>
      </c>
    </row>
    <row r="108" spans="1:18" ht="12.75" customHeight="1" x14ac:dyDescent="0.2">
      <c r="A108" s="1106" t="str">
        <f t="shared" si="1"/>
        <v>TARTRAZINE 50% content (India)V1.146260</v>
      </c>
      <c r="B108" s="2002">
        <v>46276</v>
      </c>
      <c r="C108" s="2003">
        <v>8000095521</v>
      </c>
      <c r="D108" s="2003">
        <v>37</v>
      </c>
      <c r="E108" s="666" t="s">
        <v>1111</v>
      </c>
      <c r="H108" s="2004">
        <v>46260</v>
      </c>
      <c r="I108" s="717">
        <v>0</v>
      </c>
      <c r="K108" s="666" t="s">
        <v>2425</v>
      </c>
      <c r="L108" s="666" t="s">
        <v>1582</v>
      </c>
      <c r="M108" s="666" t="s">
        <v>2426</v>
      </c>
      <c r="N108" s="717">
        <v>25</v>
      </c>
      <c r="O108" s="715">
        <v>1</v>
      </c>
      <c r="P108" s="717">
        <v>25</v>
      </c>
      <c r="Q108" s="666" t="s">
        <v>2427</v>
      </c>
      <c r="R108" s="666" t="s">
        <v>2428</v>
      </c>
    </row>
    <row r="109" spans="1:18" x14ac:dyDescent="0.2">
      <c r="A109" s="1106" t="str">
        <f t="shared" si="1"/>
        <v/>
      </c>
      <c r="C109" s="666" t="s">
        <v>2424</v>
      </c>
      <c r="D109" s="2001">
        <v>46276.55972222222</v>
      </c>
      <c r="E109" s="2001">
        <v>46276.55972222222</v>
      </c>
    </row>
    <row r="110" spans="1:18" ht="12.75" customHeight="1" x14ac:dyDescent="0.2">
      <c r="A110" s="1106" t="str">
        <f t="shared" si="1"/>
        <v>Zinc OxideZ2.146259</v>
      </c>
      <c r="B110" s="2002">
        <v>46276</v>
      </c>
      <c r="C110" s="2003">
        <v>8000095521</v>
      </c>
      <c r="D110" s="2003">
        <v>38</v>
      </c>
      <c r="E110" s="666" t="s">
        <v>262</v>
      </c>
      <c r="H110" s="2004">
        <v>46259</v>
      </c>
      <c r="I110" s="717">
        <v>0</v>
      </c>
      <c r="K110" s="666" t="s">
        <v>2425</v>
      </c>
      <c r="L110" s="666" t="s">
        <v>1308</v>
      </c>
      <c r="M110" s="666" t="s">
        <v>2426</v>
      </c>
      <c r="N110" s="717">
        <v>25</v>
      </c>
      <c r="O110" s="715">
        <v>120</v>
      </c>
      <c r="P110" s="717">
        <v>3000</v>
      </c>
      <c r="Q110" s="666" t="s">
        <v>2427</v>
      </c>
      <c r="R110" s="666" t="s">
        <v>2428</v>
      </c>
    </row>
    <row r="111" spans="1:18" ht="12.75" customHeight="1" x14ac:dyDescent="0.2">
      <c r="A111" s="1106" t="str">
        <f t="shared" si="1"/>
        <v/>
      </c>
      <c r="C111" s="666" t="s">
        <v>2424</v>
      </c>
      <c r="D111" s="2001">
        <v>46276.554861111108</v>
      </c>
      <c r="E111" s="2001">
        <v>46276.554861111108</v>
      </c>
    </row>
    <row r="112" spans="1:18" x14ac:dyDescent="0.2">
      <c r="A112" s="1106" t="str">
        <f t="shared" si="1"/>
        <v>Acid Buf 10 (Ireland)A18.646218</v>
      </c>
      <c r="B112" s="2002">
        <v>46276</v>
      </c>
      <c r="C112" s="2003">
        <v>8000095521</v>
      </c>
      <c r="D112" s="2003">
        <v>9</v>
      </c>
      <c r="E112" s="666" t="s">
        <v>1632</v>
      </c>
      <c r="H112" s="2004">
        <v>46218</v>
      </c>
      <c r="I112" s="717">
        <v>0</v>
      </c>
      <c r="K112" s="666" t="s">
        <v>2425</v>
      </c>
      <c r="L112" s="666" t="s">
        <v>510</v>
      </c>
      <c r="M112" s="666" t="s">
        <v>2426</v>
      </c>
      <c r="N112" s="717">
        <v>25</v>
      </c>
      <c r="O112" s="715">
        <v>50</v>
      </c>
      <c r="P112" s="717">
        <v>1250</v>
      </c>
      <c r="Q112" s="666" t="s">
        <v>2427</v>
      </c>
      <c r="R112" s="666" t="s">
        <v>2428</v>
      </c>
    </row>
    <row r="113" spans="1:18" ht="12.75" customHeight="1" x14ac:dyDescent="0.2">
      <c r="A113" s="1106" t="str">
        <f t="shared" si="1"/>
        <v/>
      </c>
      <c r="C113" s="666" t="s">
        <v>2424</v>
      </c>
      <c r="D113" s="2001">
        <v>46276.556944444441</v>
      </c>
      <c r="E113" s="2001">
        <v>46276.556944444441</v>
      </c>
    </row>
    <row r="114" spans="1:18" ht="12.75" customHeight="1" x14ac:dyDescent="0.2">
      <c r="A114" s="1106" t="str">
        <f t="shared" si="1"/>
        <v>Intelli Bond CV6.146254</v>
      </c>
      <c r="B114" s="2002">
        <v>46276</v>
      </c>
      <c r="C114" s="2003">
        <v>8000095521</v>
      </c>
      <c r="D114" s="2003">
        <v>21</v>
      </c>
      <c r="E114" s="666" t="s">
        <v>836</v>
      </c>
      <c r="H114" s="2004">
        <v>46254</v>
      </c>
      <c r="I114" s="717">
        <v>0</v>
      </c>
      <c r="K114" s="666" t="s">
        <v>2425</v>
      </c>
      <c r="L114" s="666" t="s">
        <v>874</v>
      </c>
      <c r="M114" s="666" t="s">
        <v>2426</v>
      </c>
      <c r="N114" s="717">
        <v>25</v>
      </c>
      <c r="O114" s="715">
        <v>11</v>
      </c>
      <c r="P114" s="717">
        <v>275</v>
      </c>
      <c r="Q114" s="666" t="s">
        <v>2427</v>
      </c>
      <c r="R114" s="666" t="s">
        <v>2428</v>
      </c>
    </row>
    <row r="115" spans="1:18" x14ac:dyDescent="0.2">
      <c r="A115" s="1106" t="str">
        <f t="shared" si="1"/>
        <v/>
      </c>
      <c r="C115" s="666" t="s">
        <v>2424</v>
      </c>
      <c r="D115" s="2001">
        <v>46276.638888888891</v>
      </c>
      <c r="E115" s="2001">
        <v>46276.638888888891</v>
      </c>
    </row>
    <row r="116" spans="1:18" ht="12.6" customHeight="1" x14ac:dyDescent="0.2">
      <c r="A116" s="1106" t="str">
        <f t="shared" si="1"/>
        <v>L-lysine Monohydrochloride (China)B17.246263</v>
      </c>
      <c r="B116" s="2002">
        <v>46276</v>
      </c>
      <c r="C116" s="2003">
        <v>8000095523</v>
      </c>
      <c r="D116" s="2003">
        <v>2</v>
      </c>
      <c r="E116" s="666" t="s">
        <v>1317</v>
      </c>
      <c r="H116" s="2004">
        <v>46263</v>
      </c>
      <c r="I116" s="717">
        <v>0</v>
      </c>
      <c r="K116" s="666" t="s">
        <v>2425</v>
      </c>
      <c r="L116" s="666" t="s">
        <v>1902</v>
      </c>
      <c r="M116" s="666" t="s">
        <v>2426</v>
      </c>
      <c r="N116" s="717">
        <v>25</v>
      </c>
      <c r="O116" s="715">
        <v>107</v>
      </c>
      <c r="P116" s="717">
        <v>2675</v>
      </c>
      <c r="Q116" s="666" t="s">
        <v>2427</v>
      </c>
      <c r="R116" s="666" t="s">
        <v>2428</v>
      </c>
    </row>
    <row r="117" spans="1:18" ht="12.6" customHeight="1" x14ac:dyDescent="0.2">
      <c r="A117" s="1106" t="str">
        <f t="shared" si="1"/>
        <v/>
      </c>
      <c r="C117" s="666" t="s">
        <v>2424</v>
      </c>
      <c r="D117" s="2001">
        <v>46276.559027777781</v>
      </c>
      <c r="E117" s="2001">
        <v>46276.559027777781</v>
      </c>
    </row>
    <row r="118" spans="1:18" x14ac:dyDescent="0.2">
      <c r="A118" s="1106" t="str">
        <f t="shared" si="1"/>
        <v>ROVABIO ADVANCE T-FLEX 25(SG)A19.446261</v>
      </c>
      <c r="B118" s="2002">
        <v>46276</v>
      </c>
      <c r="C118" s="2003">
        <v>8000095521</v>
      </c>
      <c r="D118" s="2003">
        <v>32</v>
      </c>
      <c r="E118" s="666" t="s">
        <v>1667</v>
      </c>
      <c r="H118" s="2004">
        <v>46261</v>
      </c>
      <c r="I118" s="717">
        <v>0</v>
      </c>
      <c r="K118" s="666" t="s">
        <v>2425</v>
      </c>
      <c r="L118" s="666" t="s">
        <v>324</v>
      </c>
      <c r="M118" s="666" t="s">
        <v>2426</v>
      </c>
      <c r="N118" s="717">
        <v>25</v>
      </c>
      <c r="O118" s="715">
        <v>6</v>
      </c>
      <c r="P118" s="717">
        <v>150</v>
      </c>
      <c r="Q118" s="666" t="s">
        <v>2427</v>
      </c>
      <c r="R118" s="666" t="s">
        <v>2428</v>
      </c>
    </row>
    <row r="119" spans="1:18" x14ac:dyDescent="0.2">
      <c r="A119" s="1106" t="str">
        <f t="shared" si="1"/>
        <v/>
      </c>
      <c r="C119" s="666" t="s">
        <v>2424</v>
      </c>
      <c r="D119" s="2001">
        <v>46276.559027777781</v>
      </c>
      <c r="E119" s="2001">
        <v>46276.559027777781</v>
      </c>
    </row>
    <row r="120" spans="1:18" x14ac:dyDescent="0.2">
      <c r="A120" s="1106" t="str">
        <f t="shared" si="1"/>
        <v>Stearolac 90 (Malaysia)V9.146218</v>
      </c>
      <c r="B120" s="2002">
        <v>46276</v>
      </c>
      <c r="C120" s="2003">
        <v>8000095521</v>
      </c>
      <c r="D120" s="2003">
        <v>34</v>
      </c>
      <c r="E120" s="666" t="s">
        <v>1844</v>
      </c>
      <c r="H120" s="2004">
        <v>46218</v>
      </c>
      <c r="I120" s="717">
        <v>0</v>
      </c>
      <c r="K120" s="666" t="s">
        <v>2425</v>
      </c>
      <c r="L120" s="666" t="s">
        <v>227</v>
      </c>
      <c r="M120" s="666" t="s">
        <v>2426</v>
      </c>
      <c r="N120" s="717">
        <v>25</v>
      </c>
      <c r="O120" s="715">
        <v>3</v>
      </c>
      <c r="P120" s="717">
        <v>75</v>
      </c>
      <c r="Q120" s="666" t="s">
        <v>2427</v>
      </c>
      <c r="R120" s="666" t="s">
        <v>2428</v>
      </c>
    </row>
    <row r="121" spans="1:18" ht="12.75" customHeight="1" x14ac:dyDescent="0.2">
      <c r="A121" s="1106" t="str">
        <f t="shared" si="1"/>
        <v/>
      </c>
      <c r="C121" s="666" t="s">
        <v>2424</v>
      </c>
      <c r="D121" s="2001">
        <v>46276.638888888891</v>
      </c>
      <c r="E121" s="2001">
        <v>46276.638888888891</v>
      </c>
    </row>
    <row r="122" spans="1:18" ht="12.75" customHeight="1" x14ac:dyDescent="0.2">
      <c r="A122" s="1106" t="str">
        <f t="shared" si="1"/>
        <v>Carob PowderA446230</v>
      </c>
      <c r="B122" s="2002">
        <v>46276</v>
      </c>
      <c r="C122" s="2003">
        <v>8000095523</v>
      </c>
      <c r="D122" s="2003">
        <v>1</v>
      </c>
      <c r="E122" s="666" t="s">
        <v>656</v>
      </c>
      <c r="H122" s="2004">
        <v>46230</v>
      </c>
      <c r="I122" s="717">
        <v>0</v>
      </c>
      <c r="K122" s="666" t="s">
        <v>2425</v>
      </c>
      <c r="L122" s="666" t="s">
        <v>1888</v>
      </c>
      <c r="M122" s="666" t="s">
        <v>2426</v>
      </c>
      <c r="N122" s="717">
        <v>25</v>
      </c>
      <c r="O122" s="715">
        <v>280</v>
      </c>
      <c r="P122" s="717">
        <v>7000</v>
      </c>
      <c r="Q122" s="666" t="s">
        <v>2427</v>
      </c>
      <c r="R122" s="666" t="s">
        <v>2428</v>
      </c>
    </row>
    <row r="123" spans="1:18" ht="12.75" customHeight="1" x14ac:dyDescent="0.2">
      <c r="A123" s="1106" t="str">
        <f t="shared" si="1"/>
        <v/>
      </c>
      <c r="C123" s="666" t="s">
        <v>2424</v>
      </c>
      <c r="D123" s="2001">
        <v>46276.556944444441</v>
      </c>
      <c r="E123" s="2001">
        <v>46276.556944444441</v>
      </c>
    </row>
    <row r="124" spans="1:18" ht="12.6" customHeight="1" x14ac:dyDescent="0.2">
      <c r="A124" s="1106" t="str">
        <f t="shared" si="1"/>
        <v>Hizox (France)D246247</v>
      </c>
      <c r="B124" s="2002">
        <v>46276</v>
      </c>
      <c r="C124" s="2003">
        <v>8000095521</v>
      </c>
      <c r="D124" s="2003">
        <v>20</v>
      </c>
      <c r="E124" s="666" t="s">
        <v>471</v>
      </c>
      <c r="H124" s="2004">
        <v>46247</v>
      </c>
      <c r="I124" s="717">
        <v>0</v>
      </c>
      <c r="K124" s="666" t="s">
        <v>2425</v>
      </c>
      <c r="L124" s="666" t="s">
        <v>1875</v>
      </c>
      <c r="M124" s="666" t="s">
        <v>2426</v>
      </c>
      <c r="N124" s="717">
        <v>25</v>
      </c>
      <c r="O124" s="715">
        <v>2</v>
      </c>
      <c r="P124" s="717">
        <v>50</v>
      </c>
      <c r="Q124" s="666" t="s">
        <v>2427</v>
      </c>
      <c r="R124" s="666" t="s">
        <v>2428</v>
      </c>
    </row>
    <row r="125" spans="1:18" ht="12.75" customHeight="1" x14ac:dyDescent="0.2">
      <c r="A125" s="1106" t="str">
        <f t="shared" si="1"/>
        <v/>
      </c>
      <c r="C125" s="666" t="s">
        <v>2424</v>
      </c>
      <c r="D125" s="2001">
        <v>46276.638888888891</v>
      </c>
      <c r="E125" s="2001">
        <v>46276.638888888891</v>
      </c>
    </row>
    <row r="126" spans="1:18" ht="12.75" customHeight="1" x14ac:dyDescent="0.2">
      <c r="A126" s="1106" t="str">
        <f t="shared" si="1"/>
        <v>L-Lysine Sulphat 70%B14.446259</v>
      </c>
      <c r="B126" s="2002">
        <v>46276</v>
      </c>
      <c r="C126" s="2003">
        <v>8000095523</v>
      </c>
      <c r="D126" s="2003">
        <v>3</v>
      </c>
      <c r="E126" s="666" t="s">
        <v>654</v>
      </c>
      <c r="H126" s="2004">
        <v>46259</v>
      </c>
      <c r="I126" s="717">
        <v>0</v>
      </c>
      <c r="K126" s="666" t="s">
        <v>2425</v>
      </c>
      <c r="L126" s="666" t="s">
        <v>578</v>
      </c>
      <c r="M126" s="666" t="s">
        <v>2426</v>
      </c>
      <c r="N126" s="717">
        <v>25</v>
      </c>
      <c r="O126" s="715">
        <v>200</v>
      </c>
      <c r="P126" s="717">
        <v>5000</v>
      </c>
      <c r="Q126" s="666" t="s">
        <v>2427</v>
      </c>
      <c r="R126" s="666" t="s">
        <v>2428</v>
      </c>
    </row>
    <row r="127" spans="1:18" x14ac:dyDescent="0.2">
      <c r="A127" s="1106" t="str">
        <f t="shared" si="1"/>
        <v/>
      </c>
      <c r="C127" s="666" t="s">
        <v>2424</v>
      </c>
      <c r="D127" s="2001">
        <v>46276.558333333334</v>
      </c>
      <c r="E127" s="2001">
        <v>46276.558333333334</v>
      </c>
    </row>
    <row r="128" spans="1:18" ht="12.75" customHeight="1" x14ac:dyDescent="0.2">
      <c r="A128" s="1106" t="str">
        <f t="shared" si="1"/>
        <v>Phytocee Powder (India)Z7.146262</v>
      </c>
      <c r="B128" s="2002">
        <v>46276</v>
      </c>
      <c r="C128" s="2003">
        <v>8000095521</v>
      </c>
      <c r="D128" s="2003">
        <v>29</v>
      </c>
      <c r="E128" s="666" t="s">
        <v>545</v>
      </c>
      <c r="H128" s="2004">
        <v>46262</v>
      </c>
      <c r="I128" s="717">
        <v>0</v>
      </c>
      <c r="K128" s="666" t="s">
        <v>2425</v>
      </c>
      <c r="L128" s="666" t="s">
        <v>251</v>
      </c>
      <c r="M128" s="666" t="s">
        <v>2426</v>
      </c>
      <c r="N128" s="717">
        <v>25</v>
      </c>
      <c r="O128" s="715">
        <v>3</v>
      </c>
      <c r="P128" s="717">
        <v>75</v>
      </c>
      <c r="Q128" s="666" t="s">
        <v>2427</v>
      </c>
      <c r="R128" s="666" t="s">
        <v>2428</v>
      </c>
    </row>
    <row r="129" spans="1:18" ht="12.75" customHeight="1" x14ac:dyDescent="0.2">
      <c r="A129" s="1106" t="str">
        <f t="shared" si="1"/>
        <v/>
      </c>
      <c r="C129" s="666" t="s">
        <v>2424</v>
      </c>
      <c r="D129" s="2001">
        <v>46276.554166666669</v>
      </c>
      <c r="E129" s="2001">
        <v>46276.554166666669</v>
      </c>
    </row>
    <row r="130" spans="1:18" x14ac:dyDescent="0.2">
      <c r="A130" s="1106" t="str">
        <f t="shared" si="1"/>
        <v>Mycostatin-20E146262</v>
      </c>
      <c r="B130" s="2002">
        <v>46276</v>
      </c>
      <c r="C130" s="2003">
        <v>8000095521</v>
      </c>
      <c r="D130" s="2003">
        <v>5</v>
      </c>
      <c r="E130" s="666" t="s">
        <v>60</v>
      </c>
      <c r="H130" s="2004">
        <v>46262</v>
      </c>
      <c r="I130" s="717">
        <v>0</v>
      </c>
      <c r="K130" s="666" t="s">
        <v>2425</v>
      </c>
      <c r="L130" s="666" t="s">
        <v>1249</v>
      </c>
      <c r="M130" s="666" t="s">
        <v>2426</v>
      </c>
      <c r="N130" s="717">
        <v>25</v>
      </c>
      <c r="O130" s="715">
        <v>6</v>
      </c>
      <c r="P130" s="717">
        <v>150</v>
      </c>
      <c r="Q130" s="666" t="s">
        <v>2427</v>
      </c>
      <c r="R130" s="666" t="s">
        <v>2428</v>
      </c>
    </row>
    <row r="131" spans="1:18" ht="12.75" customHeight="1" x14ac:dyDescent="0.2">
      <c r="A131" s="1106" t="str">
        <f t="shared" si="1"/>
        <v/>
      </c>
      <c r="C131" s="666" t="s">
        <v>2424</v>
      </c>
      <c r="D131" s="2001">
        <v>46276.554166666669</v>
      </c>
      <c r="E131" s="2001">
        <v>46276.554166666669</v>
      </c>
    </row>
    <row r="132" spans="1:18" ht="12.75" customHeight="1" x14ac:dyDescent="0.2">
      <c r="A132" s="1106" t="str">
        <f t="shared" ref="A132:A195" si="2">IF(H132&lt;&gt;0,E132&amp;L132&amp;H132,"")</f>
        <v>TIAMULIN FUMARATE PREMIX 80% (China)E246254</v>
      </c>
      <c r="B132" s="2002">
        <v>46276</v>
      </c>
      <c r="C132" s="2003">
        <v>8000095521</v>
      </c>
      <c r="D132" s="2003">
        <v>7</v>
      </c>
      <c r="E132" s="666" t="s">
        <v>1391</v>
      </c>
      <c r="H132" s="2004">
        <v>46254</v>
      </c>
      <c r="I132" s="717">
        <v>0</v>
      </c>
      <c r="K132" s="666" t="s">
        <v>2425</v>
      </c>
      <c r="L132" s="666" t="s">
        <v>1313</v>
      </c>
      <c r="M132" s="666" t="s">
        <v>2426</v>
      </c>
      <c r="N132" s="717">
        <v>25</v>
      </c>
      <c r="O132" s="715">
        <v>5</v>
      </c>
      <c r="P132" s="717">
        <v>125</v>
      </c>
      <c r="Q132" s="666" t="s">
        <v>2427</v>
      </c>
      <c r="R132" s="666" t="s">
        <v>2428</v>
      </c>
    </row>
    <row r="133" spans="1:18" x14ac:dyDescent="0.2">
      <c r="A133" s="1106" t="str">
        <f t="shared" si="2"/>
        <v/>
      </c>
      <c r="C133" s="666" t="s">
        <v>2424</v>
      </c>
      <c r="D133" s="2001">
        <v>46276.554166666669</v>
      </c>
      <c r="E133" s="2001">
        <v>46276.554166666669</v>
      </c>
    </row>
    <row r="134" spans="1:18" ht="12.75" customHeight="1" x14ac:dyDescent="0.2">
      <c r="A134" s="1106" t="str">
        <f t="shared" si="2"/>
        <v>MAXIBANE346262</v>
      </c>
      <c r="B134" s="2002">
        <v>46276</v>
      </c>
      <c r="C134" s="2003">
        <v>8000095521</v>
      </c>
      <c r="D134" s="2003">
        <v>4</v>
      </c>
      <c r="E134" s="666" t="s">
        <v>462</v>
      </c>
      <c r="H134" s="2004">
        <v>46262</v>
      </c>
      <c r="I134" s="717">
        <v>0</v>
      </c>
      <c r="K134" s="666" t="s">
        <v>2425</v>
      </c>
      <c r="L134" s="666" t="s">
        <v>1213</v>
      </c>
      <c r="M134" s="666" t="s">
        <v>2426</v>
      </c>
      <c r="N134" s="717">
        <v>25</v>
      </c>
      <c r="O134" s="715">
        <v>1</v>
      </c>
      <c r="P134" s="717">
        <v>25</v>
      </c>
      <c r="Q134" s="666" t="s">
        <v>2427</v>
      </c>
      <c r="R134" s="666" t="s">
        <v>2428</v>
      </c>
    </row>
    <row r="135" spans="1:18" ht="12.75" customHeight="1" x14ac:dyDescent="0.2">
      <c r="A135" s="1106" t="str">
        <f t="shared" si="2"/>
        <v/>
      </c>
      <c r="C135" s="666" t="s">
        <v>2424</v>
      </c>
      <c r="D135" s="2001">
        <v>46276.554166666669</v>
      </c>
      <c r="E135" s="2001">
        <v>46276.554166666669</v>
      </c>
    </row>
    <row r="136" spans="1:18" x14ac:dyDescent="0.2">
      <c r="A136" s="1106" t="str">
        <f t="shared" si="2"/>
        <v>RoxolinE146254</v>
      </c>
      <c r="B136" s="2002">
        <v>46276</v>
      </c>
      <c r="C136" s="2003">
        <v>8000095521</v>
      </c>
      <c r="D136" s="2003">
        <v>6</v>
      </c>
      <c r="E136" s="666" t="s">
        <v>675</v>
      </c>
      <c r="H136" s="2004">
        <v>46254</v>
      </c>
      <c r="I136" s="717">
        <v>0</v>
      </c>
      <c r="K136" s="666" t="s">
        <v>2425</v>
      </c>
      <c r="L136" s="666" t="s">
        <v>1249</v>
      </c>
      <c r="M136" s="666" t="s">
        <v>2426</v>
      </c>
      <c r="N136" s="717">
        <v>20</v>
      </c>
      <c r="O136" s="715">
        <v>4</v>
      </c>
      <c r="P136" s="717">
        <v>80</v>
      </c>
      <c r="Q136" s="666" t="s">
        <v>2427</v>
      </c>
      <c r="R136" s="666" t="s">
        <v>2428</v>
      </c>
    </row>
    <row r="137" spans="1:18" ht="12.75" customHeight="1" x14ac:dyDescent="0.2">
      <c r="A137" s="1106" t="str">
        <f t="shared" si="2"/>
        <v/>
      </c>
      <c r="C137" s="666" t="s">
        <v>2424</v>
      </c>
      <c r="D137" s="2001">
        <v>46276.553472222222</v>
      </c>
      <c r="E137" s="2001">
        <v>46276.553472222222</v>
      </c>
    </row>
    <row r="138" spans="1:18" ht="12.75" customHeight="1" x14ac:dyDescent="0.2">
      <c r="A138" s="1106" t="str">
        <f t="shared" si="2"/>
        <v>Amoxicillin 80%E146247</v>
      </c>
      <c r="B138" s="2002">
        <v>46276</v>
      </c>
      <c r="C138" s="2003">
        <v>8000095521</v>
      </c>
      <c r="D138" s="2003">
        <v>1</v>
      </c>
      <c r="E138" s="666" t="s">
        <v>1346</v>
      </c>
      <c r="H138" s="2004">
        <v>46247</v>
      </c>
      <c r="I138" s="717">
        <v>0</v>
      </c>
      <c r="K138" s="666" t="s">
        <v>2425</v>
      </c>
      <c r="L138" s="666" t="s">
        <v>1249</v>
      </c>
      <c r="M138" s="666" t="s">
        <v>2426</v>
      </c>
      <c r="N138" s="717">
        <v>20</v>
      </c>
      <c r="O138" s="715">
        <v>5</v>
      </c>
      <c r="P138" s="717">
        <v>100</v>
      </c>
      <c r="Q138" s="666" t="s">
        <v>2427</v>
      </c>
      <c r="R138" s="666" t="s">
        <v>2428</v>
      </c>
    </row>
    <row r="139" spans="1:18" x14ac:dyDescent="0.2">
      <c r="A139" s="1106" t="str">
        <f t="shared" si="2"/>
        <v/>
      </c>
      <c r="C139" s="666" t="s">
        <v>2424</v>
      </c>
      <c r="D139" s="2001">
        <v>46276.553472222222</v>
      </c>
      <c r="E139" s="2001">
        <v>46276.553472222222</v>
      </c>
    </row>
    <row r="140" spans="1:18" ht="12.75" customHeight="1" x14ac:dyDescent="0.2">
      <c r="A140" s="1106" t="str">
        <f t="shared" si="2"/>
        <v>Elancoban 200 Premix (Monensin)E346247</v>
      </c>
      <c r="B140" s="2002">
        <v>46276</v>
      </c>
      <c r="C140" s="2003">
        <v>8000095521</v>
      </c>
      <c r="D140" s="2003">
        <v>3</v>
      </c>
      <c r="E140" s="666" t="s">
        <v>1512</v>
      </c>
      <c r="H140" s="2004">
        <v>46247</v>
      </c>
      <c r="I140" s="717">
        <v>0</v>
      </c>
      <c r="K140" s="666" t="s">
        <v>2425</v>
      </c>
      <c r="L140" s="666" t="s">
        <v>1213</v>
      </c>
      <c r="M140" s="666" t="s">
        <v>2426</v>
      </c>
      <c r="N140" s="717">
        <v>25</v>
      </c>
      <c r="O140" s="715">
        <v>1</v>
      </c>
      <c r="P140" s="717">
        <v>25</v>
      </c>
      <c r="Q140" s="666" t="s">
        <v>2427</v>
      </c>
      <c r="R140" s="666" t="s">
        <v>2428</v>
      </c>
    </row>
    <row r="141" spans="1:18" ht="12.75" customHeight="1" x14ac:dyDescent="0.2">
      <c r="A141" s="1106" t="str">
        <f t="shared" si="2"/>
        <v/>
      </c>
      <c r="B141" s="666" t="s">
        <v>2440</v>
      </c>
      <c r="C141" s="716">
        <v>3727</v>
      </c>
      <c r="D141" s="717">
        <v>137058</v>
      </c>
    </row>
    <row r="142" spans="1:18" x14ac:dyDescent="0.2">
      <c r="A142" s="1106" t="str">
        <f t="shared" si="2"/>
        <v/>
      </c>
      <c r="B142" s="666" t="s">
        <v>453</v>
      </c>
      <c r="C142" s="717">
        <v>36.774349342634828</v>
      </c>
      <c r="D142" s="716">
        <v>3727</v>
      </c>
      <c r="E142" s="717">
        <v>137058</v>
      </c>
    </row>
    <row r="143" spans="1:18" ht="12.75" customHeight="1" x14ac:dyDescent="0.2">
      <c r="A143" s="1106" t="str">
        <f t="shared" si="2"/>
        <v/>
      </c>
    </row>
    <row r="144" spans="1:18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100" zoomScale="93" zoomScaleNormal="93" workbookViewId="0">
      <selection activeCell="B121" sqref="B121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8"/>
      <c r="C1" s="2348"/>
      <c r="D1" s="2348"/>
      <c r="E1" s="2348"/>
      <c r="F1" s="2348"/>
      <c r="G1" s="2348"/>
    </row>
    <row r="2" spans="1:7" ht="15.75" customHeight="1" x14ac:dyDescent="0.2">
      <c r="B2" s="2348"/>
      <c r="C2" s="2348"/>
      <c r="D2" s="2348"/>
      <c r="E2" s="2348"/>
      <c r="F2" s="2348"/>
      <c r="G2" s="2348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9" t="s">
        <v>1965</v>
      </c>
      <c r="C4" s="1990" t="s">
        <v>1966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1699</v>
      </c>
      <c r="C6" s="1204">
        <v>4394.2610000000004</v>
      </c>
      <c r="D6" s="825" t="str">
        <f>LEFT(B6,2)</f>
        <v>CR</v>
      </c>
      <c r="E6" s="572">
        <f>C6/$D$4*1000</f>
        <v>732376.83333333337</v>
      </c>
      <c r="F6" s="694">
        <f>SUM(E:E)-MAX(E:E)</f>
        <v>1924333.5000000002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1565</v>
      </c>
      <c r="C7" s="1204">
        <v>1620.694</v>
      </c>
      <c r="D7" s="825" t="str">
        <f t="shared" ref="D7:D70" si="0">LEFT(B7,2)</f>
        <v>SB</v>
      </c>
      <c r="E7" s="572">
        <f t="shared" ref="E7:E70" si="1">C7/$D$4*1000</f>
        <v>270115.66666666663</v>
      </c>
      <c r="F7" s="694">
        <f>SUMIFS(E:E,D:D,"IR")</f>
        <v>54803.333333333336</v>
      </c>
      <c r="G7" s="671"/>
    </row>
    <row r="8" spans="1:7" x14ac:dyDescent="0.2">
      <c r="A8" s="676" t="str">
        <f>+VLOOKUP($B8,'Tên NL'!$B:$C,2,0)</f>
        <v>CORN</v>
      </c>
      <c r="B8" s="667" t="s">
        <v>1414</v>
      </c>
      <c r="C8" s="1204">
        <v>627.197</v>
      </c>
      <c r="D8" s="825" t="str">
        <f t="shared" si="0"/>
        <v>CR</v>
      </c>
      <c r="E8" s="572">
        <f t="shared" si="1"/>
        <v>104532.83333333333</v>
      </c>
      <c r="F8" s="696">
        <f>F6-F7</f>
        <v>1869530.166666667</v>
      </c>
      <c r="G8" s="671"/>
    </row>
    <row r="9" spans="1:7" x14ac:dyDescent="0.2">
      <c r="A9" s="676" t="str">
        <f>+VLOOKUP($B9,'Tên NL'!$B:$C,2,0)</f>
        <v>DDGS.</v>
      </c>
      <c r="B9" s="667" t="s">
        <v>1932</v>
      </c>
      <c r="C9" s="1204">
        <v>550.10299999999995</v>
      </c>
      <c r="D9" s="825" t="str">
        <f t="shared" si="0"/>
        <v>DD</v>
      </c>
      <c r="E9" s="572">
        <f t="shared" si="1"/>
        <v>91683.833333333328</v>
      </c>
      <c r="G9" s="671"/>
    </row>
    <row r="10" spans="1:7" x14ac:dyDescent="0.2">
      <c r="A10" s="676" t="str">
        <f>+VLOOKUP($B10,'Tên NL'!$B:$C,2,0)</f>
        <v>RBF</v>
      </c>
      <c r="B10" s="667" t="s">
        <v>1388</v>
      </c>
      <c r="C10" s="1204">
        <v>499.464</v>
      </c>
      <c r="D10" s="825" t="str">
        <f t="shared" si="0"/>
        <v>RB</v>
      </c>
      <c r="E10" s="572">
        <f t="shared" si="1"/>
        <v>83244</v>
      </c>
      <c r="G10" s="671"/>
    </row>
    <row r="11" spans="1:7" x14ac:dyDescent="0.2">
      <c r="A11" s="676" t="str">
        <f>+VLOOKUP($B11,'Tên NL'!$B:$C,2,0)</f>
        <v>Corn Extrude</v>
      </c>
      <c r="B11" s="667" t="s">
        <v>1287</v>
      </c>
      <c r="C11" s="1204">
        <v>379.35899999999998</v>
      </c>
      <c r="D11" s="825" t="str">
        <f t="shared" si="0"/>
        <v>CR</v>
      </c>
      <c r="E11" s="572">
        <f t="shared" si="1"/>
        <v>63226.499999999993</v>
      </c>
      <c r="F11" s="694"/>
      <c r="G11" s="671"/>
    </row>
    <row r="12" spans="1:7" x14ac:dyDescent="0.2">
      <c r="A12" s="676" t="str">
        <f>+VLOOKUP($B12,'Tên NL'!$B:$C,2,0)</f>
        <v>Palm Kernel Expeller</v>
      </c>
      <c r="B12" s="667" t="s">
        <v>1529</v>
      </c>
      <c r="C12" s="1204">
        <v>363.90600000000001</v>
      </c>
      <c r="D12" s="825" t="str">
        <f t="shared" si="0"/>
        <v>PK</v>
      </c>
      <c r="E12" s="572">
        <f t="shared" si="1"/>
        <v>60651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328.82</v>
      </c>
      <c r="D13" s="825" t="str">
        <f t="shared" si="0"/>
        <v>IR</v>
      </c>
      <c r="E13" s="572">
        <f t="shared" si="1"/>
        <v>54803.333333333336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303.00799999999998</v>
      </c>
      <c r="D14" s="825" t="str">
        <f t="shared" si="0"/>
        <v>TA</v>
      </c>
      <c r="E14" s="572">
        <f t="shared" si="1"/>
        <v>50501.333333333328</v>
      </c>
      <c r="G14" s="671"/>
    </row>
    <row r="15" spans="1:7" x14ac:dyDescent="0.2">
      <c r="A15" s="676" t="str">
        <f>+VLOOKUP($B15,'Tên NL'!$B:$C,2,0)</f>
        <v>WHEAT GRAIN</v>
      </c>
      <c r="B15" s="667" t="s">
        <v>1778</v>
      </c>
      <c r="C15" s="1204">
        <v>300.22899999999998</v>
      </c>
      <c r="D15" s="825" t="str">
        <f t="shared" si="0"/>
        <v>WH</v>
      </c>
      <c r="E15" s="572">
        <f t="shared" si="1"/>
        <v>50038.166666666664</v>
      </c>
      <c r="G15" s="671"/>
    </row>
    <row r="16" spans="1:7" x14ac:dyDescent="0.2">
      <c r="A16" s="676" t="str">
        <f>+VLOOKUP($B16,'Tên NL'!$B:$C,2,0)</f>
        <v>CORN</v>
      </c>
      <c r="B16" s="667" t="s">
        <v>1751</v>
      </c>
      <c r="C16" s="1204">
        <v>195.845</v>
      </c>
      <c r="D16" s="825" t="str">
        <f t="shared" si="0"/>
        <v>CR</v>
      </c>
      <c r="E16" s="572">
        <f t="shared" si="1"/>
        <v>32640.833333333332</v>
      </c>
      <c r="G16" s="671"/>
    </row>
    <row r="17" spans="1:7" x14ac:dyDescent="0.2">
      <c r="A17" s="676" t="str">
        <f>+VLOOKUP($B17,'Tên NL'!$B:$C,2,0)</f>
        <v>CORN</v>
      </c>
      <c r="B17" s="667" t="s">
        <v>1005</v>
      </c>
      <c r="C17" s="1204">
        <v>177.054</v>
      </c>
      <c r="D17" s="825" t="str">
        <f t="shared" si="0"/>
        <v>CR</v>
      </c>
      <c r="E17" s="572">
        <f t="shared" si="1"/>
        <v>29509</v>
      </c>
      <c r="G17" s="671"/>
    </row>
    <row r="18" spans="1:7" x14ac:dyDescent="0.2">
      <c r="A18" s="676" t="str">
        <f>+VLOOKUP($B18,'Tên NL'!$B:$C,2,0)</f>
        <v>Soy Bean Meal (Argentina)</v>
      </c>
      <c r="B18" s="667" t="s">
        <v>1566</v>
      </c>
      <c r="C18" s="1204">
        <v>171.07599999999999</v>
      </c>
      <c r="D18" s="825" t="str">
        <f t="shared" si="0"/>
        <v>SB</v>
      </c>
      <c r="E18" s="572">
        <f t="shared" si="1"/>
        <v>28512.666666666664</v>
      </c>
      <c r="G18" s="671"/>
    </row>
    <row r="19" spans="1:7" x14ac:dyDescent="0.2">
      <c r="A19" s="676" t="str">
        <f>+VLOOKUP($B19,'Tên NL'!$B:$C,2,0)</f>
        <v>Molasses</v>
      </c>
      <c r="B19" s="667" t="s">
        <v>1021</v>
      </c>
      <c r="C19" s="1204">
        <v>170.488</v>
      </c>
      <c r="D19" s="825" t="str">
        <f t="shared" si="0"/>
        <v>MO</v>
      </c>
      <c r="E19" s="572">
        <f t="shared" si="1"/>
        <v>28414.666666666664</v>
      </c>
      <c r="G19" s="671"/>
    </row>
    <row r="20" spans="1:7" x14ac:dyDescent="0.2">
      <c r="A20" s="676" t="str">
        <f>+VLOOKUP($B20,'Tên NL'!$B:$C,2,0)</f>
        <v>Limestone (Fine)</v>
      </c>
      <c r="B20" s="667" t="s">
        <v>1381</v>
      </c>
      <c r="C20" s="1204">
        <v>130.084</v>
      </c>
      <c r="D20" s="825" t="str">
        <f t="shared" si="0"/>
        <v>LS</v>
      </c>
      <c r="E20" s="572">
        <f t="shared" si="1"/>
        <v>21680.666666666668</v>
      </c>
      <c r="G20" s="671"/>
    </row>
    <row r="21" spans="1:7" x14ac:dyDescent="0.2">
      <c r="A21" s="676" t="str">
        <f>+VLOOKUP($B21,'Tên NL'!$B:$C,2,0)</f>
        <v>SOYBEAN SEED</v>
      </c>
      <c r="B21" s="667" t="s">
        <v>996</v>
      </c>
      <c r="C21" s="1204">
        <v>127.89</v>
      </c>
      <c r="D21" s="825" t="str">
        <f t="shared" si="0"/>
        <v>FF</v>
      </c>
      <c r="E21" s="572">
        <f t="shared" si="1"/>
        <v>21315</v>
      </c>
      <c r="G21" s="671"/>
    </row>
    <row r="22" spans="1:7" x14ac:dyDescent="0.2">
      <c r="A22" s="676" t="str">
        <f>+VLOOKUP($B22,'Tên NL'!$B:$C,2,0)</f>
        <v>RICE BRAN SOLVENT</v>
      </c>
      <c r="B22" s="667" t="s">
        <v>1015</v>
      </c>
      <c r="C22" s="1204">
        <v>122.366</v>
      </c>
      <c r="D22" s="825" t="str">
        <f t="shared" si="0"/>
        <v>RB</v>
      </c>
      <c r="E22" s="572">
        <f t="shared" si="1"/>
        <v>20394.333333333332</v>
      </c>
      <c r="G22" s="671"/>
    </row>
    <row r="23" spans="1:7" x14ac:dyDescent="0.2">
      <c r="A23" s="676" t="str">
        <f>+VLOOKUP($B23,'Tên NL'!$B:$C,2,0)</f>
        <v>BROKEN RICE</v>
      </c>
      <c r="B23" s="667" t="s">
        <v>1885</v>
      </c>
      <c r="C23" s="1204">
        <v>108.551</v>
      </c>
      <c r="D23" s="825" t="str">
        <f t="shared" si="0"/>
        <v>RC</v>
      </c>
      <c r="E23" s="572">
        <f t="shared" si="1"/>
        <v>18091.833333333332</v>
      </c>
      <c r="G23" s="671"/>
    </row>
    <row r="24" spans="1:7" x14ac:dyDescent="0.2">
      <c r="A24" s="676" t="str">
        <f>+VLOOKUP($B24,'Tên NL'!$B:$C,2,0)</f>
        <v>Pangasius Fish Oil</v>
      </c>
      <c r="B24" s="667" t="s">
        <v>1546</v>
      </c>
      <c r="C24" s="1204">
        <v>78.23</v>
      </c>
      <c r="D24" s="825" t="str">
        <f t="shared" si="0"/>
        <v>FO</v>
      </c>
      <c r="E24" s="572">
        <f t="shared" si="1"/>
        <v>13038.333333333334</v>
      </c>
      <c r="G24" s="671"/>
    </row>
    <row r="25" spans="1:7" x14ac:dyDescent="0.2">
      <c r="A25" s="676" t="str">
        <f>+VLOOKUP($B25,'Tên NL'!$B:$C,2,0)</f>
        <v>WHEY POWDER</v>
      </c>
      <c r="B25" s="667" t="s">
        <v>1032</v>
      </c>
      <c r="C25" s="1204">
        <v>76.849999999999994</v>
      </c>
      <c r="D25" s="825" t="str">
        <f t="shared" si="0"/>
        <v>WY</v>
      </c>
      <c r="E25" s="572">
        <f t="shared" si="1"/>
        <v>12808.333333333332</v>
      </c>
      <c r="G25" s="671"/>
    </row>
    <row r="26" spans="1:7" x14ac:dyDescent="0.2">
      <c r="A26" s="676" t="str">
        <f>+VLOOKUP($B26,'Tên NL'!$B:$C,2,0)</f>
        <v>PORK MEAT &amp; BONE MEAL</v>
      </c>
      <c r="B26" s="667" t="s">
        <v>1785</v>
      </c>
      <c r="C26" s="1204">
        <v>70.951999999999998</v>
      </c>
      <c r="D26" s="825" t="str">
        <f t="shared" si="0"/>
        <v>AP</v>
      </c>
      <c r="E26" s="572">
        <f t="shared" si="1"/>
        <v>11825.333333333332</v>
      </c>
      <c r="G26" s="671"/>
    </row>
    <row r="27" spans="1:7" x14ac:dyDescent="0.2">
      <c r="A27" s="676" t="str">
        <f>+VLOOKUP($B27,'Tên NL'!$B:$C,2,0)</f>
        <v>DICALCIUM PHOSPHATE</v>
      </c>
      <c r="B27" s="667" t="s">
        <v>1967</v>
      </c>
      <c r="C27" s="1204">
        <v>66.75</v>
      </c>
      <c r="D27" s="1724" t="str">
        <f t="shared" si="0"/>
        <v>MC</v>
      </c>
      <c r="E27" s="1725">
        <f t="shared" si="1"/>
        <v>11125</v>
      </c>
      <c r="G27" s="671"/>
    </row>
    <row r="28" spans="1:7" x14ac:dyDescent="0.2">
      <c r="A28" s="676" t="str">
        <f>+VLOOKUP($B28,'Tên NL'!$B:$C,2,0)</f>
        <v>CORN</v>
      </c>
      <c r="B28" s="667" t="s">
        <v>1278</v>
      </c>
      <c r="C28" s="1204">
        <v>53</v>
      </c>
      <c r="D28" s="825" t="str">
        <f t="shared" si="0"/>
        <v>CR</v>
      </c>
      <c r="E28" s="572">
        <f t="shared" si="1"/>
        <v>8833.3333333333339</v>
      </c>
      <c r="G28" s="671"/>
    </row>
    <row r="29" spans="1:7" x14ac:dyDescent="0.2">
      <c r="A29" s="676" t="str">
        <f>+VLOOKUP($B29,'Tên NL'!$B:$C,2,0)</f>
        <v>BREWER'S DRIED GRAIN</v>
      </c>
      <c r="B29" s="667" t="s">
        <v>1020</v>
      </c>
      <c r="C29" s="1204">
        <v>50.201000000000001</v>
      </c>
      <c r="D29" s="825" t="str">
        <f t="shared" si="0"/>
        <v>BD</v>
      </c>
      <c r="E29" s="572">
        <f t="shared" si="1"/>
        <v>8366.8333333333339</v>
      </c>
      <c r="G29" s="671"/>
    </row>
    <row r="30" spans="1:7" x14ac:dyDescent="0.2">
      <c r="A30" s="676" t="str">
        <f>+VLOOKUP($B30,'Tên NL'!$B:$C,2,0)</f>
        <v>SOYTIDE</v>
      </c>
      <c r="B30" s="667" t="s">
        <v>1776</v>
      </c>
      <c r="C30" s="1204">
        <v>45</v>
      </c>
      <c r="D30" s="825" t="str">
        <f t="shared" si="0"/>
        <v>PR</v>
      </c>
      <c r="E30" s="572">
        <f t="shared" si="1"/>
        <v>7500</v>
      </c>
      <c r="G30" s="671"/>
    </row>
    <row r="31" spans="1:7" x14ac:dyDescent="0.2">
      <c r="A31" s="676" t="str">
        <f>+VLOOKUP($B31,'Tên NL'!$B:$C,2,0)</f>
        <v>Deproteinized Whey</v>
      </c>
      <c r="B31" s="667" t="s">
        <v>1029</v>
      </c>
      <c r="C31" s="1204">
        <v>44.7</v>
      </c>
      <c r="D31" s="825" t="str">
        <f t="shared" si="0"/>
        <v>WY</v>
      </c>
      <c r="E31" s="572">
        <f t="shared" si="1"/>
        <v>7450</v>
      </c>
      <c r="G31" s="671"/>
    </row>
    <row r="32" spans="1:7" x14ac:dyDescent="0.2">
      <c r="A32" s="676" t="str">
        <f>+VLOOKUP($B32,'Tên NL'!$B:$C,2,0)</f>
        <v>MSG By-products</v>
      </c>
      <c r="B32" s="667" t="s">
        <v>1024</v>
      </c>
      <c r="C32" s="1204">
        <v>37.956000000000003</v>
      </c>
      <c r="D32" s="825" t="str">
        <f t="shared" si="0"/>
        <v>VE</v>
      </c>
      <c r="E32" s="572">
        <f t="shared" si="1"/>
        <v>6326.0000000000009</v>
      </c>
      <c r="G32" s="671"/>
    </row>
    <row r="33" spans="1:7" x14ac:dyDescent="0.2">
      <c r="A33" s="676" t="str">
        <f>+VLOOKUP($B33,'Tên NL'!$B:$C,2,0)</f>
        <v>SEA SALT</v>
      </c>
      <c r="B33" s="667" t="s">
        <v>1036</v>
      </c>
      <c r="C33" s="1204">
        <v>31.965</v>
      </c>
      <c r="D33" s="825" t="str">
        <f t="shared" si="0"/>
        <v>SA</v>
      </c>
      <c r="E33" s="572">
        <f t="shared" si="1"/>
        <v>5327.5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1596</v>
      </c>
      <c r="C34" s="1204">
        <v>29.422000000000001</v>
      </c>
      <c r="D34" s="825" t="str">
        <f t="shared" si="0"/>
        <v>LL</v>
      </c>
      <c r="E34" s="572">
        <f t="shared" si="1"/>
        <v>4903.666666666667</v>
      </c>
      <c r="G34" s="671"/>
    </row>
    <row r="35" spans="1:7" x14ac:dyDescent="0.2">
      <c r="A35" s="676" t="str">
        <f>+VLOOKUP($B35,'Tên NL'!$B:$C,2,0)</f>
        <v>CANOLA MEAL PELLETS</v>
      </c>
      <c r="B35" s="667" t="s">
        <v>1693</v>
      </c>
      <c r="C35" s="1204">
        <v>27.225000000000001</v>
      </c>
      <c r="D35" s="825" t="str">
        <f t="shared" si="0"/>
        <v>CA</v>
      </c>
      <c r="E35" s="572">
        <f t="shared" si="1"/>
        <v>4537.5000000000009</v>
      </c>
      <c r="G35" s="671"/>
    </row>
    <row r="36" spans="1:7" x14ac:dyDescent="0.2">
      <c r="A36" s="676" t="str">
        <f>+VLOOKUP($B36,'Tên NL'!$B:$C,2,0)</f>
        <v>DDGS.</v>
      </c>
      <c r="B36" s="667" t="s">
        <v>1552</v>
      </c>
      <c r="C36" s="1204">
        <v>22.806000000000001</v>
      </c>
      <c r="D36" s="825" t="str">
        <f t="shared" si="0"/>
        <v>DD</v>
      </c>
      <c r="E36" s="572">
        <f t="shared" si="1"/>
        <v>3801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22</v>
      </c>
      <c r="D37" s="825" t="str">
        <f t="shared" si="0"/>
        <v>DE</v>
      </c>
      <c r="E37" s="572">
        <f t="shared" si="1"/>
        <v>3666.6666666666665</v>
      </c>
      <c r="G37" s="671"/>
    </row>
    <row r="38" spans="1:7" x14ac:dyDescent="0.2">
      <c r="A38" s="676" t="str">
        <f>+VLOOKUP($B38,'Tên NL'!$B:$C,2,0)</f>
        <v>Carob Powder</v>
      </c>
      <c r="B38" s="667" t="s">
        <v>999</v>
      </c>
      <c r="C38" s="1204">
        <v>20.11</v>
      </c>
      <c r="D38" s="825" t="str">
        <f t="shared" si="0"/>
        <v>CA</v>
      </c>
      <c r="E38" s="572">
        <f t="shared" si="1"/>
        <v>3351.6666666666665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19.407</v>
      </c>
      <c r="D39" s="825" t="str">
        <f t="shared" si="0"/>
        <v>LL</v>
      </c>
      <c r="E39" s="572">
        <f t="shared" si="1"/>
        <v>3234.5</v>
      </c>
      <c r="G39" s="671"/>
    </row>
    <row r="40" spans="1:7" x14ac:dyDescent="0.2">
      <c r="A40" s="676" t="str">
        <f>+VLOOKUP($B40,'Tên NL'!$B:$C,2,0)</f>
        <v>Rumifat Plus (Malaysia)</v>
      </c>
      <c r="B40" s="667" t="s">
        <v>1763</v>
      </c>
      <c r="C40" s="1204">
        <v>17.218</v>
      </c>
      <c r="D40" s="825" t="str">
        <f t="shared" si="0"/>
        <v>Ru</v>
      </c>
      <c r="E40" s="572">
        <f t="shared" si="1"/>
        <v>2869.666666666667</v>
      </c>
      <c r="G40" s="671"/>
    </row>
    <row r="41" spans="1:7" x14ac:dyDescent="0.2">
      <c r="A41" s="676" t="str">
        <f>+VLOOKUP($B41,'Tên NL'!$B:$C,2,0)</f>
        <v>AMINOPLUS# (USA)</v>
      </c>
      <c r="B41" s="667" t="s">
        <v>1857</v>
      </c>
      <c r="C41" s="1204">
        <v>17.178999999999998</v>
      </c>
      <c r="D41" s="825" t="str">
        <f t="shared" si="0"/>
        <v>Am</v>
      </c>
      <c r="E41" s="572">
        <f t="shared" si="1"/>
        <v>2863.1666666666665</v>
      </c>
      <c r="G41" s="671"/>
    </row>
    <row r="42" spans="1:7" x14ac:dyDescent="0.2">
      <c r="A42" s="676" t="str">
        <f>+VLOOKUP($B42,'Tên NL'!$B:$C,2,0)</f>
        <v>FEATHER MEAL</v>
      </c>
      <c r="B42" s="667" t="s">
        <v>1033</v>
      </c>
      <c r="C42" s="1204">
        <v>15.263999999999999</v>
      </c>
      <c r="D42" s="825" t="str">
        <f t="shared" si="0"/>
        <v>FE</v>
      </c>
      <c r="E42" s="572">
        <f t="shared" si="1"/>
        <v>2544</v>
      </c>
      <c r="G42" s="671"/>
    </row>
    <row r="43" spans="1:7" x14ac:dyDescent="0.2">
      <c r="A43" s="676" t="str">
        <f>+VLOOKUP($B43,'Tên NL'!$B:$C,2,0)</f>
        <v>WHEAT BRAN</v>
      </c>
      <c r="B43" s="667" t="s">
        <v>1034</v>
      </c>
      <c r="C43" s="1204">
        <v>13.788</v>
      </c>
      <c r="D43" s="825" t="str">
        <f t="shared" si="0"/>
        <v>WB</v>
      </c>
      <c r="E43" s="572">
        <f t="shared" si="1"/>
        <v>2298</v>
      </c>
      <c r="G43" s="671"/>
    </row>
    <row r="44" spans="1:7" x14ac:dyDescent="0.2">
      <c r="A44" s="676" t="str">
        <f>+VLOOKUP($B44,'Tên NL'!$B:$C,2,0)</f>
        <v>Nextide (ViÖt Nam)</v>
      </c>
      <c r="B44" s="667" t="s">
        <v>1931</v>
      </c>
      <c r="C44" s="1204">
        <v>13.6</v>
      </c>
      <c r="D44" s="825" t="str">
        <f t="shared" si="0"/>
        <v>NE</v>
      </c>
      <c r="E44" s="572">
        <f t="shared" si="1"/>
        <v>2266.6666666666665</v>
      </c>
      <c r="G44" s="671"/>
    </row>
    <row r="45" spans="1:7" x14ac:dyDescent="0.2">
      <c r="A45" s="676" t="str">
        <f>+VLOOKUP($B45,'Tên NL'!$B:$C,2,0)</f>
        <v>Betafin LQD 38% (Finland)</v>
      </c>
      <c r="B45" s="667" t="s">
        <v>1043</v>
      </c>
      <c r="C45" s="1204">
        <v>12.872999999999999</v>
      </c>
      <c r="D45" s="825" t="str">
        <f t="shared" si="0"/>
        <v>Be</v>
      </c>
      <c r="E45" s="572">
        <f t="shared" si="1"/>
        <v>2145.4999999999995</v>
      </c>
      <c r="G45" s="671"/>
    </row>
    <row r="46" spans="1:7" x14ac:dyDescent="0.2">
      <c r="A46" s="676" t="str">
        <f>+VLOOKUP($B46,'Tên NL'!$B:$C,2,0)</f>
        <v>DL-Methionine (Singapore)</v>
      </c>
      <c r="B46" s="667" t="s">
        <v>1039</v>
      </c>
      <c r="C46" s="1204">
        <v>12.561</v>
      </c>
      <c r="D46" s="825" t="str">
        <f t="shared" si="0"/>
        <v>DL</v>
      </c>
      <c r="E46" s="572">
        <f t="shared" si="1"/>
        <v>2093.5</v>
      </c>
      <c r="G46" s="671"/>
    </row>
    <row r="47" spans="1:7" x14ac:dyDescent="0.2">
      <c r="A47" s="676" t="str">
        <f>+VLOOKUP($B47,'Tên NL'!$B:$C,2,0)</f>
        <v>SOY HULL</v>
      </c>
      <c r="B47" s="667" t="s">
        <v>1677</v>
      </c>
      <c r="C47" s="1204">
        <v>11.961</v>
      </c>
      <c r="D47" s="825" t="str">
        <f t="shared" si="0"/>
        <v>SO</v>
      </c>
      <c r="E47" s="572">
        <f t="shared" si="1"/>
        <v>1993.5</v>
      </c>
      <c r="G47" s="671"/>
    </row>
    <row r="48" spans="1:7" x14ac:dyDescent="0.2">
      <c r="A48" s="676" t="str">
        <f>+VLOOKUP($B48,'Tên NL'!$B:$C,2,0)</f>
        <v>LIMESTONE (COARSE)</v>
      </c>
      <c r="B48" s="667" t="s">
        <v>1389</v>
      </c>
      <c r="C48" s="1204">
        <v>11.6</v>
      </c>
      <c r="D48" s="825" t="str">
        <f t="shared" si="0"/>
        <v>LS</v>
      </c>
      <c r="E48" s="572">
        <f t="shared" si="1"/>
        <v>1933.3333333333333</v>
      </c>
      <c r="G48" s="671"/>
    </row>
    <row r="49" spans="1:7" x14ac:dyDescent="0.2">
      <c r="A49" s="676" t="str">
        <f>+VLOOKUP($B49,'Tên NL'!$B:$C,2,0)</f>
        <v>Myco curb liquid</v>
      </c>
      <c r="B49" s="667" t="s">
        <v>1041</v>
      </c>
      <c r="C49" s="1204">
        <v>10.976000000000001</v>
      </c>
      <c r="D49" s="825" t="str">
        <f t="shared" si="0"/>
        <v>MY</v>
      </c>
      <c r="E49" s="572">
        <f t="shared" si="1"/>
        <v>1829.3333333333335</v>
      </c>
      <c r="G49" s="671"/>
    </row>
    <row r="50" spans="1:7" x14ac:dyDescent="0.2">
      <c r="A50" s="676" t="str">
        <f>+VLOOKUP($B50,'Tên NL'!$B:$C,2,0)</f>
        <v>MUNG BEAN MEAL</v>
      </c>
      <c r="B50" s="667" t="s">
        <v>1873</v>
      </c>
      <c r="C50" s="1204">
        <v>10.603</v>
      </c>
      <c r="D50" s="825" t="str">
        <f t="shared" si="0"/>
        <v>MU</v>
      </c>
      <c r="E50" s="572">
        <f t="shared" si="1"/>
        <v>1767.1666666666665</v>
      </c>
      <c r="G50" s="671"/>
    </row>
    <row r="51" spans="1:7" x14ac:dyDescent="0.2">
      <c r="A51" s="676" t="str">
        <f>+VLOOKUP($B51,'Tên NL'!$B:$C,2,0)</f>
        <v>L-Threonine (China)</v>
      </c>
      <c r="B51" s="667" t="s">
        <v>1040</v>
      </c>
      <c r="C51" s="1204">
        <v>10.199</v>
      </c>
      <c r="D51" s="825" t="str">
        <f t="shared" si="0"/>
        <v>L-</v>
      </c>
      <c r="E51" s="572">
        <f t="shared" si="1"/>
        <v>1699.8333333333333</v>
      </c>
      <c r="G51" s="671"/>
    </row>
    <row r="52" spans="1:7" x14ac:dyDescent="0.2">
      <c r="A52" s="676" t="str">
        <f>+VLOOKUP($B52,'Tên NL'!$B:$C,2,0)</f>
        <v>UREA</v>
      </c>
      <c r="B52" s="667" t="s">
        <v>1000</v>
      </c>
      <c r="C52" s="1204">
        <v>9.048</v>
      </c>
      <c r="D52" s="825" t="str">
        <f t="shared" si="0"/>
        <v>UR</v>
      </c>
      <c r="E52" s="572">
        <f t="shared" si="1"/>
        <v>1508</v>
      </c>
      <c r="G52" s="671"/>
    </row>
    <row r="53" spans="1:7" x14ac:dyDescent="0.2">
      <c r="A53" s="676" t="str">
        <f>+VLOOKUP($B53,'Tên NL'!$B:$C,2,0)</f>
        <v>L-lysine Liquid lysine feed grade (Indo)</v>
      </c>
      <c r="B53" s="667" t="s">
        <v>1315</v>
      </c>
      <c r="C53" s="1204">
        <v>8.1359999999999992</v>
      </c>
      <c r="D53" s="825" t="str">
        <f t="shared" si="0"/>
        <v>L-</v>
      </c>
      <c r="E53" s="572">
        <f t="shared" si="1"/>
        <v>1355.9999999999998</v>
      </c>
      <c r="G53" s="671"/>
    </row>
    <row r="54" spans="1:7" x14ac:dyDescent="0.2">
      <c r="A54" s="676" t="str">
        <f>+VLOOKUP($B54,'Tên NL'!$B:$C,2,0)</f>
        <v>CRUDE SOYBEAN OIL</v>
      </c>
      <c r="B54" s="667" t="s">
        <v>1044</v>
      </c>
      <c r="C54" s="1204">
        <v>7.36</v>
      </c>
      <c r="D54" s="825" t="str">
        <f t="shared" si="0"/>
        <v>SO</v>
      </c>
      <c r="E54" s="572">
        <f t="shared" si="1"/>
        <v>1226.6666666666667</v>
      </c>
      <c r="G54" s="671"/>
    </row>
    <row r="55" spans="1:7" x14ac:dyDescent="0.2">
      <c r="A55" s="676" t="str">
        <f>+VLOOKUP($B55,'Tên NL'!$B:$C,2,0)</f>
        <v>Calcium feed</v>
      </c>
      <c r="B55" s="667" t="s">
        <v>1042</v>
      </c>
      <c r="C55" s="1204">
        <v>6.4260000000000002</v>
      </c>
      <c r="D55" s="825" t="str">
        <f t="shared" si="0"/>
        <v>LS</v>
      </c>
      <c r="E55" s="572">
        <f t="shared" si="1"/>
        <v>1071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1046</v>
      </c>
      <c r="C56" s="1204">
        <v>5.391</v>
      </c>
      <c r="D56" s="825" t="str">
        <f t="shared" si="0"/>
        <v>AC</v>
      </c>
      <c r="E56" s="572">
        <f t="shared" si="1"/>
        <v>898.5</v>
      </c>
      <c r="G56" s="671"/>
    </row>
    <row r="57" spans="1:7" x14ac:dyDescent="0.2">
      <c r="A57" s="676" t="str">
        <f>+VLOOKUP($B57,'Tên NL'!$B:$C,2,0)</f>
        <v>Choline Chloride (BELGIUM)</v>
      </c>
      <c r="B57" s="667" t="s">
        <v>1045</v>
      </c>
      <c r="C57" s="1204">
        <v>5.34</v>
      </c>
      <c r="D57" s="825" t="str">
        <f t="shared" si="0"/>
        <v>CC</v>
      </c>
      <c r="E57" s="572">
        <f t="shared" si="1"/>
        <v>890</v>
      </c>
      <c r="G57" s="671"/>
    </row>
    <row r="58" spans="1:7" x14ac:dyDescent="0.2">
      <c r="A58" s="676" t="str">
        <f>+VLOOKUP($B58,'Tên NL'!$B:$C,2,0)</f>
        <v>MS SWINE 0314</v>
      </c>
      <c r="B58" s="667" t="s">
        <v>1050</v>
      </c>
      <c r="C58" s="1204">
        <v>4.609</v>
      </c>
      <c r="D58" s="825" t="str">
        <f t="shared" si="0"/>
        <v>MS</v>
      </c>
      <c r="E58" s="572">
        <f t="shared" si="1"/>
        <v>768.16666666666663</v>
      </c>
      <c r="G58" s="671"/>
    </row>
    <row r="59" spans="1:7" x14ac:dyDescent="0.2">
      <c r="A59" s="676" t="str">
        <f>+VLOOKUP($B59,'Tên NL'!$B:$C,2,0)</f>
        <v>Pangasius Fish Oil</v>
      </c>
      <c r="B59" s="667" t="s">
        <v>1547</v>
      </c>
      <c r="C59" s="1204">
        <v>4.0650000000000004</v>
      </c>
      <c r="D59" s="825" t="str">
        <f t="shared" si="0"/>
        <v>FO</v>
      </c>
      <c r="E59" s="572">
        <f t="shared" si="1"/>
        <v>677.50000000000011</v>
      </c>
      <c r="G59" s="671"/>
    </row>
    <row r="60" spans="1:7" x14ac:dyDescent="0.2">
      <c r="A60" s="676" t="str">
        <f>+VLOOKUP($B60,'Tên NL'!$B:$C,2,0)</f>
        <v>Zinc Oxide</v>
      </c>
      <c r="B60" s="667" t="s">
        <v>1553</v>
      </c>
      <c r="C60" s="1204">
        <v>4.0209999999999999</v>
      </c>
      <c r="D60" s="825" t="str">
        <f t="shared" si="0"/>
        <v>ZI</v>
      </c>
      <c r="E60" s="572">
        <f t="shared" si="1"/>
        <v>670.16666666666674</v>
      </c>
      <c r="G60" s="671"/>
    </row>
    <row r="61" spans="1:7" x14ac:dyDescent="0.2">
      <c r="A61" s="676" t="str">
        <f>+VLOOKUP($B61,'Tên NL'!$B:$C,2,0)</f>
        <v>ALLPLEX GF (USA)</v>
      </c>
      <c r="B61" s="667" t="s">
        <v>1048</v>
      </c>
      <c r="C61" s="1204">
        <v>3.9609999999999999</v>
      </c>
      <c r="D61" s="825" t="str">
        <f t="shared" si="0"/>
        <v>AL</v>
      </c>
      <c r="E61" s="572">
        <f t="shared" si="1"/>
        <v>660.16666666666663</v>
      </c>
      <c r="G61" s="671"/>
    </row>
    <row r="62" spans="1:7" x14ac:dyDescent="0.2">
      <c r="A62" s="676" t="str">
        <f>+VLOOKUP($B62,'Tên NL'!$B:$C,2,0)</f>
        <v>DPS 50(USA)</v>
      </c>
      <c r="B62" s="667" t="s">
        <v>1149</v>
      </c>
      <c r="C62" s="1204">
        <v>3.51</v>
      </c>
      <c r="D62" s="825" t="str">
        <f t="shared" si="0"/>
        <v>DP</v>
      </c>
      <c r="E62" s="572">
        <f t="shared" si="1"/>
        <v>585</v>
      </c>
      <c r="G62" s="671"/>
    </row>
    <row r="63" spans="1:7" x14ac:dyDescent="0.2">
      <c r="A63" s="676" t="str">
        <f>+VLOOKUP($B63,'Tên NL'!$B:$C,2,0)</f>
        <v>Premix Amnil</v>
      </c>
      <c r="B63" s="667" t="s">
        <v>1680</v>
      </c>
      <c r="C63" s="1204">
        <v>3.4670000000000001</v>
      </c>
      <c r="D63" s="825" t="str">
        <f t="shared" si="0"/>
        <v>PR</v>
      </c>
      <c r="E63" s="572">
        <f t="shared" si="1"/>
        <v>577.83333333333326</v>
      </c>
      <c r="G63" s="671"/>
    </row>
    <row r="64" spans="1:7" x14ac:dyDescent="0.2">
      <c r="A64" s="676" t="str">
        <f>+VLOOKUP($B64,'Tên NL'!$B:$C,2,0)</f>
        <v>Nutracor (Malaysia)</v>
      </c>
      <c r="B64" s="667" t="s">
        <v>1786</v>
      </c>
      <c r="C64" s="1204">
        <v>3.383</v>
      </c>
      <c r="D64" s="825" t="str">
        <f t="shared" si="0"/>
        <v>Nu</v>
      </c>
      <c r="E64" s="572">
        <f t="shared" si="1"/>
        <v>563.83333333333326</v>
      </c>
      <c r="F64" s="672"/>
      <c r="G64" s="673"/>
    </row>
    <row r="65" spans="1:5" x14ac:dyDescent="0.2">
      <c r="A65" s="676" t="str">
        <f>+VLOOKUP($B65,'Tên NL'!$B:$C,2,0)</f>
        <v>Sodium Bicabonate</v>
      </c>
      <c r="B65" s="667" t="s">
        <v>1131</v>
      </c>
      <c r="C65" s="1204">
        <v>3.077</v>
      </c>
      <c r="D65" s="825" t="str">
        <f t="shared" si="0"/>
        <v>SB</v>
      </c>
      <c r="E65" s="572">
        <f t="shared" si="1"/>
        <v>512.83333333333337</v>
      </c>
    </row>
    <row r="66" spans="1:5" x14ac:dyDescent="0.2">
      <c r="A66" s="676" t="str">
        <f>+VLOOKUP($B66,'Tên NL'!$B:$C,2,0)</f>
        <v>Rumifat R100 (Malaysia)</v>
      </c>
      <c r="B66" s="667" t="s">
        <v>1765</v>
      </c>
      <c r="C66" s="1204">
        <v>2.593</v>
      </c>
      <c r="D66" s="825" t="str">
        <f t="shared" si="0"/>
        <v>Ru</v>
      </c>
      <c r="E66" s="572">
        <f t="shared" si="1"/>
        <v>432.16666666666663</v>
      </c>
    </row>
    <row r="67" spans="1:5" x14ac:dyDescent="0.2">
      <c r="A67" s="676" t="str">
        <f>+VLOOKUP($B67,'Tên NL'!$B:$C,2,0)</f>
        <v>ALLPLEX S (USA)</v>
      </c>
      <c r="B67" s="667" t="s">
        <v>1052</v>
      </c>
      <c r="C67" s="1204">
        <v>2.4940000000000002</v>
      </c>
      <c r="D67" s="825" t="str">
        <f t="shared" si="0"/>
        <v>AL</v>
      </c>
      <c r="E67" s="572">
        <f t="shared" si="1"/>
        <v>415.66666666666669</v>
      </c>
    </row>
    <row r="68" spans="1:5" x14ac:dyDescent="0.2">
      <c r="A68" s="676" t="str">
        <f>+VLOOKUP($B68,'Tên NL'!$B:$C,2,0)</f>
        <v>L-Tryptophan</v>
      </c>
      <c r="B68" s="667" t="s">
        <v>1054</v>
      </c>
      <c r="C68" s="1204">
        <v>2.3730000000000002</v>
      </c>
      <c r="D68" s="825" t="str">
        <f t="shared" si="0"/>
        <v>L-</v>
      </c>
      <c r="E68" s="572">
        <f t="shared" si="1"/>
        <v>395.5</v>
      </c>
    </row>
    <row r="69" spans="1:5" x14ac:dyDescent="0.2">
      <c r="A69" s="676" t="str">
        <f>+VLOOKUP($B69,'Tên NL'!$B:$C,2,0)</f>
        <v>L-Valine (China)</v>
      </c>
      <c r="B69" s="667" t="s">
        <v>1264</v>
      </c>
      <c r="C69" s="1204">
        <v>2.2509999999999999</v>
      </c>
      <c r="D69" s="825" t="str">
        <f t="shared" si="0"/>
        <v>L-</v>
      </c>
      <c r="E69" s="572">
        <f t="shared" si="1"/>
        <v>375.16666666666663</v>
      </c>
    </row>
    <row r="70" spans="1:5" x14ac:dyDescent="0.2">
      <c r="A70" s="676" t="str">
        <f>+VLOOKUP($B70,'Tên NL'!$B:$C,2,0)</f>
        <v>Premix 52M</v>
      </c>
      <c r="B70" s="667" t="s">
        <v>1049</v>
      </c>
      <c r="C70" s="1204">
        <v>2.1110000000000002</v>
      </c>
      <c r="D70" s="825" t="str">
        <f t="shared" si="0"/>
        <v>52</v>
      </c>
      <c r="E70" s="572">
        <f t="shared" si="1"/>
        <v>351.83333333333337</v>
      </c>
    </row>
    <row r="71" spans="1:5" x14ac:dyDescent="0.2">
      <c r="A71" s="676" t="str">
        <f>+VLOOKUP($B71,'Tên NL'!$B:$C,2,0)</f>
        <v>Premix RED 2%</v>
      </c>
      <c r="B71" s="667" t="s">
        <v>1002</v>
      </c>
      <c r="C71" s="1204">
        <v>1.9870000000000001</v>
      </c>
      <c r="D71" s="825" t="str">
        <f t="shared" ref="D71:D134" si="2">LEFT(B71,2)</f>
        <v>PM</v>
      </c>
      <c r="E71" s="572">
        <f t="shared" ref="E71:E134" si="3">C71/$D$4*1000</f>
        <v>331.16666666666669</v>
      </c>
    </row>
    <row r="72" spans="1:5" x14ac:dyDescent="0.2">
      <c r="A72" s="676" t="str">
        <f>+VLOOKUP($B72,'Tên NL'!$B:$C,2,0)</f>
        <v>Florpan-S</v>
      </c>
      <c r="B72" s="667" t="s">
        <v>1117</v>
      </c>
      <c r="C72" s="1204">
        <v>1.8</v>
      </c>
      <c r="D72" s="825" t="str">
        <f t="shared" si="2"/>
        <v>FL</v>
      </c>
      <c r="E72" s="572">
        <f t="shared" si="3"/>
        <v>300</v>
      </c>
    </row>
    <row r="73" spans="1:5" x14ac:dyDescent="0.2">
      <c r="A73" s="676" t="str">
        <f>+VLOOKUP($B73,'Tên NL'!$B:$C,2,0)</f>
        <v>Premix 51V</v>
      </c>
      <c r="B73" s="667" t="s">
        <v>1056</v>
      </c>
      <c r="C73" s="1204">
        <v>1.7729999999999999</v>
      </c>
      <c r="D73" s="825" t="str">
        <f t="shared" si="2"/>
        <v>51</v>
      </c>
      <c r="E73" s="572">
        <f t="shared" si="3"/>
        <v>295.5</v>
      </c>
    </row>
    <row r="74" spans="1:5" x14ac:dyDescent="0.2">
      <c r="A74" s="676" t="str">
        <f>+VLOOKUP($B74,'Tên NL'!$B:$C,2,0)</f>
        <v>CORN</v>
      </c>
      <c r="B74" s="667" t="s">
        <v>1807</v>
      </c>
      <c r="C74" s="1204">
        <v>1.7390000000000001</v>
      </c>
      <c r="D74" s="825" t="str">
        <f t="shared" si="2"/>
        <v>CR</v>
      </c>
      <c r="E74" s="572">
        <f t="shared" si="3"/>
        <v>289.83333333333331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Acid Buf 10 (Ireland)</v>
      </c>
      <c r="B101" s="667" t="s">
        <v>1779</v>
      </c>
      <c r="C101" s="1204">
        <v>1.738</v>
      </c>
      <c r="D101" s="825" t="str">
        <f t="shared" si="2"/>
        <v>AC</v>
      </c>
      <c r="E101" s="572">
        <f t="shared" si="3"/>
        <v>289.66666666666669</v>
      </c>
    </row>
    <row r="102" spans="1:5" x14ac:dyDescent="0.2">
      <c r="A102" s="676" t="str">
        <f>+VLOOKUP($B102,'Tên NL'!$B:$C,2,0)</f>
        <v>Rovabio max Advance L (Belgium)</v>
      </c>
      <c r="B102" s="667" t="s">
        <v>1350</v>
      </c>
      <c r="C102" s="1204">
        <v>1.625</v>
      </c>
      <c r="D102" s="825" t="str">
        <f t="shared" si="2"/>
        <v>Ro</v>
      </c>
      <c r="E102" s="572">
        <f t="shared" si="3"/>
        <v>270.83333333333331</v>
      </c>
    </row>
    <row r="103" spans="1:5" x14ac:dyDescent="0.2">
      <c r="A103" s="676" t="str">
        <f>+VLOOKUP($B103,'Tên NL'!$B:$C,2,0)</f>
        <v>Rhodimet AT88 (China)</v>
      </c>
      <c r="B103" s="667" t="s">
        <v>1827</v>
      </c>
      <c r="C103" s="1204">
        <v>1.625</v>
      </c>
      <c r="D103" s="825" t="str">
        <f t="shared" si="2"/>
        <v>RH</v>
      </c>
      <c r="E103" s="572">
        <f t="shared" si="3"/>
        <v>270.83333333333331</v>
      </c>
    </row>
    <row r="104" spans="1:5" x14ac:dyDescent="0.2">
      <c r="A104" s="676" t="str">
        <f>+VLOOKUP($B104,'Tên NL'!$B:$C,2,0)</f>
        <v>Avi - Mul Top Feed Grade (Italy)</v>
      </c>
      <c r="B104" s="667" t="s">
        <v>1055</v>
      </c>
      <c r="C104" s="1204">
        <v>1.5960000000000001</v>
      </c>
      <c r="D104" s="825" t="str">
        <f t="shared" si="2"/>
        <v>AV</v>
      </c>
      <c r="E104" s="572">
        <f t="shared" si="3"/>
        <v>266</v>
      </c>
    </row>
    <row r="105" spans="1:5" x14ac:dyDescent="0.2">
      <c r="A105" s="676" t="str">
        <f>+VLOOKUP($B105,'Tên NL'!$B:$C,2,0)</f>
        <v>Premix 52SV</v>
      </c>
      <c r="B105" s="667" t="s">
        <v>1064</v>
      </c>
      <c r="C105" s="1204">
        <v>1.5940000000000001</v>
      </c>
      <c r="D105" s="825" t="str">
        <f t="shared" si="2"/>
        <v>52</v>
      </c>
      <c r="E105" s="572">
        <f t="shared" si="3"/>
        <v>265.66666666666669</v>
      </c>
    </row>
    <row r="106" spans="1:5" x14ac:dyDescent="0.2">
      <c r="A106" s="676" t="str">
        <f>+VLOOKUP($B106,'Tên NL'!$B:$C,2,0)</f>
        <v>Availa-ZN 120</v>
      </c>
      <c r="B106" s="667" t="s">
        <v>1069</v>
      </c>
      <c r="C106" s="1204">
        <v>1.4950000000000001</v>
      </c>
      <c r="D106" s="825" t="str">
        <f t="shared" si="2"/>
        <v>AV</v>
      </c>
      <c r="E106" s="572">
        <f t="shared" si="3"/>
        <v>249.16666666666669</v>
      </c>
    </row>
    <row r="107" spans="1:5" x14ac:dyDescent="0.2">
      <c r="A107" s="676" t="str">
        <f>+VLOOKUP($B107,'Tên NL'!$B:$C,2,0)</f>
        <v>Premix 52V</v>
      </c>
      <c r="B107" s="667" t="s">
        <v>1057</v>
      </c>
      <c r="C107" s="1204">
        <v>1.407</v>
      </c>
      <c r="D107" s="825" t="str">
        <f t="shared" si="2"/>
        <v>52</v>
      </c>
      <c r="E107" s="572">
        <f t="shared" si="3"/>
        <v>234.5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1.3180000000000001</v>
      </c>
      <c r="D108" s="825" t="str">
        <f t="shared" si="2"/>
        <v>M-</v>
      </c>
      <c r="E108" s="572">
        <f t="shared" si="3"/>
        <v>219.66666666666669</v>
      </c>
    </row>
    <row r="109" spans="1:5" x14ac:dyDescent="0.2">
      <c r="A109" s="676" t="str">
        <f>+VLOOKUP($B109,'Tên NL'!$B:$C,2,0)</f>
        <v>Kessent MF Dry (Singapore)</v>
      </c>
      <c r="B109" s="667" t="s">
        <v>1769</v>
      </c>
      <c r="C109" s="1204">
        <v>1.147</v>
      </c>
      <c r="D109" s="825" t="str">
        <f t="shared" si="2"/>
        <v>Ke</v>
      </c>
      <c r="E109" s="572">
        <f t="shared" si="3"/>
        <v>191.16666666666669</v>
      </c>
    </row>
    <row r="110" spans="1:5" x14ac:dyDescent="0.2">
      <c r="A110" s="676" t="str">
        <f>+VLOOKUP($B110,'Tên NL'!$B:$C,2,0)</f>
        <v>FEED GRADE MONTMORILLONITE (CN)</v>
      </c>
      <c r="B110" s="667" t="s">
        <v>1739</v>
      </c>
      <c r="C110" s="1204">
        <v>1.1339999999999999</v>
      </c>
      <c r="D110" s="825" t="str">
        <f t="shared" si="2"/>
        <v>FE</v>
      </c>
      <c r="E110" s="572">
        <f t="shared" si="3"/>
        <v>188.99999999999997</v>
      </c>
    </row>
    <row r="111" spans="1:5" x14ac:dyDescent="0.2">
      <c r="A111" s="676" t="str">
        <f>+VLOOKUP($B111,'Tên NL'!$B:$C,2,0)</f>
        <v>Tiamutin 80%</v>
      </c>
      <c r="B111" s="667" t="s">
        <v>1886</v>
      </c>
      <c r="C111" s="1204">
        <v>1.1040000000000001</v>
      </c>
      <c r="D111" s="825" t="str">
        <f t="shared" si="2"/>
        <v>TR</v>
      </c>
      <c r="E111" s="572">
        <f t="shared" si="3"/>
        <v>184.00000000000003</v>
      </c>
    </row>
    <row r="112" spans="1:5" x14ac:dyDescent="0.2">
      <c r="A112" s="676" t="str">
        <f>+VLOOKUP($B112,'Tên NL'!$B:$C,2,0)</f>
        <v>Intelli Bond C</v>
      </c>
      <c r="B112" s="667" t="s">
        <v>1074</v>
      </c>
      <c r="C112" s="1204">
        <v>0.98099999999999998</v>
      </c>
      <c r="D112" s="825" t="str">
        <f t="shared" si="2"/>
        <v>Co</v>
      </c>
      <c r="E112" s="572">
        <f t="shared" si="3"/>
        <v>163.5</v>
      </c>
    </row>
    <row r="113" spans="1:6" x14ac:dyDescent="0.2">
      <c r="A113" s="676" t="str">
        <f>+VLOOKUP($B113,'Tên NL'!$B:$C,2,0)</f>
        <v>TRADI-Impact LD - France</v>
      </c>
      <c r="B113" s="667" t="s">
        <v>1899</v>
      </c>
      <c r="C113" s="1204">
        <v>0.96</v>
      </c>
      <c r="D113" s="825" t="str">
        <f t="shared" si="2"/>
        <v>FL</v>
      </c>
      <c r="E113" s="572">
        <f t="shared" si="3"/>
        <v>160</v>
      </c>
    </row>
    <row r="114" spans="1:6" x14ac:dyDescent="0.2">
      <c r="A114" s="676" t="str">
        <f>+VLOOKUP($B114,'Tên NL'!$B:$C,2,0)</f>
        <v>Premix 10M</v>
      </c>
      <c r="B114" s="667" t="s">
        <v>1058</v>
      </c>
      <c r="C114" s="1204">
        <v>0.83399999999999996</v>
      </c>
      <c r="D114" s="825" t="str">
        <f t="shared" si="2"/>
        <v>PX</v>
      </c>
      <c r="E114" s="572">
        <f t="shared" si="3"/>
        <v>138.99999999999997</v>
      </c>
    </row>
    <row r="115" spans="1:6" x14ac:dyDescent="0.2">
      <c r="A115" s="676" t="str">
        <f>+VLOOKUP($B115,'Tên NL'!$B:$C,2,0)</f>
        <v>Endox Dry (Singapore)</v>
      </c>
      <c r="B115" s="667" t="s">
        <v>1073</v>
      </c>
      <c r="C115" s="1204">
        <v>0.78300000000000003</v>
      </c>
      <c r="D115" s="825" t="str">
        <f t="shared" si="2"/>
        <v>EN</v>
      </c>
      <c r="E115" s="572">
        <f t="shared" si="3"/>
        <v>130.5</v>
      </c>
    </row>
    <row r="116" spans="1:6" x14ac:dyDescent="0.2">
      <c r="A116" s="676" t="str">
        <f>+VLOOKUP($B116,'Tên NL'!$B:$C,2,0)</f>
        <v>Toxy-Nil Dry ( Belgium)</v>
      </c>
      <c r="B116" s="667" t="s">
        <v>1539</v>
      </c>
      <c r="C116" s="1204">
        <v>0.67800000000000005</v>
      </c>
      <c r="D116" s="825" t="str">
        <f t="shared" si="2"/>
        <v>TO</v>
      </c>
      <c r="E116" s="572">
        <f t="shared" si="3"/>
        <v>113</v>
      </c>
    </row>
    <row r="117" spans="1:6" x14ac:dyDescent="0.2">
      <c r="A117" s="676" t="str">
        <f>+VLOOKUP($B117,'Tên NL'!$B:$C,2,0)</f>
        <v>Mycofix Plus 5.0 (Singapore)</v>
      </c>
      <c r="B117" s="667" t="s">
        <v>1490</v>
      </c>
      <c r="C117" s="1204">
        <v>0.67700000000000005</v>
      </c>
      <c r="D117" s="825" t="str">
        <f t="shared" si="2"/>
        <v>MY</v>
      </c>
      <c r="E117" s="572">
        <f t="shared" si="3"/>
        <v>112.83333333333334</v>
      </c>
    </row>
    <row r="118" spans="1:6" x14ac:dyDescent="0.2">
      <c r="A118" s="676" t="str">
        <f>+VLOOKUP($B118,'Tên NL'!$B:$C,2,0)</f>
        <v>GalliPro Tect (Czech Republic)</v>
      </c>
      <c r="B118" s="667" t="s">
        <v>1615</v>
      </c>
      <c r="C118" s="1204">
        <v>0.65300000000000002</v>
      </c>
      <c r="D118" s="825" t="str">
        <f t="shared" si="2"/>
        <v>Ga</v>
      </c>
      <c r="E118" s="572">
        <f t="shared" si="3"/>
        <v>108.83333333333334</v>
      </c>
    </row>
    <row r="119" spans="1:6" x14ac:dyDescent="0.2">
      <c r="A119" s="676" t="str">
        <f>+VLOOKUP($B119,'Tên NL'!$B:$C,2,0)</f>
        <v>Premix 67SV</v>
      </c>
      <c r="B119" s="667" t="s">
        <v>1080</v>
      </c>
      <c r="C119" s="1204">
        <v>0.63800000000000001</v>
      </c>
      <c r="D119" s="825" t="str">
        <f t="shared" si="2"/>
        <v>67</v>
      </c>
      <c r="E119" s="572">
        <f t="shared" si="3"/>
        <v>106.33333333333333</v>
      </c>
    </row>
    <row r="120" spans="1:6" x14ac:dyDescent="0.2">
      <c r="A120" s="676" t="str">
        <f>+VLOOKUP($B120,'Tên NL'!$B:$C,2,0)</f>
        <v>Premix 10V</v>
      </c>
      <c r="B120" s="667" t="s">
        <v>1067</v>
      </c>
      <c r="C120" s="1204">
        <v>0.623</v>
      </c>
      <c r="D120" s="825" t="str">
        <f t="shared" si="2"/>
        <v>10</v>
      </c>
      <c r="E120" s="572">
        <f t="shared" si="3"/>
        <v>103.83333333333333</v>
      </c>
    </row>
    <row r="121" spans="1:6" x14ac:dyDescent="0.2">
      <c r="A121" s="676" t="str">
        <f>+VLOOKUP($B121,'Tên NL'!$B:$C,2,0)</f>
        <v>Amoxicillin 80%</v>
      </c>
      <c r="B121" s="667" t="s">
        <v>1673</v>
      </c>
      <c r="C121" s="1204">
        <v>0.54300000000000004</v>
      </c>
      <c r="D121" s="825" t="str">
        <f t="shared" si="2"/>
        <v>AM</v>
      </c>
      <c r="E121" s="572">
        <f t="shared" si="3"/>
        <v>90.500000000000014</v>
      </c>
    </row>
    <row r="122" spans="1:6" x14ac:dyDescent="0.2">
      <c r="A122" s="676" t="str">
        <f>+VLOOKUP($B122,'Tên NL'!$B:$C,2,0)</f>
        <v>ROVABIO ADVANCE T-FLEX 25(SG)</v>
      </c>
      <c r="B122" s="667" t="s">
        <v>1672</v>
      </c>
      <c r="C122" s="1204">
        <v>0.51</v>
      </c>
      <c r="D122" s="825" t="str">
        <f t="shared" si="2"/>
        <v>RO</v>
      </c>
      <c r="E122" s="572">
        <f t="shared" si="3"/>
        <v>85</v>
      </c>
    </row>
    <row r="123" spans="1:6" x14ac:dyDescent="0.2">
      <c r="A123" s="676" t="str">
        <f>+VLOOKUP($B123,'Tên NL'!$B:$C,2,0)</f>
        <v>DH VITAMIN PREMIX (ViÖt Nam)</v>
      </c>
      <c r="B123" s="667" t="s">
        <v>1767</v>
      </c>
      <c r="C123" s="1204">
        <v>0.44400000000000001</v>
      </c>
      <c r="D123" s="825" t="str">
        <f t="shared" si="2"/>
        <v>VN</v>
      </c>
      <c r="E123" s="572">
        <f t="shared" si="3"/>
        <v>74</v>
      </c>
      <c r="F123" s="678"/>
    </row>
    <row r="124" spans="1:6" x14ac:dyDescent="0.2">
      <c r="A124" s="676" t="str">
        <f>+VLOOKUP($B124,'Tên NL'!$B:$C,2,0)</f>
        <v>Premix MC-0697</v>
      </c>
      <c r="B124" s="667" t="s">
        <v>1070</v>
      </c>
      <c r="C124" s="1204">
        <v>0.39400000000000002</v>
      </c>
      <c r="D124" s="825" t="str">
        <f t="shared" si="2"/>
        <v>MC</v>
      </c>
      <c r="E124" s="572">
        <f t="shared" si="3"/>
        <v>65.666666666666671</v>
      </c>
    </row>
    <row r="125" spans="1:6" x14ac:dyDescent="0.2">
      <c r="A125" s="676" t="str">
        <f>+VLOOKUP($B125,'Tên NL'!$B:$C,2,0)</f>
        <v>L-Arginine (China)</v>
      </c>
      <c r="B125" s="667" t="s">
        <v>1263</v>
      </c>
      <c r="C125" s="1204">
        <v>0.38200000000000001</v>
      </c>
      <c r="D125" s="825" t="str">
        <f t="shared" si="2"/>
        <v>L-</v>
      </c>
      <c r="E125" s="572">
        <f t="shared" si="3"/>
        <v>63.666666666666664</v>
      </c>
    </row>
    <row r="126" spans="1:6" x14ac:dyDescent="0.2">
      <c r="A126" s="676" t="str">
        <f>+VLOOKUP($B126,'Tên NL'!$B:$C,2,0)</f>
        <v>Leader Yellow (China)</v>
      </c>
      <c r="B126" s="667" t="s">
        <v>1066</v>
      </c>
      <c r="C126" s="1204">
        <v>0.38</v>
      </c>
      <c r="D126" s="825" t="str">
        <f t="shared" si="2"/>
        <v>MA</v>
      </c>
      <c r="E126" s="572">
        <f t="shared" si="3"/>
        <v>63.333333333333336</v>
      </c>
    </row>
    <row r="127" spans="1:6" x14ac:dyDescent="0.2">
      <c r="A127" s="676" t="str">
        <f>+VLOOKUP($B127,'Tên NL'!$B:$C,2,0)</f>
        <v>Pigortek 659 (France)</v>
      </c>
      <c r="B127" s="667" t="s">
        <v>773</v>
      </c>
      <c r="C127" s="1204">
        <v>0.371</v>
      </c>
      <c r="D127" s="825" t="str">
        <f t="shared" si="2"/>
        <v>PI</v>
      </c>
      <c r="E127" s="572">
        <f t="shared" si="3"/>
        <v>61.833333333333329</v>
      </c>
    </row>
    <row r="128" spans="1:6" x14ac:dyDescent="0.2">
      <c r="A128" s="676" t="str">
        <f>+VLOOKUP($B128,'Tên NL'!$B:$C,2,0)</f>
        <v>Premix 66V</v>
      </c>
      <c r="B128" s="667" t="s">
        <v>1091</v>
      </c>
      <c r="C128" s="1204">
        <v>0.33900000000000002</v>
      </c>
      <c r="D128" s="825" t="str">
        <f t="shared" si="2"/>
        <v>PX</v>
      </c>
      <c r="E128" s="572">
        <f t="shared" si="3"/>
        <v>56.5</v>
      </c>
    </row>
    <row r="129" spans="1:5" x14ac:dyDescent="0.2">
      <c r="A129" s="676" t="str">
        <f>+VLOOKUP($B129,'Tên NL'!$B:$C,2,0)</f>
        <v>Stearolac 90 (Malaysia)</v>
      </c>
      <c r="B129" s="667" t="s">
        <v>1867</v>
      </c>
      <c r="C129" s="1204">
        <v>0.28000000000000003</v>
      </c>
      <c r="D129" s="825" t="str">
        <f t="shared" si="2"/>
        <v>St</v>
      </c>
      <c r="E129" s="572">
        <f t="shared" si="3"/>
        <v>46.666666666666671</v>
      </c>
    </row>
    <row r="130" spans="1:5" x14ac:dyDescent="0.2">
      <c r="A130" s="676" t="str">
        <f>+VLOOKUP($B130,'Tên NL'!$B:$C,2,0)</f>
        <v>Premix MC-0697B</v>
      </c>
      <c r="B130" s="667" t="s">
        <v>1079</v>
      </c>
      <c r="C130" s="1204">
        <v>0.26400000000000001</v>
      </c>
      <c r="D130" s="825" t="str">
        <f t="shared" si="2"/>
        <v>MC</v>
      </c>
      <c r="E130" s="572">
        <f t="shared" si="3"/>
        <v>44.000000000000007</v>
      </c>
    </row>
    <row r="131" spans="1:5" x14ac:dyDescent="0.2">
      <c r="A131" s="676" t="str">
        <f>+VLOOKUP($B131,'Tên NL'!$B:$C,2,0)</f>
        <v>Premix 48V</v>
      </c>
      <c r="B131" s="667" t="s">
        <v>1084</v>
      </c>
      <c r="C131" s="1204">
        <v>0.25900000000000001</v>
      </c>
      <c r="D131" s="825" t="str">
        <f t="shared" si="2"/>
        <v>48</v>
      </c>
      <c r="E131" s="572">
        <f t="shared" si="3"/>
        <v>43.166666666666664</v>
      </c>
    </row>
    <row r="132" spans="1:5" x14ac:dyDescent="0.2">
      <c r="A132" s="676" t="str">
        <f>+VLOOKUP($B132,'Tên NL'!$B:$C,2,0)</f>
        <v>ROVABIO# PHY PLUS 10000T (SG)</v>
      </c>
      <c r="B132" s="667" t="s">
        <v>1662</v>
      </c>
      <c r="C132" s="1204">
        <v>0.255</v>
      </c>
      <c r="D132" s="825" t="str">
        <f t="shared" si="2"/>
        <v>Ro</v>
      </c>
      <c r="E132" s="572">
        <f t="shared" si="3"/>
        <v>42.5</v>
      </c>
    </row>
    <row r="133" spans="1:5" x14ac:dyDescent="0.2">
      <c r="A133" s="676" t="str">
        <f>+VLOOKUP($B133,'Tên NL'!$B:$C,2,0)</f>
        <v>Tilmovet 20% Granular Premix (Bulgaria)</v>
      </c>
      <c r="B133" s="667" t="s">
        <v>1968</v>
      </c>
      <c r="C133" s="1204">
        <v>0.22600000000000001</v>
      </c>
      <c r="D133" s="825" t="str">
        <f t="shared" si="2"/>
        <v>TI</v>
      </c>
      <c r="E133" s="572">
        <f t="shared" si="3"/>
        <v>37.666666666666664</v>
      </c>
    </row>
    <row r="134" spans="1:5" x14ac:dyDescent="0.2">
      <c r="A134" s="676" t="str">
        <f>+VLOOKUP($B134,'Tên NL'!$B:$C,2,0)</f>
        <v>Microplex 1000ppm(USA)</v>
      </c>
      <c r="B134" s="667" t="s">
        <v>1083</v>
      </c>
      <c r="C134" s="1204">
        <v>0.20599999999999999</v>
      </c>
      <c r="D134" s="825" t="str">
        <f t="shared" si="2"/>
        <v>MI</v>
      </c>
      <c r="E134" s="572">
        <f t="shared" si="3"/>
        <v>34.333333333333336</v>
      </c>
    </row>
    <row r="135" spans="1:5" x14ac:dyDescent="0.2">
      <c r="A135" s="676" t="str">
        <f>+VLOOKUP($B135,'Tên NL'!$B:$C,2,0)</f>
        <v>Roxolin</v>
      </c>
      <c r="B135" s="667" t="s">
        <v>1075</v>
      </c>
      <c r="C135" s="1204">
        <v>0.19700000000000001</v>
      </c>
      <c r="D135" s="825" t="str">
        <f t="shared" ref="D135:D198" si="4">LEFT(B135,2)</f>
        <v>QU</v>
      </c>
      <c r="E135" s="572">
        <f t="shared" ref="E135:E198" si="5">C135/$D$4*1000</f>
        <v>32.833333333333336</v>
      </c>
    </row>
    <row r="136" spans="1:5" x14ac:dyDescent="0.2">
      <c r="A136" s="676" t="str">
        <f>+VLOOKUP($B136,'Tên NL'!$B:$C,2,0)</f>
        <v>Pigfen 40mg/g (Bulgaria)</v>
      </c>
      <c r="B136" s="667" t="s">
        <v>1088</v>
      </c>
      <c r="C136" s="1204">
        <v>0.192</v>
      </c>
      <c r="D136" s="825" t="str">
        <f t="shared" si="4"/>
        <v>PI</v>
      </c>
      <c r="E136" s="572">
        <f t="shared" si="5"/>
        <v>32</v>
      </c>
    </row>
    <row r="137" spans="1:5" x14ac:dyDescent="0.2">
      <c r="A137" s="676" t="str">
        <f>+VLOOKUP($B137,'Tên NL'!$B:$C,2,0)</f>
        <v>Axtra# PRIME 501 T (Singapore)</v>
      </c>
      <c r="B137" s="667" t="s">
        <v>1814</v>
      </c>
      <c r="C137" s="1204">
        <v>0.184</v>
      </c>
      <c r="D137" s="825" t="str">
        <f t="shared" si="4"/>
        <v>AX</v>
      </c>
      <c r="E137" s="572">
        <f t="shared" si="5"/>
        <v>30.666666666666664</v>
      </c>
    </row>
    <row r="138" spans="1:5" x14ac:dyDescent="0.2">
      <c r="A138" s="676" t="str">
        <f>+VLOOKUP($B138,'Tên NL'!$B:$C,2,0)</f>
        <v>ALLPLEX B (USA)</v>
      </c>
      <c r="B138" s="667" t="s">
        <v>1081</v>
      </c>
      <c r="C138" s="1204">
        <v>0.16900000000000001</v>
      </c>
      <c r="D138" s="825" t="str">
        <f t="shared" si="4"/>
        <v>AL</v>
      </c>
      <c r="E138" s="572">
        <f t="shared" si="5"/>
        <v>28.166666666666671</v>
      </c>
    </row>
    <row r="139" spans="1:5" x14ac:dyDescent="0.2">
      <c r="A139" s="676" t="str">
        <f>+VLOOKUP($B139,'Tên NL'!$B:$C,2,0)</f>
        <v>Pep 125</v>
      </c>
      <c r="B139" s="667" t="s">
        <v>1094</v>
      </c>
      <c r="C139" s="1204">
        <v>0.16</v>
      </c>
      <c r="D139" s="825" t="str">
        <f t="shared" si="4"/>
        <v>BI</v>
      </c>
      <c r="E139" s="572">
        <f t="shared" si="5"/>
        <v>26.666666666666668</v>
      </c>
    </row>
    <row r="140" spans="1:5" x14ac:dyDescent="0.2">
      <c r="A140" s="676" t="str">
        <f>+VLOOKUP($B140,'Tên NL'!$B:$C,2,0)</f>
        <v>CIBENZA DP100 (USA)</v>
      </c>
      <c r="B140" s="667" t="s">
        <v>1617</v>
      </c>
      <c r="C140" s="1204">
        <v>0.158</v>
      </c>
      <c r="D140" s="825" t="str">
        <f t="shared" si="4"/>
        <v>CI</v>
      </c>
      <c r="E140" s="572">
        <f t="shared" si="5"/>
        <v>26.333333333333332</v>
      </c>
    </row>
    <row r="141" spans="1:5" x14ac:dyDescent="0.2">
      <c r="A141" s="676" t="str">
        <f>+VLOOKUP($B141,'Tên NL'!$B:$C,2,0)</f>
        <v>Sucram (Switzerland)</v>
      </c>
      <c r="B141" s="667" t="s">
        <v>1815</v>
      </c>
      <c r="C141" s="1204">
        <v>0.151</v>
      </c>
      <c r="D141" s="825" t="str">
        <f t="shared" si="4"/>
        <v>SU</v>
      </c>
      <c r="E141" s="572">
        <f t="shared" si="5"/>
        <v>25.166666666666668</v>
      </c>
    </row>
    <row r="142" spans="1:5" x14ac:dyDescent="0.2">
      <c r="A142" s="676" t="str">
        <f>+VLOOKUP($B142,'Tên NL'!$B:$C,2,0)</f>
        <v>Premix 62PV</v>
      </c>
      <c r="B142" s="667" t="s">
        <v>1098</v>
      </c>
      <c r="C142" s="1204">
        <v>0.14000000000000001</v>
      </c>
      <c r="D142" s="825" t="str">
        <f t="shared" si="4"/>
        <v>PX</v>
      </c>
      <c r="E142" s="572">
        <f t="shared" si="5"/>
        <v>23.333333333333336</v>
      </c>
    </row>
    <row r="143" spans="1:5" x14ac:dyDescent="0.2">
      <c r="A143" s="676" t="str">
        <f>+VLOOKUP($B143,'Tên NL'!$B:$C,2,0)</f>
        <v>Lysoforte TM Brand Dry (Singapore)</v>
      </c>
      <c r="B143" s="667" t="s">
        <v>1868</v>
      </c>
      <c r="C143" s="1204">
        <v>0.13200000000000001</v>
      </c>
      <c r="D143" s="825" t="str">
        <f t="shared" si="4"/>
        <v>LY</v>
      </c>
      <c r="E143" s="572">
        <f t="shared" si="5"/>
        <v>22.000000000000004</v>
      </c>
    </row>
    <row r="144" spans="1:5" x14ac:dyDescent="0.2">
      <c r="A144" s="676" t="str">
        <f>+VLOOKUP($B144,'Tên NL'!$B:$C,2,0)</f>
        <v>Premix 572S</v>
      </c>
      <c r="B144" s="667" t="s">
        <v>1090</v>
      </c>
      <c r="C144" s="1204">
        <v>0.11799999999999999</v>
      </c>
      <c r="D144" s="825" t="str">
        <f t="shared" si="4"/>
        <v>57</v>
      </c>
      <c r="E144" s="572">
        <f t="shared" si="5"/>
        <v>19.666666666666664</v>
      </c>
    </row>
    <row r="145" spans="1:5" x14ac:dyDescent="0.2">
      <c r="A145" s="676" t="str">
        <f>+VLOOKUP($B145,'Tên NL'!$B:$C,2,0)</f>
        <v>Premix 21V</v>
      </c>
      <c r="B145" s="667" t="s">
        <v>1082</v>
      </c>
      <c r="C145" s="1204">
        <v>0.11600000000000001</v>
      </c>
      <c r="D145" s="825" t="str">
        <f t="shared" si="4"/>
        <v>21</v>
      </c>
      <c r="E145" s="572">
        <f t="shared" si="5"/>
        <v>19.333333333333336</v>
      </c>
    </row>
    <row r="146" spans="1:5" x14ac:dyDescent="0.2">
      <c r="A146" s="676" t="str">
        <f>+VLOOKUP($B146,'Tên NL'!$B:$C,2,0)</f>
        <v>Levucell sb 10 me titan (Poland)</v>
      </c>
      <c r="B146" s="667" t="s">
        <v>1498</v>
      </c>
      <c r="C146" s="1204">
        <v>0.10199999999999999</v>
      </c>
      <c r="D146" s="825" t="str">
        <f t="shared" si="4"/>
        <v>LE</v>
      </c>
      <c r="E146" s="572">
        <f t="shared" si="5"/>
        <v>16.999999999999996</v>
      </c>
    </row>
    <row r="147" spans="1:5" x14ac:dyDescent="0.2">
      <c r="A147" s="676" t="str">
        <f>+VLOOKUP($B147,'Tên NL'!$B:$C,2,0)</f>
        <v>TARTRAZINE 50% content (India)</v>
      </c>
      <c r="B147" s="667" t="s">
        <v>1112</v>
      </c>
      <c r="C147" s="1204">
        <v>9.1999999999999998E-2</v>
      </c>
      <c r="D147" s="825" t="str">
        <f t="shared" si="4"/>
        <v>TA</v>
      </c>
      <c r="E147" s="572">
        <f t="shared" si="5"/>
        <v>15.333333333333332</v>
      </c>
    </row>
    <row r="148" spans="1:5" x14ac:dyDescent="0.2">
      <c r="A148" s="676" t="str">
        <f>+VLOOKUP($B148,'Tên NL'!$B:$C,2,0)</f>
        <v>Sacox 120 (Bulgaria)</v>
      </c>
      <c r="B148" s="667" t="s">
        <v>1338</v>
      </c>
      <c r="C148" s="1204">
        <v>9.0999999999999998E-2</v>
      </c>
      <c r="D148" s="825" t="str">
        <f t="shared" si="4"/>
        <v>SA</v>
      </c>
      <c r="E148" s="572">
        <f t="shared" si="5"/>
        <v>15.166666666666666</v>
      </c>
    </row>
    <row r="149" spans="1:5" x14ac:dyDescent="0.2">
      <c r="A149" s="676" t="str">
        <f>+VLOOKUP($B149,'Tên NL'!$B:$C,2,0)</f>
        <v>Premix 582</v>
      </c>
      <c r="B149" s="667" t="s">
        <v>1092</v>
      </c>
      <c r="C149" s="1204">
        <v>8.7999999999999995E-2</v>
      </c>
      <c r="D149" s="825" t="str">
        <f t="shared" si="4"/>
        <v>PX</v>
      </c>
      <c r="E149" s="572">
        <f t="shared" si="5"/>
        <v>14.666666666666666</v>
      </c>
    </row>
    <row r="150" spans="1:5" x14ac:dyDescent="0.2">
      <c r="A150" s="676" t="str">
        <f>+VLOOKUP($B150,'Tên NL'!$B:$C,2,0)</f>
        <v>Hizox (France)</v>
      </c>
      <c r="B150" s="667" t="s">
        <v>1087</v>
      </c>
      <c r="C150" s="1204">
        <v>8.2000000000000003E-2</v>
      </c>
      <c r="D150" s="825" t="str">
        <f t="shared" si="4"/>
        <v>Hi</v>
      </c>
      <c r="E150" s="572">
        <f t="shared" si="5"/>
        <v>13.666666666666668</v>
      </c>
    </row>
    <row r="151" spans="1:5" x14ac:dyDescent="0.2">
      <c r="A151" s="676" t="str">
        <f>+VLOOKUP($B151,'Tên NL'!$B:$C,2,0)</f>
        <v>Phytocee Powder (India)</v>
      </c>
      <c r="B151" s="667" t="s">
        <v>1618</v>
      </c>
      <c r="C151" s="1204">
        <v>6.8000000000000005E-2</v>
      </c>
      <c r="D151" s="825" t="str">
        <f t="shared" si="4"/>
        <v>PH</v>
      </c>
      <c r="E151" s="572">
        <f t="shared" si="5"/>
        <v>11.333333333333334</v>
      </c>
    </row>
    <row r="152" spans="1:5" x14ac:dyDescent="0.2">
      <c r="A152" s="676" t="str">
        <f>+VLOOKUP($B152,'Tên NL'!$B:$C,2,0)</f>
        <v>Premix 25V</v>
      </c>
      <c r="B152" s="667" t="s">
        <v>1105</v>
      </c>
      <c r="C152" s="1204">
        <v>6.6000000000000003E-2</v>
      </c>
      <c r="D152" s="825" t="str">
        <f t="shared" si="4"/>
        <v>PX</v>
      </c>
      <c r="E152" s="572">
        <f t="shared" si="5"/>
        <v>11.000000000000002</v>
      </c>
    </row>
    <row r="153" spans="1:5" x14ac:dyDescent="0.2">
      <c r="A153" s="676" t="str">
        <f>+VLOOKUP($B153,'Tên NL'!$B:$C,2,0)</f>
        <v>Diamond V Original XPC Ultra (USA)</v>
      </c>
      <c r="B153" s="667" t="s">
        <v>1766</v>
      </c>
      <c r="C153" s="1204">
        <v>6.3E-2</v>
      </c>
      <c r="D153" s="825" t="str">
        <f t="shared" si="4"/>
        <v>Or</v>
      </c>
      <c r="E153" s="572">
        <f t="shared" si="5"/>
        <v>10.5</v>
      </c>
    </row>
    <row r="154" spans="1:5" x14ac:dyDescent="0.2">
      <c r="A154" s="676" t="str">
        <f>+VLOOKUP($B154,'Tên NL'!$B:$C,2,0)</f>
        <v>Lucantin Red 10% NXT (Germany)</v>
      </c>
      <c r="B154" s="667" t="s">
        <v>1364</v>
      </c>
      <c r="C154" s="1204">
        <v>5.6000000000000001E-2</v>
      </c>
      <c r="D154" s="825" t="str">
        <f t="shared" si="4"/>
        <v>LU</v>
      </c>
      <c r="E154" s="572">
        <f t="shared" si="5"/>
        <v>9.3333333333333339</v>
      </c>
    </row>
    <row r="155" spans="1:5" x14ac:dyDescent="0.2">
      <c r="A155" s="676" t="str">
        <f>+VLOOKUP($B155,'Tên NL'!$B:$C,2,0)</f>
        <v>Mycostatin-20</v>
      </c>
      <c r="B155" s="667" t="s">
        <v>1096</v>
      </c>
      <c r="C155" s="1204">
        <v>5.5E-2</v>
      </c>
      <c r="D155" s="825" t="str">
        <f t="shared" si="4"/>
        <v>MY</v>
      </c>
      <c r="E155" s="572">
        <f t="shared" si="5"/>
        <v>9.1666666666666661</v>
      </c>
    </row>
    <row r="156" spans="1:5" x14ac:dyDescent="0.2">
      <c r="A156" s="676" t="str">
        <f>+VLOOKUP($B156,'Tên NL'!$B:$C,2,0)</f>
        <v>Vitamin E 50</v>
      </c>
      <c r="B156" s="667" t="s">
        <v>1770</v>
      </c>
      <c r="C156" s="1204">
        <v>4.4999999999999998E-2</v>
      </c>
      <c r="D156" s="825" t="str">
        <f t="shared" si="4"/>
        <v>Vi</v>
      </c>
      <c r="E156" s="572">
        <f t="shared" si="5"/>
        <v>7.5</v>
      </c>
    </row>
    <row r="157" spans="1:5" x14ac:dyDescent="0.2">
      <c r="A157" s="676" t="str">
        <f>+VLOOKUP($B157,'Tên NL'!$B:$C,2,0)</f>
        <v>Premix 67V</v>
      </c>
      <c r="B157" s="667" t="s">
        <v>1099</v>
      </c>
      <c r="C157" s="1204">
        <v>0.04</v>
      </c>
      <c r="D157" s="825" t="str">
        <f t="shared" si="4"/>
        <v>PX</v>
      </c>
      <c r="E157" s="572">
        <f t="shared" si="5"/>
        <v>6.666666666666667</v>
      </c>
    </row>
    <row r="158" spans="1:5" x14ac:dyDescent="0.2">
      <c r="A158" s="676" t="str">
        <f>+VLOOKUP($B158,'Tên NL'!$B:$C,2,0)</f>
        <v>MAXIBAN</v>
      </c>
      <c r="B158" s="667" t="s">
        <v>1120</v>
      </c>
      <c r="C158" s="1204">
        <v>0.04</v>
      </c>
      <c r="D158" s="825" t="str">
        <f t="shared" si="4"/>
        <v>MA</v>
      </c>
      <c r="E158" s="572">
        <f t="shared" si="5"/>
        <v>6.666666666666667</v>
      </c>
    </row>
    <row r="159" spans="1:5" x14ac:dyDescent="0.2">
      <c r="A159" s="676" t="str">
        <f>+VLOOKUP($B159,'Tên NL'!$B:$C,2,0)</f>
        <v>BIOTIN 2%</v>
      </c>
      <c r="B159" s="667" t="s">
        <v>1771</v>
      </c>
      <c r="C159" s="1204">
        <v>3.6999999999999998E-2</v>
      </c>
      <c r="D159" s="825" t="str">
        <f t="shared" si="4"/>
        <v>BI</v>
      </c>
      <c r="E159" s="572">
        <f t="shared" si="5"/>
        <v>6.166666666666667</v>
      </c>
    </row>
    <row r="160" spans="1:5" x14ac:dyDescent="0.2">
      <c r="A160" s="676" t="str">
        <f>+VLOOKUP($B160,'Tên NL'!$B:$C,2,0)</f>
        <v>Elancoban 200 Premix (Monensin)</v>
      </c>
      <c r="B160" s="667" t="s">
        <v>1530</v>
      </c>
      <c r="C160" s="1204">
        <v>3.3000000000000002E-2</v>
      </c>
      <c r="D160" s="825" t="str">
        <f t="shared" si="4"/>
        <v>EL</v>
      </c>
      <c r="E160" s="572">
        <f t="shared" si="5"/>
        <v>5.5000000000000009</v>
      </c>
    </row>
    <row r="161" spans="1:5" x14ac:dyDescent="0.2">
      <c r="A161" s="676" t="str">
        <f>+VLOOKUP($B161,'Tên NL'!$B:$C,2,0)</f>
        <v>Premix 571</v>
      </c>
      <c r="B161" s="667" t="s">
        <v>1103</v>
      </c>
      <c r="C161" s="1204">
        <v>3.2000000000000001E-2</v>
      </c>
      <c r="D161" s="825" t="str">
        <f t="shared" si="4"/>
        <v>57</v>
      </c>
      <c r="E161" s="572">
        <f t="shared" si="5"/>
        <v>5.333333333333333</v>
      </c>
    </row>
    <row r="162" spans="1:5" x14ac:dyDescent="0.2">
      <c r="A162" s="676" t="str">
        <f>+VLOOKUP($B162,'Tên NL'!$B:$C,2,0)</f>
        <v xml:space="preserve"> Salcurb RME Liquid (Singapore)</v>
      </c>
      <c r="B162" s="667" t="s">
        <v>1063</v>
      </c>
      <c r="C162" s="1204">
        <v>2.4E-2</v>
      </c>
      <c r="D162" s="825" t="str">
        <f t="shared" si="4"/>
        <v>SA</v>
      </c>
      <c r="E162" s="572">
        <f t="shared" si="5"/>
        <v>4</v>
      </c>
    </row>
    <row r="163" spans="1:5" x14ac:dyDescent="0.2">
      <c r="A163" s="676" t="str">
        <f>+VLOOKUP($B163,'Tên NL'!$B:$C,2,0)</f>
        <v>Premix MC0697G</v>
      </c>
      <c r="B163" s="667" t="s">
        <v>1107</v>
      </c>
      <c r="C163" s="1204">
        <v>2.4E-2</v>
      </c>
      <c r="D163" s="825" t="str">
        <f t="shared" si="4"/>
        <v>MC</v>
      </c>
      <c r="E163" s="572">
        <f t="shared" si="5"/>
        <v>4</v>
      </c>
    </row>
    <row r="164" spans="1:5" x14ac:dyDescent="0.2">
      <c r="A164" s="676" t="str">
        <f>+VLOOKUP($B164,'Tên NL'!$B:$C,2,0)</f>
        <v>Flavomycin 80</v>
      </c>
      <c r="B164" s="667" t="s">
        <v>1144</v>
      </c>
      <c r="C164" s="1204">
        <v>2.3E-2</v>
      </c>
      <c r="D164" s="825" t="str">
        <f t="shared" si="4"/>
        <v>FL</v>
      </c>
      <c r="E164" s="572">
        <f t="shared" si="5"/>
        <v>3.833333333333333</v>
      </c>
    </row>
    <row r="165" spans="1:5" x14ac:dyDescent="0.2">
      <c r="A165" s="676" t="str">
        <f>+VLOOKUP($B165,'Tên NL'!$B:$C,2,0)</f>
        <v>Premix 62V</v>
      </c>
      <c r="B165" s="667" t="s">
        <v>1097</v>
      </c>
      <c r="C165" s="1204">
        <v>1.6E-2</v>
      </c>
      <c r="D165" s="825" t="str">
        <f t="shared" si="4"/>
        <v>PX</v>
      </c>
      <c r="E165" s="572">
        <f t="shared" si="5"/>
        <v>2.6666666666666665</v>
      </c>
    </row>
    <row r="166" spans="1:5" x14ac:dyDescent="0.2">
      <c r="A166" s="676" t="str">
        <f>+VLOOKUP($B166,'Tên NL'!$B:$C,2,0)</f>
        <v>Premix 572G</v>
      </c>
      <c r="B166" s="667" t="s">
        <v>1106</v>
      </c>
      <c r="C166" s="1204">
        <v>1.6E-2</v>
      </c>
      <c r="D166" s="825" t="str">
        <f t="shared" si="4"/>
        <v>PM</v>
      </c>
      <c r="E166" s="572">
        <f t="shared" si="5"/>
        <v>2.6666666666666665</v>
      </c>
    </row>
    <row r="167" spans="1:5" x14ac:dyDescent="0.2">
      <c r="A167" s="676" t="str">
        <f>+VLOOKUP($B167,'Tên NL'!$B:$C,2,0)</f>
        <v>Kemzin 2000 Dry (Singapore)</v>
      </c>
      <c r="B167" s="667" t="s">
        <v>1787</v>
      </c>
      <c r="C167" s="1204">
        <v>1.2E-2</v>
      </c>
      <c r="D167" s="825" t="str">
        <f t="shared" si="4"/>
        <v>Ke</v>
      </c>
      <c r="E167" s="572">
        <f t="shared" si="5"/>
        <v>2</v>
      </c>
    </row>
    <row r="168" spans="1:5" x14ac:dyDescent="0.2">
      <c r="A168" s="676" t="str">
        <f>+VLOOKUP($B168,'Tên NL'!$B:$C,2,0)</f>
        <v>Toxfin Dry (Singapore)</v>
      </c>
      <c r="B168" s="667" t="s">
        <v>1869</v>
      </c>
      <c r="C168" s="1204">
        <v>8.0000000000000002E-3</v>
      </c>
      <c r="D168" s="825" t="str">
        <f t="shared" si="4"/>
        <v>TO</v>
      </c>
      <c r="E168" s="572">
        <f t="shared" si="5"/>
        <v>1.3333333333333333</v>
      </c>
    </row>
    <row r="169" spans="1:5" x14ac:dyDescent="0.2">
      <c r="A169" s="676" t="str">
        <f>+VLOOKUP($B169,'Tên NL'!$B:$C,2,0)</f>
        <v>Actisaf</v>
      </c>
      <c r="B169" s="667" t="s">
        <v>1076</v>
      </c>
      <c r="C169" s="1204">
        <v>2E-3</v>
      </c>
      <c r="D169" s="825" t="str">
        <f t="shared" si="4"/>
        <v>AC</v>
      </c>
      <c r="E169" s="572">
        <f t="shared" si="5"/>
        <v>0.33333333333333331</v>
      </c>
    </row>
    <row r="170" spans="1:5" x14ac:dyDescent="0.2">
      <c r="A170" s="676" t="e">
        <f>+VLOOKUP($B170,'Tên NL'!$B:$C,2,0)</f>
        <v>#N/A</v>
      </c>
      <c r="C170" s="1995">
        <v>11546</v>
      </c>
      <c r="D170" s="825" t="str">
        <f t="shared" si="4"/>
        <v/>
      </c>
      <c r="E170" s="572">
        <f t="shared" si="5"/>
        <v>1924333.3333333333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M257" zoomScale="87" zoomScaleNormal="87" workbookViewId="0">
      <selection activeCell="Z276" sqref="Z276:Z277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9349449.0399999991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1998</v>
      </c>
      <c r="B10" s="666" t="s">
        <v>1999</v>
      </c>
      <c r="C10" s="666" t="s">
        <v>2000</v>
      </c>
      <c r="D10" s="666" t="s">
        <v>2001</v>
      </c>
      <c r="E10" s="666" t="s">
        <v>2002</v>
      </c>
      <c r="F10" s="666" t="s">
        <v>2003</v>
      </c>
      <c r="G10" s="666" t="s">
        <v>2004</v>
      </c>
      <c r="H10" s="666" t="s">
        <v>2005</v>
      </c>
      <c r="I10" s="666" t="s">
        <v>2000</v>
      </c>
      <c r="J10" s="666" t="s">
        <v>2001</v>
      </c>
      <c r="K10" s="666" t="s">
        <v>2002</v>
      </c>
      <c r="L10" s="666" t="s">
        <v>2006</v>
      </c>
      <c r="M10" s="666" t="s">
        <v>2003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2007</v>
      </c>
      <c r="B11" s="666" t="s">
        <v>35</v>
      </c>
      <c r="C11" s="666"/>
      <c r="D11" s="666"/>
      <c r="E11" s="1996">
        <v>175</v>
      </c>
      <c r="F11" s="1996">
        <v>0</v>
      </c>
      <c r="G11" s="1996">
        <v>210</v>
      </c>
      <c r="H11" s="1996">
        <v>0</v>
      </c>
      <c r="I11" s="1996">
        <v>0</v>
      </c>
      <c r="J11" s="1996">
        <v>0</v>
      </c>
      <c r="K11" s="1996">
        <v>70</v>
      </c>
      <c r="L11" s="1996">
        <v>0</v>
      </c>
      <c r="M11" s="1996">
        <v>0</v>
      </c>
      <c r="N11" s="1996">
        <v>0</v>
      </c>
      <c r="O11" s="1996">
        <v>0</v>
      </c>
      <c r="P11" s="1996">
        <v>0</v>
      </c>
      <c r="Q11" s="1996">
        <v>0</v>
      </c>
      <c r="R11" s="1997">
        <v>315</v>
      </c>
      <c r="S11" s="666" t="s">
        <v>1674</v>
      </c>
      <c r="T11" s="1998">
        <v>6523.78</v>
      </c>
      <c r="U11" s="1998">
        <v>0</v>
      </c>
      <c r="V11" s="1998">
        <v>6300</v>
      </c>
      <c r="W11" s="1998">
        <v>0</v>
      </c>
      <c r="X11" s="1998">
        <v>0</v>
      </c>
      <c r="Y11" s="1998">
        <v>0</v>
      </c>
      <c r="Z11" s="1998">
        <v>2641.76</v>
      </c>
      <c r="AA11" s="1998">
        <v>0</v>
      </c>
      <c r="AB11" s="1998">
        <v>0</v>
      </c>
      <c r="AC11" s="1998">
        <v>0</v>
      </c>
      <c r="AD11" s="1998">
        <v>0</v>
      </c>
      <c r="AE11" s="1998">
        <v>0</v>
      </c>
      <c r="AF11" s="1998">
        <v>0</v>
      </c>
      <c r="AG11" s="1999">
        <v>10182.02</v>
      </c>
    </row>
    <row r="12" spans="1:34" x14ac:dyDescent="0.2">
      <c r="A12" s="666" t="s">
        <v>2008</v>
      </c>
      <c r="B12" s="666" t="s">
        <v>35</v>
      </c>
      <c r="C12" s="666"/>
      <c r="D12" s="666"/>
      <c r="E12" s="1996">
        <v>259</v>
      </c>
      <c r="F12" s="1996">
        <v>0</v>
      </c>
      <c r="G12" s="1996">
        <v>0</v>
      </c>
      <c r="H12" s="1996">
        <v>0</v>
      </c>
      <c r="I12" s="1996">
        <v>0</v>
      </c>
      <c r="J12" s="1996">
        <v>0</v>
      </c>
      <c r="K12" s="1996">
        <v>40</v>
      </c>
      <c r="L12" s="1996">
        <v>0</v>
      </c>
      <c r="M12" s="1996">
        <v>0</v>
      </c>
      <c r="N12" s="1996">
        <v>0</v>
      </c>
      <c r="O12" s="1996">
        <v>0</v>
      </c>
      <c r="P12" s="1996">
        <v>0</v>
      </c>
      <c r="Q12" s="1996">
        <v>0</v>
      </c>
      <c r="R12" s="1997">
        <v>219</v>
      </c>
      <c r="S12" s="666" t="s">
        <v>1871</v>
      </c>
      <c r="T12" s="1998">
        <v>6496</v>
      </c>
      <c r="U12" s="1998">
        <v>0</v>
      </c>
      <c r="V12" s="1998">
        <v>0</v>
      </c>
      <c r="W12" s="1998">
        <v>0</v>
      </c>
      <c r="X12" s="1998">
        <v>0</v>
      </c>
      <c r="Y12" s="1998">
        <v>0</v>
      </c>
      <c r="Z12" s="1998">
        <v>1008</v>
      </c>
      <c r="AA12" s="1998">
        <v>0</v>
      </c>
      <c r="AB12" s="1998">
        <v>0</v>
      </c>
      <c r="AC12" s="1998">
        <v>0</v>
      </c>
      <c r="AD12" s="1998">
        <v>0</v>
      </c>
      <c r="AE12" s="1998">
        <v>0</v>
      </c>
      <c r="AF12" s="1998">
        <v>0</v>
      </c>
      <c r="AG12" s="1999">
        <v>5488</v>
      </c>
    </row>
    <row r="13" spans="1:34" ht="15" customHeight="1" x14ac:dyDescent="0.2">
      <c r="A13" s="666" t="s">
        <v>2009</v>
      </c>
      <c r="B13" s="666" t="s">
        <v>35</v>
      </c>
      <c r="C13" s="666"/>
      <c r="D13" s="666"/>
      <c r="E13" s="1996">
        <v>160</v>
      </c>
      <c r="F13" s="1996">
        <v>0</v>
      </c>
      <c r="G13" s="1996">
        <v>70</v>
      </c>
      <c r="H13" s="1996">
        <v>0</v>
      </c>
      <c r="I13" s="1996">
        <v>0</v>
      </c>
      <c r="J13" s="1996">
        <v>0</v>
      </c>
      <c r="K13" s="1996">
        <v>70</v>
      </c>
      <c r="L13" s="1996">
        <v>0</v>
      </c>
      <c r="M13" s="1996">
        <v>0</v>
      </c>
      <c r="N13" s="1996">
        <v>0</v>
      </c>
      <c r="O13" s="1996">
        <v>0</v>
      </c>
      <c r="P13" s="1996">
        <v>0</v>
      </c>
      <c r="Q13" s="1996">
        <v>0</v>
      </c>
      <c r="R13" s="1997">
        <v>160</v>
      </c>
      <c r="S13" s="666" t="s">
        <v>631</v>
      </c>
      <c r="T13" s="1998">
        <v>5675</v>
      </c>
      <c r="U13" s="1998">
        <v>0</v>
      </c>
      <c r="V13" s="1998">
        <v>2100</v>
      </c>
      <c r="W13" s="1998">
        <v>0</v>
      </c>
      <c r="X13" s="1998">
        <v>0</v>
      </c>
      <c r="Y13" s="1998">
        <v>0</v>
      </c>
      <c r="Z13" s="1998">
        <v>2369.7000000000003</v>
      </c>
      <c r="AA13" s="1998">
        <v>0</v>
      </c>
      <c r="AB13" s="1998">
        <v>0</v>
      </c>
      <c r="AC13" s="1998">
        <v>0</v>
      </c>
      <c r="AD13" s="1998">
        <v>0</v>
      </c>
      <c r="AE13" s="1998">
        <v>0</v>
      </c>
      <c r="AF13" s="1998">
        <v>0</v>
      </c>
      <c r="AG13" s="1999">
        <v>5405.3</v>
      </c>
    </row>
    <row r="14" spans="1:34" ht="12.75" customHeight="1" x14ac:dyDescent="0.2">
      <c r="A14" s="666" t="s">
        <v>2010</v>
      </c>
      <c r="B14" s="666" t="s">
        <v>35</v>
      </c>
      <c r="C14" s="666"/>
      <c r="D14" s="666"/>
      <c r="E14" s="1996">
        <v>240</v>
      </c>
      <c r="F14" s="1996">
        <v>400</v>
      </c>
      <c r="G14" s="1996">
        <v>0</v>
      </c>
      <c r="H14" s="1996">
        <v>0</v>
      </c>
      <c r="I14" s="1996">
        <v>0</v>
      </c>
      <c r="J14" s="1996">
        <v>0</v>
      </c>
      <c r="K14" s="1996">
        <v>120</v>
      </c>
      <c r="L14" s="1996">
        <v>0</v>
      </c>
      <c r="M14" s="1996">
        <v>0</v>
      </c>
      <c r="N14" s="1996">
        <v>0</v>
      </c>
      <c r="O14" s="1996">
        <v>0</v>
      </c>
      <c r="P14" s="1996">
        <v>0</v>
      </c>
      <c r="Q14" s="1996">
        <v>0</v>
      </c>
      <c r="R14" s="1997">
        <v>520</v>
      </c>
      <c r="S14" s="666" t="s">
        <v>633</v>
      </c>
      <c r="T14" s="1998">
        <v>7032.42</v>
      </c>
      <c r="U14" s="1998">
        <v>10000</v>
      </c>
      <c r="V14" s="1998">
        <v>0</v>
      </c>
      <c r="W14" s="1998">
        <v>0</v>
      </c>
      <c r="X14" s="1998">
        <v>0</v>
      </c>
      <c r="Y14" s="1998">
        <v>0</v>
      </c>
      <c r="Z14" s="1998">
        <v>3504.02</v>
      </c>
      <c r="AA14" s="1998">
        <v>0</v>
      </c>
      <c r="AB14" s="1998">
        <v>0</v>
      </c>
      <c r="AC14" s="1998">
        <v>0</v>
      </c>
      <c r="AD14" s="1998">
        <v>0</v>
      </c>
      <c r="AE14" s="1998">
        <v>0</v>
      </c>
      <c r="AF14" s="1998">
        <v>0</v>
      </c>
      <c r="AG14" s="1999">
        <v>13528.4</v>
      </c>
    </row>
    <row r="15" spans="1:34" ht="12.75" customHeight="1" x14ac:dyDescent="0.2">
      <c r="A15" s="666" t="s">
        <v>2011</v>
      </c>
      <c r="B15" s="666" t="s">
        <v>35</v>
      </c>
      <c r="C15" s="666"/>
      <c r="D15" s="666"/>
      <c r="E15" s="1996">
        <v>3</v>
      </c>
      <c r="F15" s="1996">
        <v>0</v>
      </c>
      <c r="G15" s="1996">
        <v>1</v>
      </c>
      <c r="H15" s="1996">
        <v>0</v>
      </c>
      <c r="I15" s="1996">
        <v>0</v>
      </c>
      <c r="J15" s="1996">
        <v>0</v>
      </c>
      <c r="K15" s="1996">
        <v>2</v>
      </c>
      <c r="L15" s="1996">
        <v>0</v>
      </c>
      <c r="M15" s="1996">
        <v>0</v>
      </c>
      <c r="N15" s="1996">
        <v>0</v>
      </c>
      <c r="O15" s="1996">
        <v>0</v>
      </c>
      <c r="P15" s="1996">
        <v>0</v>
      </c>
      <c r="Q15" s="1996">
        <v>0</v>
      </c>
      <c r="R15" s="1997">
        <v>2</v>
      </c>
      <c r="S15" s="666" t="s">
        <v>634</v>
      </c>
      <c r="T15" s="1998">
        <v>116.5</v>
      </c>
      <c r="U15" s="1998">
        <v>0</v>
      </c>
      <c r="V15" s="1998">
        <v>30</v>
      </c>
      <c r="W15" s="1998">
        <v>0</v>
      </c>
      <c r="X15" s="1998">
        <v>0</v>
      </c>
      <c r="Y15" s="1998">
        <v>0</v>
      </c>
      <c r="Z15" s="1998">
        <v>80.2</v>
      </c>
      <c r="AA15" s="1998">
        <v>0</v>
      </c>
      <c r="AB15" s="1998">
        <v>0</v>
      </c>
      <c r="AC15" s="1998">
        <v>0</v>
      </c>
      <c r="AD15" s="1998">
        <v>0</v>
      </c>
      <c r="AE15" s="1998">
        <v>0</v>
      </c>
      <c r="AF15" s="1998">
        <v>0</v>
      </c>
      <c r="AG15" s="1999">
        <v>66.3</v>
      </c>
    </row>
    <row r="16" spans="1:34" ht="12.75" customHeight="1" x14ac:dyDescent="0.2">
      <c r="A16" s="666" t="s">
        <v>2012</v>
      </c>
      <c r="B16" s="666" t="s">
        <v>35</v>
      </c>
      <c r="C16" s="666"/>
      <c r="D16" s="666"/>
      <c r="E16" s="1996">
        <v>1</v>
      </c>
      <c r="F16" s="1996">
        <v>0</v>
      </c>
      <c r="G16" s="1996">
        <v>0</v>
      </c>
      <c r="H16" s="1996">
        <v>0</v>
      </c>
      <c r="I16" s="1996">
        <v>0</v>
      </c>
      <c r="J16" s="1996">
        <v>0</v>
      </c>
      <c r="K16" s="1996">
        <v>1</v>
      </c>
      <c r="L16" s="1996">
        <v>0</v>
      </c>
      <c r="M16" s="1996">
        <v>0</v>
      </c>
      <c r="N16" s="1996">
        <v>0</v>
      </c>
      <c r="O16" s="1996">
        <v>0</v>
      </c>
      <c r="P16" s="1996">
        <v>0</v>
      </c>
      <c r="Q16" s="1996">
        <v>0</v>
      </c>
      <c r="R16" s="1997">
        <v>0</v>
      </c>
      <c r="S16" s="666" t="s">
        <v>635</v>
      </c>
      <c r="T16" s="1998">
        <v>43.300000000000004</v>
      </c>
      <c r="U16" s="1998">
        <v>0</v>
      </c>
      <c r="V16" s="1998">
        <v>0</v>
      </c>
      <c r="W16" s="1998">
        <v>0</v>
      </c>
      <c r="X16" s="1998">
        <v>0</v>
      </c>
      <c r="Y16" s="1998">
        <v>0</v>
      </c>
      <c r="Z16" s="1998">
        <v>0</v>
      </c>
      <c r="AA16" s="1998">
        <v>0</v>
      </c>
      <c r="AB16" s="1998">
        <v>0</v>
      </c>
      <c r="AC16" s="1998">
        <v>0</v>
      </c>
      <c r="AD16" s="1998">
        <v>0</v>
      </c>
      <c r="AE16" s="1998">
        <v>0</v>
      </c>
      <c r="AF16" s="1998">
        <v>0</v>
      </c>
      <c r="AG16" s="1999">
        <v>43.300000000000004</v>
      </c>
    </row>
    <row r="17" spans="1:33" ht="12.75" customHeight="1" x14ac:dyDescent="0.2">
      <c r="A17" s="666" t="s">
        <v>2013</v>
      </c>
      <c r="B17" s="666" t="s">
        <v>35</v>
      </c>
      <c r="C17" s="666"/>
      <c r="D17" s="666"/>
      <c r="E17" s="1996">
        <v>7</v>
      </c>
      <c r="F17" s="1996">
        <v>0</v>
      </c>
      <c r="G17" s="1996">
        <v>0</v>
      </c>
      <c r="H17" s="1996">
        <v>0</v>
      </c>
      <c r="I17" s="1996">
        <v>0</v>
      </c>
      <c r="J17" s="1996">
        <v>0</v>
      </c>
      <c r="K17" s="1996">
        <v>2</v>
      </c>
      <c r="L17" s="1996">
        <v>0</v>
      </c>
      <c r="M17" s="1996">
        <v>0</v>
      </c>
      <c r="N17" s="1996">
        <v>0</v>
      </c>
      <c r="O17" s="1996">
        <v>0</v>
      </c>
      <c r="P17" s="1996">
        <v>0</v>
      </c>
      <c r="Q17" s="1996">
        <v>0</v>
      </c>
      <c r="R17" s="1997">
        <v>5</v>
      </c>
      <c r="S17" s="666" t="s">
        <v>636</v>
      </c>
      <c r="T17" s="1998">
        <v>287.89</v>
      </c>
      <c r="U17" s="1998">
        <v>0</v>
      </c>
      <c r="V17" s="1998">
        <v>0</v>
      </c>
      <c r="W17" s="1998">
        <v>0</v>
      </c>
      <c r="X17" s="1998">
        <v>0</v>
      </c>
      <c r="Y17" s="1998">
        <v>0</v>
      </c>
      <c r="Z17" s="1998">
        <v>66.8</v>
      </c>
      <c r="AA17" s="1998">
        <v>0</v>
      </c>
      <c r="AB17" s="1998">
        <v>0</v>
      </c>
      <c r="AC17" s="1998">
        <v>0</v>
      </c>
      <c r="AD17" s="1998">
        <v>0</v>
      </c>
      <c r="AE17" s="1998">
        <v>0</v>
      </c>
      <c r="AF17" s="1998">
        <v>0</v>
      </c>
      <c r="AG17" s="1999">
        <v>221.09</v>
      </c>
    </row>
    <row r="18" spans="1:33" ht="12.75" customHeight="1" x14ac:dyDescent="0.2">
      <c r="A18" s="666" t="s">
        <v>2014</v>
      </c>
      <c r="B18" s="666" t="s">
        <v>35</v>
      </c>
      <c r="C18" s="666"/>
      <c r="D18" s="666"/>
      <c r="E18" s="1996">
        <v>8</v>
      </c>
      <c r="F18" s="1996">
        <v>0</v>
      </c>
      <c r="G18" s="1996">
        <v>0</v>
      </c>
      <c r="H18" s="1996">
        <v>0</v>
      </c>
      <c r="I18" s="1996">
        <v>0</v>
      </c>
      <c r="J18" s="1996">
        <v>0</v>
      </c>
      <c r="K18" s="1996">
        <v>0</v>
      </c>
      <c r="L18" s="1996">
        <v>0</v>
      </c>
      <c r="M18" s="1996">
        <v>0</v>
      </c>
      <c r="N18" s="1996">
        <v>0</v>
      </c>
      <c r="O18" s="1996">
        <v>0</v>
      </c>
      <c r="P18" s="1996">
        <v>0</v>
      </c>
      <c r="Q18" s="1996">
        <v>0</v>
      </c>
      <c r="R18" s="1997">
        <v>8</v>
      </c>
      <c r="S18" s="666" t="s">
        <v>637</v>
      </c>
      <c r="T18" s="1998">
        <v>325.47000000000003</v>
      </c>
      <c r="U18" s="1998">
        <v>0</v>
      </c>
      <c r="V18" s="1998">
        <v>0</v>
      </c>
      <c r="W18" s="1998">
        <v>0</v>
      </c>
      <c r="X18" s="1998">
        <v>0</v>
      </c>
      <c r="Y18" s="1998">
        <v>0</v>
      </c>
      <c r="Z18" s="1998">
        <v>49.88</v>
      </c>
      <c r="AA18" s="1998">
        <v>0</v>
      </c>
      <c r="AB18" s="1998">
        <v>0</v>
      </c>
      <c r="AC18" s="1998">
        <v>0</v>
      </c>
      <c r="AD18" s="1998">
        <v>0</v>
      </c>
      <c r="AE18" s="1998">
        <v>0</v>
      </c>
      <c r="AF18" s="1998">
        <v>0</v>
      </c>
      <c r="AG18" s="1999">
        <v>275.59000000000003</v>
      </c>
    </row>
    <row r="19" spans="1:33" ht="12.75" customHeight="1" x14ac:dyDescent="0.2">
      <c r="A19" s="666" t="s">
        <v>2015</v>
      </c>
      <c r="B19" s="666" t="s">
        <v>35</v>
      </c>
      <c r="C19" s="666"/>
      <c r="D19" s="666"/>
      <c r="E19" s="1996">
        <v>21</v>
      </c>
      <c r="F19" s="1996">
        <v>0</v>
      </c>
      <c r="G19" s="1996">
        <v>13</v>
      </c>
      <c r="H19" s="1996">
        <v>0</v>
      </c>
      <c r="I19" s="1996">
        <v>0</v>
      </c>
      <c r="J19" s="1996">
        <v>0</v>
      </c>
      <c r="K19" s="1996">
        <v>11</v>
      </c>
      <c r="L19" s="1996">
        <v>0</v>
      </c>
      <c r="M19" s="1996">
        <v>0</v>
      </c>
      <c r="N19" s="1996">
        <v>0</v>
      </c>
      <c r="O19" s="1996">
        <v>0</v>
      </c>
      <c r="P19" s="1996">
        <v>0</v>
      </c>
      <c r="Q19" s="1996">
        <v>0</v>
      </c>
      <c r="R19" s="1997">
        <v>23</v>
      </c>
      <c r="S19" s="666" t="s">
        <v>638</v>
      </c>
      <c r="T19" s="1998">
        <v>660.2</v>
      </c>
      <c r="U19" s="1998">
        <v>0</v>
      </c>
      <c r="V19" s="1998">
        <v>390</v>
      </c>
      <c r="W19" s="1998">
        <v>0</v>
      </c>
      <c r="X19" s="1998">
        <v>0</v>
      </c>
      <c r="Y19" s="1998">
        <v>0</v>
      </c>
      <c r="Z19" s="1998">
        <v>301.85000000000002</v>
      </c>
      <c r="AA19" s="1998">
        <v>0</v>
      </c>
      <c r="AB19" s="1998">
        <v>0</v>
      </c>
      <c r="AC19" s="1998">
        <v>0</v>
      </c>
      <c r="AD19" s="1998">
        <v>0</v>
      </c>
      <c r="AE19" s="1998">
        <v>0</v>
      </c>
      <c r="AF19" s="1998">
        <v>0</v>
      </c>
      <c r="AG19" s="1999">
        <v>748.35</v>
      </c>
    </row>
    <row r="20" spans="1:33" ht="12.75" customHeight="1" x14ac:dyDescent="0.2">
      <c r="A20" s="666" t="s">
        <v>2016</v>
      </c>
      <c r="B20" s="666" t="s">
        <v>35</v>
      </c>
      <c r="C20" s="666"/>
      <c r="D20" s="666"/>
      <c r="E20" s="1996">
        <v>39</v>
      </c>
      <c r="F20" s="1996">
        <v>0</v>
      </c>
      <c r="G20" s="1996">
        <v>0</v>
      </c>
      <c r="H20" s="1996">
        <v>0</v>
      </c>
      <c r="I20" s="1996">
        <v>0</v>
      </c>
      <c r="J20" s="1996">
        <v>0</v>
      </c>
      <c r="K20" s="1996">
        <v>5</v>
      </c>
      <c r="L20" s="1996">
        <v>0</v>
      </c>
      <c r="M20" s="1996">
        <v>0</v>
      </c>
      <c r="N20" s="1996">
        <v>0</v>
      </c>
      <c r="O20" s="1996">
        <v>0</v>
      </c>
      <c r="P20" s="1996">
        <v>0</v>
      </c>
      <c r="Q20" s="1996">
        <v>0</v>
      </c>
      <c r="R20" s="1997">
        <v>34</v>
      </c>
      <c r="S20" s="666" t="s">
        <v>639</v>
      </c>
      <c r="T20" s="1998">
        <v>1176.5</v>
      </c>
      <c r="U20" s="1998">
        <v>0</v>
      </c>
      <c r="V20" s="1998">
        <v>0</v>
      </c>
      <c r="W20" s="1998">
        <v>0</v>
      </c>
      <c r="X20" s="1998">
        <v>0</v>
      </c>
      <c r="Y20" s="1998">
        <v>0</v>
      </c>
      <c r="Z20" s="1998">
        <v>151.20000000000002</v>
      </c>
      <c r="AA20" s="1998">
        <v>0</v>
      </c>
      <c r="AB20" s="1998">
        <v>0</v>
      </c>
      <c r="AC20" s="1998">
        <v>0</v>
      </c>
      <c r="AD20" s="1998">
        <v>0</v>
      </c>
      <c r="AE20" s="1998">
        <v>0</v>
      </c>
      <c r="AF20" s="1998">
        <v>0</v>
      </c>
      <c r="AG20" s="1999">
        <v>1025.3</v>
      </c>
    </row>
    <row r="21" spans="1:33" x14ac:dyDescent="0.2">
      <c r="A21" s="666" t="s">
        <v>2017</v>
      </c>
      <c r="B21" s="666" t="s">
        <v>35</v>
      </c>
      <c r="C21" s="666"/>
      <c r="D21" s="666"/>
      <c r="E21" s="1996">
        <v>2</v>
      </c>
      <c r="F21" s="1996">
        <v>0</v>
      </c>
      <c r="G21" s="1996">
        <v>0</v>
      </c>
      <c r="H21" s="1996">
        <v>0</v>
      </c>
      <c r="I21" s="1996">
        <v>0</v>
      </c>
      <c r="J21" s="1996">
        <v>0</v>
      </c>
      <c r="K21" s="1996">
        <v>0</v>
      </c>
      <c r="L21" s="1996">
        <v>0</v>
      </c>
      <c r="M21" s="1996">
        <v>0</v>
      </c>
      <c r="N21" s="1996">
        <v>0</v>
      </c>
      <c r="O21" s="1996">
        <v>0</v>
      </c>
      <c r="P21" s="1996">
        <v>0</v>
      </c>
      <c r="Q21" s="1996">
        <v>0</v>
      </c>
      <c r="R21" s="1997">
        <v>2</v>
      </c>
      <c r="S21" s="666" t="s">
        <v>640</v>
      </c>
      <c r="T21" s="1998">
        <v>87.4</v>
      </c>
      <c r="U21" s="1998">
        <v>0</v>
      </c>
      <c r="V21" s="1998">
        <v>0</v>
      </c>
      <c r="W21" s="1998">
        <v>0</v>
      </c>
      <c r="X21" s="1998">
        <v>0</v>
      </c>
      <c r="Y21" s="1998">
        <v>0</v>
      </c>
      <c r="Z21" s="1998">
        <v>0</v>
      </c>
      <c r="AA21" s="1998">
        <v>0</v>
      </c>
      <c r="AB21" s="1998">
        <v>0</v>
      </c>
      <c r="AC21" s="1998">
        <v>0</v>
      </c>
      <c r="AD21" s="1998">
        <v>0</v>
      </c>
      <c r="AE21" s="1998">
        <v>0</v>
      </c>
      <c r="AF21" s="1998">
        <v>0</v>
      </c>
      <c r="AG21" s="1999">
        <v>87.4</v>
      </c>
    </row>
    <row r="22" spans="1:33" x14ac:dyDescent="0.2">
      <c r="A22" s="666" t="s">
        <v>2018</v>
      </c>
      <c r="B22" s="666" t="s">
        <v>35</v>
      </c>
      <c r="C22" s="666"/>
      <c r="D22" s="666"/>
      <c r="E22" s="1996">
        <v>40</v>
      </c>
      <c r="F22" s="1996">
        <v>0</v>
      </c>
      <c r="G22" s="1996">
        <v>40</v>
      </c>
      <c r="H22" s="1996">
        <v>0</v>
      </c>
      <c r="I22" s="1996">
        <v>0</v>
      </c>
      <c r="J22" s="1996">
        <v>0</v>
      </c>
      <c r="K22" s="1996">
        <v>0</v>
      </c>
      <c r="L22" s="1996">
        <v>0</v>
      </c>
      <c r="M22" s="1996">
        <v>0</v>
      </c>
      <c r="N22" s="1996">
        <v>0</v>
      </c>
      <c r="O22" s="1996">
        <v>0</v>
      </c>
      <c r="P22" s="1996">
        <v>0</v>
      </c>
      <c r="Q22" s="1996">
        <v>0</v>
      </c>
      <c r="R22" s="1997">
        <v>80</v>
      </c>
      <c r="S22" s="666" t="s">
        <v>626</v>
      </c>
      <c r="T22" s="1998">
        <v>2481.3200000000002</v>
      </c>
      <c r="U22" s="1998">
        <v>0</v>
      </c>
      <c r="V22" s="1998">
        <v>1200</v>
      </c>
      <c r="W22" s="1998">
        <v>0</v>
      </c>
      <c r="X22" s="1998">
        <v>0</v>
      </c>
      <c r="Y22" s="1998">
        <v>0</v>
      </c>
      <c r="Z22" s="1998">
        <v>878.96</v>
      </c>
      <c r="AA22" s="1998">
        <v>0</v>
      </c>
      <c r="AB22" s="1998">
        <v>0</v>
      </c>
      <c r="AC22" s="1998">
        <v>0</v>
      </c>
      <c r="AD22" s="1998">
        <v>0</v>
      </c>
      <c r="AE22" s="1998">
        <v>0</v>
      </c>
      <c r="AF22" s="1998">
        <v>0</v>
      </c>
      <c r="AG22" s="1999">
        <v>2802.36</v>
      </c>
    </row>
    <row r="23" spans="1:33" ht="12.75" customHeight="1" x14ac:dyDescent="0.2">
      <c r="A23" s="666" t="s">
        <v>2019</v>
      </c>
      <c r="B23" s="666" t="s">
        <v>35</v>
      </c>
      <c r="C23" s="666"/>
      <c r="D23" s="666"/>
      <c r="E23" s="1996">
        <v>24</v>
      </c>
      <c r="F23" s="1996">
        <v>0</v>
      </c>
      <c r="G23" s="1996">
        <v>50</v>
      </c>
      <c r="H23" s="1996">
        <v>0</v>
      </c>
      <c r="I23" s="1996">
        <v>0</v>
      </c>
      <c r="J23" s="1996">
        <v>0</v>
      </c>
      <c r="K23" s="1996">
        <v>24</v>
      </c>
      <c r="L23" s="1996">
        <v>0</v>
      </c>
      <c r="M23" s="1996">
        <v>0</v>
      </c>
      <c r="N23" s="1996">
        <v>0</v>
      </c>
      <c r="O23" s="1996">
        <v>0</v>
      </c>
      <c r="P23" s="1996">
        <v>0</v>
      </c>
      <c r="Q23" s="1996">
        <v>0</v>
      </c>
      <c r="R23" s="1997">
        <v>50</v>
      </c>
      <c r="S23" s="666" t="s">
        <v>627</v>
      </c>
      <c r="T23" s="1998">
        <v>1394.88</v>
      </c>
      <c r="U23" s="1998">
        <v>0</v>
      </c>
      <c r="V23" s="1998">
        <v>1500</v>
      </c>
      <c r="W23" s="1998">
        <v>0</v>
      </c>
      <c r="X23" s="1998">
        <v>0</v>
      </c>
      <c r="Y23" s="1998">
        <v>0</v>
      </c>
      <c r="Z23" s="1998">
        <v>531.9</v>
      </c>
      <c r="AA23" s="1998">
        <v>0</v>
      </c>
      <c r="AB23" s="1998">
        <v>0</v>
      </c>
      <c r="AC23" s="1998">
        <v>0</v>
      </c>
      <c r="AD23" s="1998">
        <v>0</v>
      </c>
      <c r="AE23" s="1998">
        <v>0</v>
      </c>
      <c r="AF23" s="1998">
        <v>0</v>
      </c>
      <c r="AG23" s="1999">
        <v>2362.98</v>
      </c>
    </row>
    <row r="24" spans="1:33" x14ac:dyDescent="0.2">
      <c r="A24" s="666" t="s">
        <v>2020</v>
      </c>
      <c r="B24" s="666" t="s">
        <v>35</v>
      </c>
      <c r="C24" s="666"/>
      <c r="D24" s="666"/>
      <c r="E24" s="1996">
        <v>18</v>
      </c>
      <c r="F24" s="1996">
        <v>0</v>
      </c>
      <c r="G24" s="1996">
        <v>5</v>
      </c>
      <c r="H24" s="1996">
        <v>0</v>
      </c>
      <c r="I24" s="1996">
        <v>0</v>
      </c>
      <c r="J24" s="1996">
        <v>0</v>
      </c>
      <c r="K24" s="1996">
        <v>8</v>
      </c>
      <c r="L24" s="1996">
        <v>0</v>
      </c>
      <c r="M24" s="1996">
        <v>0</v>
      </c>
      <c r="N24" s="1996">
        <v>0</v>
      </c>
      <c r="O24" s="1996">
        <v>0</v>
      </c>
      <c r="P24" s="1996">
        <v>0</v>
      </c>
      <c r="Q24" s="1996">
        <v>0</v>
      </c>
      <c r="R24" s="1997">
        <v>15</v>
      </c>
      <c r="S24" s="666" t="s">
        <v>628</v>
      </c>
      <c r="T24" s="1998">
        <v>603.06000000000006</v>
      </c>
      <c r="U24" s="1998">
        <v>0</v>
      </c>
      <c r="V24" s="1998">
        <v>150</v>
      </c>
      <c r="W24" s="1998">
        <v>0</v>
      </c>
      <c r="X24" s="1998">
        <v>0</v>
      </c>
      <c r="Y24" s="1998">
        <v>0</v>
      </c>
      <c r="Z24" s="1998">
        <v>199.26</v>
      </c>
      <c r="AA24" s="1998">
        <v>0</v>
      </c>
      <c r="AB24" s="1998">
        <v>0</v>
      </c>
      <c r="AC24" s="1998">
        <v>0</v>
      </c>
      <c r="AD24" s="1998">
        <v>0</v>
      </c>
      <c r="AE24" s="1998">
        <v>0</v>
      </c>
      <c r="AF24" s="1998">
        <v>0</v>
      </c>
      <c r="AG24" s="1999">
        <v>553.80000000000007</v>
      </c>
    </row>
    <row r="25" spans="1:33" x14ac:dyDescent="0.2">
      <c r="A25" s="666" t="s">
        <v>2021</v>
      </c>
      <c r="B25" s="666" t="s">
        <v>35</v>
      </c>
      <c r="C25" s="666"/>
      <c r="D25" s="666"/>
      <c r="E25" s="1996">
        <v>8</v>
      </c>
      <c r="F25" s="1996">
        <v>0</v>
      </c>
      <c r="G25" s="1996">
        <v>0</v>
      </c>
      <c r="H25" s="1996">
        <v>0</v>
      </c>
      <c r="I25" s="1996">
        <v>0</v>
      </c>
      <c r="J25" s="1996">
        <v>0</v>
      </c>
      <c r="K25" s="1996">
        <v>2</v>
      </c>
      <c r="L25" s="1996">
        <v>0</v>
      </c>
      <c r="M25" s="1996">
        <v>0</v>
      </c>
      <c r="N25" s="1996">
        <v>0</v>
      </c>
      <c r="O25" s="1996">
        <v>0</v>
      </c>
      <c r="P25" s="1996">
        <v>0</v>
      </c>
      <c r="Q25" s="1996">
        <v>0</v>
      </c>
      <c r="R25" s="1997">
        <v>6</v>
      </c>
      <c r="S25" s="666" t="s">
        <v>641</v>
      </c>
      <c r="T25" s="1998">
        <v>304.59000000000003</v>
      </c>
      <c r="U25" s="1998">
        <v>0</v>
      </c>
      <c r="V25" s="1998">
        <v>0</v>
      </c>
      <c r="W25" s="1998">
        <v>0</v>
      </c>
      <c r="X25" s="1998">
        <v>0</v>
      </c>
      <c r="Y25" s="1998">
        <v>0</v>
      </c>
      <c r="Z25" s="1998">
        <v>41.53</v>
      </c>
      <c r="AA25" s="1998">
        <v>0</v>
      </c>
      <c r="AB25" s="1998">
        <v>0</v>
      </c>
      <c r="AC25" s="1998">
        <v>0</v>
      </c>
      <c r="AD25" s="1998">
        <v>0</v>
      </c>
      <c r="AE25" s="1998">
        <v>0</v>
      </c>
      <c r="AF25" s="1998">
        <v>0</v>
      </c>
      <c r="AG25" s="1999">
        <v>263.06</v>
      </c>
    </row>
    <row r="26" spans="1:33" x14ac:dyDescent="0.2">
      <c r="A26" s="666" t="s">
        <v>2022</v>
      </c>
      <c r="B26" s="666" t="s">
        <v>35</v>
      </c>
      <c r="C26" s="666"/>
      <c r="D26" s="666"/>
      <c r="E26" s="1996">
        <v>28</v>
      </c>
      <c r="F26" s="1996">
        <v>0</v>
      </c>
      <c r="G26" s="1996">
        <v>12</v>
      </c>
      <c r="H26" s="1996">
        <v>0</v>
      </c>
      <c r="I26" s="1996">
        <v>0</v>
      </c>
      <c r="J26" s="1996">
        <v>0</v>
      </c>
      <c r="K26" s="1996">
        <v>20</v>
      </c>
      <c r="L26" s="1996">
        <v>0</v>
      </c>
      <c r="M26" s="1996">
        <v>0</v>
      </c>
      <c r="N26" s="1996">
        <v>0</v>
      </c>
      <c r="O26" s="1996">
        <v>0</v>
      </c>
      <c r="P26" s="1996">
        <v>0</v>
      </c>
      <c r="Q26" s="1996">
        <v>0</v>
      </c>
      <c r="R26" s="1997">
        <v>20</v>
      </c>
      <c r="S26" s="666" t="s">
        <v>643</v>
      </c>
      <c r="T26" s="1998">
        <v>950.38</v>
      </c>
      <c r="U26" s="1998">
        <v>0</v>
      </c>
      <c r="V26" s="1998">
        <v>360</v>
      </c>
      <c r="W26" s="1998">
        <v>0</v>
      </c>
      <c r="X26" s="1998">
        <v>0</v>
      </c>
      <c r="Y26" s="1998">
        <v>0</v>
      </c>
      <c r="Z26" s="1998">
        <v>304.26</v>
      </c>
      <c r="AA26" s="1998">
        <v>0</v>
      </c>
      <c r="AB26" s="1998">
        <v>0</v>
      </c>
      <c r="AC26" s="1998">
        <v>0</v>
      </c>
      <c r="AD26" s="1998">
        <v>0</v>
      </c>
      <c r="AE26" s="1998">
        <v>0</v>
      </c>
      <c r="AF26" s="1998">
        <v>0</v>
      </c>
      <c r="AG26" s="1999">
        <v>1006.12</v>
      </c>
    </row>
    <row r="27" spans="1:33" x14ac:dyDescent="0.2">
      <c r="A27" s="666" t="s">
        <v>2023</v>
      </c>
      <c r="B27" s="666" t="s">
        <v>35</v>
      </c>
      <c r="C27" s="666"/>
      <c r="D27" s="666"/>
      <c r="E27" s="1996">
        <v>59</v>
      </c>
      <c r="F27" s="1996">
        <v>0</v>
      </c>
      <c r="G27" s="1996">
        <v>120</v>
      </c>
      <c r="H27" s="1996">
        <v>0</v>
      </c>
      <c r="I27" s="1996">
        <v>0</v>
      </c>
      <c r="J27" s="1996">
        <v>0</v>
      </c>
      <c r="K27" s="1996">
        <v>35</v>
      </c>
      <c r="L27" s="1996">
        <v>0</v>
      </c>
      <c r="M27" s="1996">
        <v>0</v>
      </c>
      <c r="N27" s="1996">
        <v>0</v>
      </c>
      <c r="O27" s="1996">
        <v>0</v>
      </c>
      <c r="P27" s="1996">
        <v>0</v>
      </c>
      <c r="Q27" s="1996">
        <v>0</v>
      </c>
      <c r="R27" s="1997">
        <v>144</v>
      </c>
      <c r="S27" s="666" t="s">
        <v>644</v>
      </c>
      <c r="T27" s="1998">
        <v>2936.7200000000003</v>
      </c>
      <c r="U27" s="1998">
        <v>0</v>
      </c>
      <c r="V27" s="1998">
        <v>3600</v>
      </c>
      <c r="W27" s="1998">
        <v>0</v>
      </c>
      <c r="X27" s="1998">
        <v>0</v>
      </c>
      <c r="Y27" s="1998">
        <v>0</v>
      </c>
      <c r="Z27" s="1998">
        <v>1344.9</v>
      </c>
      <c r="AA27" s="1998">
        <v>0</v>
      </c>
      <c r="AB27" s="1998">
        <v>0</v>
      </c>
      <c r="AC27" s="1998">
        <v>0</v>
      </c>
      <c r="AD27" s="1998">
        <v>0</v>
      </c>
      <c r="AE27" s="1998">
        <v>0</v>
      </c>
      <c r="AF27" s="1998">
        <v>0</v>
      </c>
      <c r="AG27" s="1999">
        <v>5191.82</v>
      </c>
    </row>
    <row r="28" spans="1:33" ht="12.75" customHeight="1" x14ac:dyDescent="0.2">
      <c r="A28" s="666" t="s">
        <v>2024</v>
      </c>
      <c r="B28" s="666" t="s">
        <v>35</v>
      </c>
      <c r="C28" s="666"/>
      <c r="D28" s="666"/>
      <c r="E28" s="1996">
        <v>140</v>
      </c>
      <c r="F28" s="1996">
        <v>0</v>
      </c>
      <c r="G28" s="1996">
        <v>120</v>
      </c>
      <c r="H28" s="1996">
        <v>0</v>
      </c>
      <c r="I28" s="1996">
        <v>0</v>
      </c>
      <c r="J28" s="1996">
        <v>0</v>
      </c>
      <c r="K28" s="1996">
        <v>40</v>
      </c>
      <c r="L28" s="1996">
        <v>0</v>
      </c>
      <c r="M28" s="1996">
        <v>0</v>
      </c>
      <c r="N28" s="1996">
        <v>0</v>
      </c>
      <c r="O28" s="1996">
        <v>0</v>
      </c>
      <c r="P28" s="1996">
        <v>0</v>
      </c>
      <c r="Q28" s="1996">
        <v>0</v>
      </c>
      <c r="R28" s="1997">
        <v>220</v>
      </c>
      <c r="S28" s="666" t="s">
        <v>921</v>
      </c>
      <c r="T28" s="1998">
        <v>5809.06</v>
      </c>
      <c r="U28" s="1998">
        <v>0</v>
      </c>
      <c r="V28" s="1998">
        <v>3600</v>
      </c>
      <c r="W28" s="1998">
        <v>0</v>
      </c>
      <c r="X28" s="1998">
        <v>0</v>
      </c>
      <c r="Y28" s="1998">
        <v>0</v>
      </c>
      <c r="Z28" s="1998">
        <v>1880.3600000000001</v>
      </c>
      <c r="AA28" s="1998">
        <v>0</v>
      </c>
      <c r="AB28" s="1998">
        <v>0</v>
      </c>
      <c r="AC28" s="1998">
        <v>0</v>
      </c>
      <c r="AD28" s="1998">
        <v>0</v>
      </c>
      <c r="AE28" s="1998">
        <v>0</v>
      </c>
      <c r="AF28" s="1998">
        <v>0</v>
      </c>
      <c r="AG28" s="1999">
        <v>7528.7</v>
      </c>
    </row>
    <row r="29" spans="1:33" x14ac:dyDescent="0.2">
      <c r="A29" s="666" t="s">
        <v>2025</v>
      </c>
      <c r="B29" s="666" t="s">
        <v>35</v>
      </c>
      <c r="C29" s="666"/>
      <c r="D29" s="666"/>
      <c r="E29" s="1996">
        <v>65</v>
      </c>
      <c r="F29" s="1996">
        <v>0</v>
      </c>
      <c r="G29" s="1996">
        <v>90</v>
      </c>
      <c r="H29" s="1996">
        <v>0</v>
      </c>
      <c r="I29" s="1996">
        <v>0</v>
      </c>
      <c r="J29" s="1996">
        <v>0</v>
      </c>
      <c r="K29" s="1996">
        <v>35</v>
      </c>
      <c r="L29" s="1996">
        <v>0</v>
      </c>
      <c r="M29" s="1996">
        <v>0</v>
      </c>
      <c r="N29" s="1996">
        <v>0</v>
      </c>
      <c r="O29" s="1996">
        <v>0</v>
      </c>
      <c r="P29" s="1996">
        <v>0</v>
      </c>
      <c r="Q29" s="1996">
        <v>0</v>
      </c>
      <c r="R29" s="1997">
        <v>120</v>
      </c>
      <c r="S29" s="666" t="s">
        <v>645</v>
      </c>
      <c r="T29" s="1998">
        <v>2940.3</v>
      </c>
      <c r="U29" s="1998">
        <v>0</v>
      </c>
      <c r="V29" s="1998">
        <v>2700</v>
      </c>
      <c r="W29" s="1998">
        <v>0</v>
      </c>
      <c r="X29" s="1998">
        <v>0</v>
      </c>
      <c r="Y29" s="1998">
        <v>0</v>
      </c>
      <c r="Z29" s="1998">
        <v>1179.3600000000001</v>
      </c>
      <c r="AA29" s="1998">
        <v>0</v>
      </c>
      <c r="AB29" s="1998">
        <v>0</v>
      </c>
      <c r="AC29" s="1998">
        <v>0</v>
      </c>
      <c r="AD29" s="1998">
        <v>0</v>
      </c>
      <c r="AE29" s="1998">
        <v>0</v>
      </c>
      <c r="AF29" s="1998">
        <v>0</v>
      </c>
      <c r="AG29" s="1999">
        <v>4460.9400000000005</v>
      </c>
    </row>
    <row r="30" spans="1:33" x14ac:dyDescent="0.2">
      <c r="A30" s="666" t="s">
        <v>2026</v>
      </c>
      <c r="B30" s="666" t="s">
        <v>35</v>
      </c>
      <c r="C30" s="666"/>
      <c r="D30" s="666"/>
      <c r="E30" s="1996">
        <v>75</v>
      </c>
      <c r="F30" s="1996">
        <v>0</v>
      </c>
      <c r="G30" s="1996">
        <v>90</v>
      </c>
      <c r="H30" s="1996">
        <v>0</v>
      </c>
      <c r="I30" s="1996">
        <v>0</v>
      </c>
      <c r="J30" s="1996">
        <v>0</v>
      </c>
      <c r="K30" s="1996">
        <v>35</v>
      </c>
      <c r="L30" s="1996">
        <v>0</v>
      </c>
      <c r="M30" s="1996">
        <v>0</v>
      </c>
      <c r="N30" s="1996">
        <v>0</v>
      </c>
      <c r="O30" s="1996">
        <v>0</v>
      </c>
      <c r="P30" s="1996">
        <v>0</v>
      </c>
      <c r="Q30" s="1996">
        <v>0</v>
      </c>
      <c r="R30" s="1997">
        <v>130</v>
      </c>
      <c r="S30" s="666" t="s">
        <v>646</v>
      </c>
      <c r="T30" s="1998">
        <v>3166.3</v>
      </c>
      <c r="U30" s="1998">
        <v>0</v>
      </c>
      <c r="V30" s="1998">
        <v>2700</v>
      </c>
      <c r="W30" s="1998">
        <v>0</v>
      </c>
      <c r="X30" s="1998">
        <v>0</v>
      </c>
      <c r="Y30" s="1998">
        <v>0</v>
      </c>
      <c r="Z30" s="1998">
        <v>1116.6600000000001</v>
      </c>
      <c r="AA30" s="1998">
        <v>0</v>
      </c>
      <c r="AB30" s="1998">
        <v>0</v>
      </c>
      <c r="AC30" s="1998">
        <v>0</v>
      </c>
      <c r="AD30" s="1998">
        <v>0</v>
      </c>
      <c r="AE30" s="1998">
        <v>0</v>
      </c>
      <c r="AF30" s="1998">
        <v>0</v>
      </c>
      <c r="AG30" s="1999">
        <v>4749.6400000000003</v>
      </c>
    </row>
    <row r="31" spans="1:33" x14ac:dyDescent="0.2">
      <c r="A31" s="666" t="s">
        <v>2027</v>
      </c>
      <c r="B31" s="666" t="s">
        <v>35</v>
      </c>
      <c r="C31" s="666"/>
      <c r="D31" s="666"/>
      <c r="E31" s="1996">
        <v>5</v>
      </c>
      <c r="F31" s="1996">
        <v>0</v>
      </c>
      <c r="G31" s="1996">
        <v>12</v>
      </c>
      <c r="H31" s="1996">
        <v>0</v>
      </c>
      <c r="I31" s="1996">
        <v>0</v>
      </c>
      <c r="J31" s="1996">
        <v>0</v>
      </c>
      <c r="K31" s="1996">
        <v>5</v>
      </c>
      <c r="L31" s="1996">
        <v>0</v>
      </c>
      <c r="M31" s="1996">
        <v>0</v>
      </c>
      <c r="N31" s="1996">
        <v>0</v>
      </c>
      <c r="O31" s="1996">
        <v>0</v>
      </c>
      <c r="P31" s="1996">
        <v>0</v>
      </c>
      <c r="Q31" s="1996">
        <v>0</v>
      </c>
      <c r="R31" s="1997">
        <v>12</v>
      </c>
      <c r="S31" s="666" t="s">
        <v>647</v>
      </c>
      <c r="T31" s="1998">
        <v>255.5</v>
      </c>
      <c r="U31" s="1998">
        <v>0</v>
      </c>
      <c r="V31" s="1998">
        <v>360</v>
      </c>
      <c r="W31" s="1998">
        <v>0</v>
      </c>
      <c r="X31" s="1998">
        <v>0</v>
      </c>
      <c r="Y31" s="1998">
        <v>0</v>
      </c>
      <c r="Z31" s="1998">
        <v>112.49000000000001</v>
      </c>
      <c r="AA31" s="1998">
        <v>0</v>
      </c>
      <c r="AB31" s="1998">
        <v>0</v>
      </c>
      <c r="AC31" s="1998">
        <v>0</v>
      </c>
      <c r="AD31" s="1998">
        <v>0</v>
      </c>
      <c r="AE31" s="1998">
        <v>0</v>
      </c>
      <c r="AF31" s="1998">
        <v>0</v>
      </c>
      <c r="AG31" s="1999">
        <v>503.01</v>
      </c>
    </row>
    <row r="32" spans="1:33" x14ac:dyDescent="0.2">
      <c r="A32" s="666" t="s">
        <v>2028</v>
      </c>
      <c r="B32" s="666" t="s">
        <v>35</v>
      </c>
      <c r="C32" s="666"/>
      <c r="D32" s="666"/>
      <c r="E32" s="1996">
        <v>0</v>
      </c>
      <c r="F32" s="1996">
        <v>0</v>
      </c>
      <c r="G32" s="1996">
        <v>2</v>
      </c>
      <c r="H32" s="1996">
        <v>0</v>
      </c>
      <c r="I32" s="1996">
        <v>0</v>
      </c>
      <c r="J32" s="1996">
        <v>0</v>
      </c>
      <c r="K32" s="1996">
        <v>1</v>
      </c>
      <c r="L32" s="1996">
        <v>0</v>
      </c>
      <c r="M32" s="1996">
        <v>0</v>
      </c>
      <c r="N32" s="1996">
        <v>0</v>
      </c>
      <c r="O32" s="1996">
        <v>0</v>
      </c>
      <c r="P32" s="1996">
        <v>0</v>
      </c>
      <c r="Q32" s="1996">
        <v>0</v>
      </c>
      <c r="R32" s="1997">
        <v>1</v>
      </c>
      <c r="S32" s="666" t="s">
        <v>648</v>
      </c>
      <c r="T32" s="1998">
        <v>1.5</v>
      </c>
      <c r="U32" s="1998">
        <v>0</v>
      </c>
      <c r="V32" s="1998">
        <v>60</v>
      </c>
      <c r="W32" s="1998">
        <v>0</v>
      </c>
      <c r="X32" s="1998">
        <v>0</v>
      </c>
      <c r="Y32" s="1998">
        <v>0</v>
      </c>
      <c r="Z32" s="1998">
        <v>25.2</v>
      </c>
      <c r="AA32" s="1998">
        <v>0</v>
      </c>
      <c r="AB32" s="1998">
        <v>0</v>
      </c>
      <c r="AC32" s="1998">
        <v>0</v>
      </c>
      <c r="AD32" s="1998">
        <v>0</v>
      </c>
      <c r="AE32" s="1998">
        <v>0</v>
      </c>
      <c r="AF32" s="1998">
        <v>0</v>
      </c>
      <c r="AG32" s="1999">
        <v>36.300000000000004</v>
      </c>
    </row>
    <row r="33" spans="1:33" ht="12.75" customHeight="1" x14ac:dyDescent="0.2">
      <c r="A33" s="666" t="s">
        <v>2029</v>
      </c>
      <c r="B33" s="666" t="s">
        <v>35</v>
      </c>
      <c r="C33" s="666"/>
      <c r="D33" s="666"/>
      <c r="E33" s="1996">
        <v>19</v>
      </c>
      <c r="F33" s="1996">
        <v>0</v>
      </c>
      <c r="G33" s="1996">
        <v>24</v>
      </c>
      <c r="H33" s="1996">
        <v>0</v>
      </c>
      <c r="I33" s="1996">
        <v>0</v>
      </c>
      <c r="J33" s="1996">
        <v>0</v>
      </c>
      <c r="K33" s="1996">
        <v>9</v>
      </c>
      <c r="L33" s="1996">
        <v>0</v>
      </c>
      <c r="M33" s="1996">
        <v>0</v>
      </c>
      <c r="N33" s="1996">
        <v>0</v>
      </c>
      <c r="O33" s="1996">
        <v>0</v>
      </c>
      <c r="P33" s="1996">
        <v>0</v>
      </c>
      <c r="Q33" s="1996">
        <v>0</v>
      </c>
      <c r="R33" s="1997">
        <v>34</v>
      </c>
      <c r="S33" s="666" t="s">
        <v>649</v>
      </c>
      <c r="T33" s="1998">
        <v>616.44000000000005</v>
      </c>
      <c r="U33" s="1998">
        <v>0</v>
      </c>
      <c r="V33" s="1998">
        <v>720</v>
      </c>
      <c r="W33" s="1998">
        <v>0</v>
      </c>
      <c r="X33" s="1998">
        <v>0</v>
      </c>
      <c r="Y33" s="1998">
        <v>0</v>
      </c>
      <c r="Z33" s="1998">
        <v>267.05</v>
      </c>
      <c r="AA33" s="1998">
        <v>0</v>
      </c>
      <c r="AB33" s="1998">
        <v>0</v>
      </c>
      <c r="AC33" s="1998">
        <v>0</v>
      </c>
      <c r="AD33" s="1998">
        <v>0</v>
      </c>
      <c r="AE33" s="1998">
        <v>0</v>
      </c>
      <c r="AF33" s="1998">
        <v>0</v>
      </c>
      <c r="AG33" s="1999">
        <v>1069.3900000000001</v>
      </c>
    </row>
    <row r="34" spans="1:33" x14ac:dyDescent="0.2">
      <c r="A34" s="666" t="s">
        <v>2030</v>
      </c>
      <c r="B34" s="666" t="s">
        <v>35</v>
      </c>
      <c r="C34" s="666"/>
      <c r="D34" s="666"/>
      <c r="E34" s="1996">
        <v>12</v>
      </c>
      <c r="F34" s="1996">
        <v>0</v>
      </c>
      <c r="G34" s="1996">
        <v>70</v>
      </c>
      <c r="H34" s="1996">
        <v>0</v>
      </c>
      <c r="I34" s="1996">
        <v>0</v>
      </c>
      <c r="J34" s="1996">
        <v>0</v>
      </c>
      <c r="K34" s="1996">
        <v>0</v>
      </c>
      <c r="L34" s="1996">
        <v>0</v>
      </c>
      <c r="M34" s="1996">
        <v>0</v>
      </c>
      <c r="N34" s="1996">
        <v>0</v>
      </c>
      <c r="O34" s="1996">
        <v>0</v>
      </c>
      <c r="P34" s="1996">
        <v>0</v>
      </c>
      <c r="Q34" s="1996">
        <v>0</v>
      </c>
      <c r="R34" s="1997">
        <v>82</v>
      </c>
      <c r="S34" s="666" t="s">
        <v>650</v>
      </c>
      <c r="T34" s="1998">
        <v>1089.6200000000001</v>
      </c>
      <c r="U34" s="1998">
        <v>0</v>
      </c>
      <c r="V34" s="1998">
        <v>2100</v>
      </c>
      <c r="W34" s="1998">
        <v>0</v>
      </c>
      <c r="X34" s="1998">
        <v>0</v>
      </c>
      <c r="Y34" s="1998">
        <v>0</v>
      </c>
      <c r="Z34" s="1998">
        <v>589.98</v>
      </c>
      <c r="AA34" s="1998">
        <v>0</v>
      </c>
      <c r="AB34" s="1998">
        <v>0</v>
      </c>
      <c r="AC34" s="1998">
        <v>0</v>
      </c>
      <c r="AD34" s="1998">
        <v>0</v>
      </c>
      <c r="AE34" s="1998">
        <v>0</v>
      </c>
      <c r="AF34" s="1998">
        <v>0</v>
      </c>
      <c r="AG34" s="1999">
        <v>2599.64</v>
      </c>
    </row>
    <row r="35" spans="1:33" x14ac:dyDescent="0.2">
      <c r="A35" s="666" t="s">
        <v>2031</v>
      </c>
      <c r="B35" s="666" t="s">
        <v>35</v>
      </c>
      <c r="C35" s="666"/>
      <c r="D35" s="666"/>
      <c r="E35" s="1996">
        <v>2</v>
      </c>
      <c r="F35" s="1996">
        <v>0</v>
      </c>
      <c r="G35" s="1996">
        <v>0</v>
      </c>
      <c r="H35" s="1996">
        <v>0</v>
      </c>
      <c r="I35" s="1996">
        <v>0</v>
      </c>
      <c r="J35" s="1996">
        <v>0</v>
      </c>
      <c r="K35" s="1996">
        <v>0</v>
      </c>
      <c r="L35" s="1996">
        <v>0</v>
      </c>
      <c r="M35" s="1996">
        <v>0</v>
      </c>
      <c r="N35" s="1996">
        <v>0</v>
      </c>
      <c r="O35" s="1996">
        <v>0</v>
      </c>
      <c r="P35" s="1996">
        <v>0</v>
      </c>
      <c r="Q35" s="1996">
        <v>0</v>
      </c>
      <c r="R35" s="1997">
        <v>2</v>
      </c>
      <c r="S35" s="666" t="s">
        <v>651</v>
      </c>
      <c r="T35" s="1998">
        <v>146.97</v>
      </c>
      <c r="U35" s="1998">
        <v>0</v>
      </c>
      <c r="V35" s="1998">
        <v>0</v>
      </c>
      <c r="W35" s="1998">
        <v>0</v>
      </c>
      <c r="X35" s="1998">
        <v>0</v>
      </c>
      <c r="Y35" s="1998">
        <v>0</v>
      </c>
      <c r="Z35" s="1998">
        <v>33.65</v>
      </c>
      <c r="AA35" s="1998">
        <v>0</v>
      </c>
      <c r="AB35" s="1998">
        <v>0</v>
      </c>
      <c r="AC35" s="1998">
        <v>0</v>
      </c>
      <c r="AD35" s="1998">
        <v>0</v>
      </c>
      <c r="AE35" s="1998">
        <v>0</v>
      </c>
      <c r="AF35" s="1998">
        <v>0</v>
      </c>
      <c r="AG35" s="1999">
        <v>113.32000000000001</v>
      </c>
    </row>
    <row r="36" spans="1:33" x14ac:dyDescent="0.2">
      <c r="A36" s="666" t="s">
        <v>2032</v>
      </c>
      <c r="B36" s="1997">
        <v>1410</v>
      </c>
      <c r="C36" s="1997">
        <v>400</v>
      </c>
      <c r="D36" s="1997">
        <v>929</v>
      </c>
      <c r="E36" s="1998">
        <v>0</v>
      </c>
      <c r="F36" s="1997">
        <v>0</v>
      </c>
      <c r="G36" s="1997">
        <v>0</v>
      </c>
      <c r="H36" s="1997">
        <v>535</v>
      </c>
      <c r="I36" s="1997">
        <v>0</v>
      </c>
      <c r="J36" s="1996">
        <v>0</v>
      </c>
      <c r="K36" s="1996">
        <v>0</v>
      </c>
      <c r="L36" s="1997">
        <v>0</v>
      </c>
      <c r="M36" s="1996">
        <v>0</v>
      </c>
      <c r="N36" s="1996">
        <v>0</v>
      </c>
      <c r="O36" s="1997">
        <v>2204</v>
      </c>
      <c r="P36" s="666" t="s">
        <v>2033</v>
      </c>
      <c r="Q36" s="1998">
        <v>51121.1</v>
      </c>
      <c r="R36" s="1998">
        <v>10000</v>
      </c>
      <c r="S36" s="1998">
        <v>27870</v>
      </c>
      <c r="T36" s="1998">
        <v>0</v>
      </c>
      <c r="U36" s="1998">
        <v>0</v>
      </c>
      <c r="V36" s="1998">
        <v>0</v>
      </c>
      <c r="W36" s="1998">
        <v>18678.97</v>
      </c>
      <c r="X36" s="1998">
        <v>0</v>
      </c>
      <c r="Y36" s="1998">
        <v>0</v>
      </c>
      <c r="Z36" s="1998">
        <v>0</v>
      </c>
      <c r="AA36" s="1998">
        <v>0</v>
      </c>
      <c r="AB36" s="1998">
        <v>0</v>
      </c>
      <c r="AC36" s="1998">
        <v>0</v>
      </c>
      <c r="AD36" s="1998">
        <v>70312.13</v>
      </c>
      <c r="AE36" s="666"/>
      <c r="AF36" s="666"/>
      <c r="AG36" s="666"/>
    </row>
    <row r="37" spans="1:33" x14ac:dyDescent="0.2">
      <c r="A37" s="1996">
        <v>1410</v>
      </c>
      <c r="B37" s="1996">
        <v>400</v>
      </c>
      <c r="C37" s="1996">
        <v>929</v>
      </c>
      <c r="D37" s="1996">
        <v>0</v>
      </c>
      <c r="E37" s="1996">
        <v>0</v>
      </c>
      <c r="F37" s="1996">
        <v>0</v>
      </c>
      <c r="G37" s="1996">
        <v>535</v>
      </c>
      <c r="H37" s="1996">
        <v>0</v>
      </c>
      <c r="I37" s="1996">
        <v>0</v>
      </c>
      <c r="J37" s="1996">
        <v>0</v>
      </c>
      <c r="K37" s="1996">
        <v>0</v>
      </c>
      <c r="L37" s="1996">
        <v>0</v>
      </c>
      <c r="M37" s="1996">
        <v>0</v>
      </c>
      <c r="N37" s="1997">
        <v>2204</v>
      </c>
      <c r="O37" s="666" t="s">
        <v>2034</v>
      </c>
      <c r="P37" s="1998">
        <v>51121.1</v>
      </c>
      <c r="Q37" s="1998">
        <v>10000</v>
      </c>
      <c r="R37" s="1998">
        <v>27870</v>
      </c>
      <c r="S37" s="1998">
        <v>0</v>
      </c>
      <c r="T37" s="1998">
        <v>0</v>
      </c>
      <c r="U37" s="1998">
        <v>0</v>
      </c>
      <c r="V37" s="1998">
        <v>18678.97</v>
      </c>
      <c r="W37" s="1998">
        <v>0</v>
      </c>
      <c r="X37" s="1998">
        <v>0</v>
      </c>
      <c r="Y37" s="1998">
        <v>0</v>
      </c>
      <c r="Z37" s="1998">
        <v>0</v>
      </c>
      <c r="AA37" s="1998">
        <v>0</v>
      </c>
      <c r="AB37" s="1998">
        <v>0</v>
      </c>
      <c r="AC37" s="1998">
        <v>70312.13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1998</v>
      </c>
      <c r="B66" s="666" t="s">
        <v>1999</v>
      </c>
      <c r="C66" s="666" t="s">
        <v>2000</v>
      </c>
      <c r="D66" s="666" t="s">
        <v>2001</v>
      </c>
      <c r="E66" s="666" t="s">
        <v>2002</v>
      </c>
      <c r="F66" s="666" t="s">
        <v>2003</v>
      </c>
      <c r="G66" s="666" t="s">
        <v>2004</v>
      </c>
      <c r="H66" s="666" t="s">
        <v>2005</v>
      </c>
      <c r="I66" s="666" t="s">
        <v>2000</v>
      </c>
      <c r="J66" s="666" t="s">
        <v>2001</v>
      </c>
      <c r="K66" s="666" t="s">
        <v>2002</v>
      </c>
      <c r="L66" s="666" t="s">
        <v>2006</v>
      </c>
      <c r="M66" s="666" t="s">
        <v>2003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2125</v>
      </c>
      <c r="B67" s="666" t="s">
        <v>35</v>
      </c>
      <c r="C67" s="666"/>
      <c r="D67" s="666"/>
      <c r="E67" s="1996">
        <v>26</v>
      </c>
      <c r="F67" s="1996">
        <v>0</v>
      </c>
      <c r="G67" s="1996">
        <v>0</v>
      </c>
      <c r="H67" s="1996">
        <v>0</v>
      </c>
      <c r="I67" s="1996">
        <v>0</v>
      </c>
      <c r="J67" s="1996">
        <v>0</v>
      </c>
      <c r="K67" s="1996">
        <v>2</v>
      </c>
      <c r="L67" s="1996">
        <v>0</v>
      </c>
      <c r="M67" s="1996">
        <v>0</v>
      </c>
      <c r="N67" s="1996">
        <v>0</v>
      </c>
      <c r="O67" s="1996">
        <v>0</v>
      </c>
      <c r="P67" s="1996">
        <v>0</v>
      </c>
      <c r="Q67" s="1996">
        <v>0</v>
      </c>
      <c r="R67" s="1997">
        <v>24</v>
      </c>
      <c r="S67" s="666" t="s">
        <v>593</v>
      </c>
      <c r="T67" s="1998">
        <v>266.86</v>
      </c>
      <c r="U67" s="1998">
        <v>0</v>
      </c>
      <c r="V67" s="1998">
        <v>0</v>
      </c>
      <c r="W67" s="1998">
        <v>0</v>
      </c>
      <c r="X67" s="1998">
        <v>0</v>
      </c>
      <c r="Y67" s="1998">
        <v>0</v>
      </c>
      <c r="Z67" s="1998">
        <v>16.8</v>
      </c>
      <c r="AA67" s="1998">
        <v>0</v>
      </c>
      <c r="AB67" s="1998">
        <v>0</v>
      </c>
      <c r="AC67" s="1998">
        <v>0</v>
      </c>
      <c r="AD67" s="1998">
        <v>0</v>
      </c>
      <c r="AE67" s="1998">
        <v>0</v>
      </c>
      <c r="AF67" s="1998">
        <v>0</v>
      </c>
      <c r="AG67" s="1999">
        <v>250.06</v>
      </c>
    </row>
    <row r="68" spans="1:33" x14ac:dyDescent="0.2">
      <c r="A68" s="666" t="s">
        <v>2126</v>
      </c>
      <c r="B68" s="666" t="s">
        <v>35</v>
      </c>
      <c r="C68" s="666"/>
      <c r="D68" s="666"/>
      <c r="E68" s="1996">
        <v>146</v>
      </c>
      <c r="F68" s="1996">
        <v>0</v>
      </c>
      <c r="G68" s="1996">
        <v>0</v>
      </c>
      <c r="H68" s="1996">
        <v>0</v>
      </c>
      <c r="I68" s="1996">
        <v>0</v>
      </c>
      <c r="J68" s="1996">
        <v>0</v>
      </c>
      <c r="K68" s="1996">
        <v>26</v>
      </c>
      <c r="L68" s="1996">
        <v>0</v>
      </c>
      <c r="M68" s="1996">
        <v>0</v>
      </c>
      <c r="N68" s="1996">
        <v>0</v>
      </c>
      <c r="O68" s="1996">
        <v>0</v>
      </c>
      <c r="P68" s="1996">
        <v>0</v>
      </c>
      <c r="Q68" s="1996">
        <v>0</v>
      </c>
      <c r="R68" s="1997">
        <v>120</v>
      </c>
      <c r="S68" s="666" t="s">
        <v>1346</v>
      </c>
      <c r="T68" s="1998">
        <v>3007.9500000000003</v>
      </c>
      <c r="U68" s="1998">
        <v>0</v>
      </c>
      <c r="V68" s="1998">
        <v>0</v>
      </c>
      <c r="W68" s="1998">
        <v>0</v>
      </c>
      <c r="X68" s="1998">
        <v>0</v>
      </c>
      <c r="Y68" s="1998">
        <v>0</v>
      </c>
      <c r="Z68" s="1998">
        <v>506.40000000000003</v>
      </c>
      <c r="AA68" s="1998">
        <v>0</v>
      </c>
      <c r="AB68" s="1998">
        <v>0</v>
      </c>
      <c r="AC68" s="1998">
        <v>0</v>
      </c>
      <c r="AD68" s="1998">
        <v>0</v>
      </c>
      <c r="AE68" s="1998">
        <v>0</v>
      </c>
      <c r="AF68" s="1998">
        <v>0</v>
      </c>
      <c r="AG68" s="1999">
        <v>2501.5500000000002</v>
      </c>
    </row>
    <row r="69" spans="1:33" x14ac:dyDescent="0.2">
      <c r="A69" s="666" t="s">
        <v>2127</v>
      </c>
      <c r="B69" s="666" t="s">
        <v>35</v>
      </c>
      <c r="C69" s="666"/>
      <c r="D69" s="666"/>
      <c r="E69" s="1996">
        <v>90</v>
      </c>
      <c r="F69" s="1996">
        <v>0</v>
      </c>
      <c r="G69" s="1996">
        <v>0</v>
      </c>
      <c r="H69" s="1996">
        <v>0</v>
      </c>
      <c r="I69" s="1996">
        <v>0</v>
      </c>
      <c r="J69" s="1996">
        <v>0</v>
      </c>
      <c r="K69" s="1996">
        <v>0</v>
      </c>
      <c r="L69" s="1996">
        <v>0</v>
      </c>
      <c r="M69" s="1996">
        <v>0</v>
      </c>
      <c r="N69" s="1996">
        <v>0</v>
      </c>
      <c r="O69" s="1996">
        <v>0</v>
      </c>
      <c r="P69" s="1996">
        <v>0</v>
      </c>
      <c r="Q69" s="1996">
        <v>0</v>
      </c>
      <c r="R69" s="1997">
        <v>90</v>
      </c>
      <c r="S69" s="666" t="s">
        <v>602</v>
      </c>
      <c r="T69" s="1998">
        <v>1939.7</v>
      </c>
      <c r="U69" s="1998">
        <v>0</v>
      </c>
      <c r="V69" s="1998">
        <v>0</v>
      </c>
      <c r="W69" s="1998">
        <v>0</v>
      </c>
      <c r="X69" s="1998">
        <v>0</v>
      </c>
      <c r="Y69" s="1998">
        <v>0</v>
      </c>
      <c r="Z69" s="1998">
        <v>80</v>
      </c>
      <c r="AA69" s="1998">
        <v>0</v>
      </c>
      <c r="AB69" s="1998">
        <v>0</v>
      </c>
      <c r="AC69" s="1998">
        <v>0</v>
      </c>
      <c r="AD69" s="1998">
        <v>0</v>
      </c>
      <c r="AE69" s="1998">
        <v>0</v>
      </c>
      <c r="AF69" s="1998">
        <v>0</v>
      </c>
      <c r="AG69" s="1999">
        <v>1859.7</v>
      </c>
    </row>
    <row r="70" spans="1:33" x14ac:dyDescent="0.2">
      <c r="A70" s="666" t="s">
        <v>2128</v>
      </c>
      <c r="B70" s="666" t="s">
        <v>35</v>
      </c>
      <c r="C70" s="666"/>
      <c r="D70" s="666"/>
      <c r="E70" s="1996">
        <v>350</v>
      </c>
      <c r="F70" s="1996">
        <v>0</v>
      </c>
      <c r="G70" s="1996">
        <v>0</v>
      </c>
      <c r="H70" s="1996">
        <v>0</v>
      </c>
      <c r="I70" s="1996">
        <v>0</v>
      </c>
      <c r="J70" s="1996">
        <v>0</v>
      </c>
      <c r="K70" s="1996">
        <v>100</v>
      </c>
      <c r="L70" s="1996">
        <v>0</v>
      </c>
      <c r="M70" s="1996">
        <v>0</v>
      </c>
      <c r="N70" s="1996">
        <v>0</v>
      </c>
      <c r="O70" s="1996">
        <v>0</v>
      </c>
      <c r="P70" s="1996">
        <v>0</v>
      </c>
      <c r="Q70" s="1996">
        <v>0</v>
      </c>
      <c r="R70" s="1997">
        <v>250</v>
      </c>
      <c r="S70" s="666" t="s">
        <v>969</v>
      </c>
      <c r="T70" s="1998">
        <v>7797.8</v>
      </c>
      <c r="U70" s="1998">
        <v>0</v>
      </c>
      <c r="V70" s="1998">
        <v>0</v>
      </c>
      <c r="W70" s="1998">
        <v>0</v>
      </c>
      <c r="X70" s="1998">
        <v>0</v>
      </c>
      <c r="Y70" s="1998">
        <v>0</v>
      </c>
      <c r="Z70" s="1998">
        <v>1835.52</v>
      </c>
      <c r="AA70" s="1998">
        <v>0</v>
      </c>
      <c r="AB70" s="1998">
        <v>0</v>
      </c>
      <c r="AC70" s="1998">
        <v>0</v>
      </c>
      <c r="AD70" s="1998">
        <v>0</v>
      </c>
      <c r="AE70" s="1998">
        <v>0</v>
      </c>
      <c r="AF70" s="1998">
        <v>0</v>
      </c>
      <c r="AG70" s="1999">
        <v>5962.28</v>
      </c>
    </row>
    <row r="71" spans="1:33" x14ac:dyDescent="0.2">
      <c r="A71" s="666" t="s">
        <v>2129</v>
      </c>
      <c r="B71" s="666" t="s">
        <v>35</v>
      </c>
      <c r="C71" s="666"/>
      <c r="D71" s="666"/>
      <c r="E71" s="1996">
        <v>6</v>
      </c>
      <c r="F71" s="1996">
        <v>0</v>
      </c>
      <c r="G71" s="1996">
        <v>0</v>
      </c>
      <c r="H71" s="1996">
        <v>0</v>
      </c>
      <c r="I71" s="1996">
        <v>0</v>
      </c>
      <c r="J71" s="1996">
        <v>0</v>
      </c>
      <c r="K71" s="1996">
        <v>1</v>
      </c>
      <c r="L71" s="1996">
        <v>0</v>
      </c>
      <c r="M71" s="1996">
        <v>0</v>
      </c>
      <c r="N71" s="1996">
        <v>0</v>
      </c>
      <c r="O71" s="1996">
        <v>0</v>
      </c>
      <c r="P71" s="1996">
        <v>0</v>
      </c>
      <c r="Q71" s="1996">
        <v>0</v>
      </c>
      <c r="R71" s="1997">
        <v>5</v>
      </c>
      <c r="S71" s="666" t="s">
        <v>1370</v>
      </c>
      <c r="T71" s="1998">
        <v>138.74</v>
      </c>
      <c r="U71" s="1998">
        <v>0</v>
      </c>
      <c r="V71" s="1998">
        <v>0</v>
      </c>
      <c r="W71" s="1998">
        <v>0</v>
      </c>
      <c r="X71" s="1998">
        <v>0</v>
      </c>
      <c r="Y71" s="1998">
        <v>0</v>
      </c>
      <c r="Z71" s="1998">
        <v>23.1</v>
      </c>
      <c r="AA71" s="1998">
        <v>0</v>
      </c>
      <c r="AB71" s="1998">
        <v>0</v>
      </c>
      <c r="AC71" s="1998">
        <v>0</v>
      </c>
      <c r="AD71" s="1998">
        <v>0</v>
      </c>
      <c r="AE71" s="1998">
        <v>0</v>
      </c>
      <c r="AF71" s="1998">
        <v>0</v>
      </c>
      <c r="AG71" s="1999">
        <v>115.64</v>
      </c>
    </row>
    <row r="72" spans="1:33" x14ac:dyDescent="0.2">
      <c r="A72" s="666" t="s">
        <v>2130</v>
      </c>
      <c r="B72" s="666" t="s">
        <v>35</v>
      </c>
      <c r="C72" s="666"/>
      <c r="D72" s="666"/>
      <c r="E72" s="1996">
        <v>0</v>
      </c>
      <c r="F72" s="1996">
        <v>0</v>
      </c>
      <c r="G72" s="1996">
        <v>20</v>
      </c>
      <c r="H72" s="1996">
        <v>0</v>
      </c>
      <c r="I72" s="1996">
        <v>0</v>
      </c>
      <c r="J72" s="1996">
        <v>0</v>
      </c>
      <c r="K72" s="1996">
        <v>0</v>
      </c>
      <c r="L72" s="1996">
        <v>0</v>
      </c>
      <c r="M72" s="1996">
        <v>0</v>
      </c>
      <c r="N72" s="1996">
        <v>0</v>
      </c>
      <c r="O72" s="1996">
        <v>0</v>
      </c>
      <c r="P72" s="1996">
        <v>0</v>
      </c>
      <c r="Q72" s="1996">
        <v>0</v>
      </c>
      <c r="R72" s="1997">
        <v>20</v>
      </c>
      <c r="S72" s="666" t="s">
        <v>1757</v>
      </c>
      <c r="T72" s="1998">
        <v>10.6</v>
      </c>
      <c r="U72" s="1998">
        <v>0</v>
      </c>
      <c r="V72" s="1998">
        <v>20</v>
      </c>
      <c r="W72" s="1998">
        <v>0</v>
      </c>
      <c r="X72" s="1998">
        <v>0</v>
      </c>
      <c r="Y72" s="1998">
        <v>0</v>
      </c>
      <c r="Z72" s="1998">
        <v>3.2</v>
      </c>
      <c r="AA72" s="1998">
        <v>0</v>
      </c>
      <c r="AB72" s="1998">
        <v>0</v>
      </c>
      <c r="AC72" s="1998">
        <v>0</v>
      </c>
      <c r="AD72" s="1998">
        <v>0</v>
      </c>
      <c r="AE72" s="1998">
        <v>0</v>
      </c>
      <c r="AF72" s="1998">
        <v>0</v>
      </c>
      <c r="AG72" s="1999">
        <v>27.400000000000002</v>
      </c>
    </row>
    <row r="73" spans="1:33" x14ac:dyDescent="0.2">
      <c r="A73" s="666" t="s">
        <v>2131</v>
      </c>
      <c r="B73" s="666" t="s">
        <v>35</v>
      </c>
      <c r="C73" s="666"/>
      <c r="D73" s="666"/>
      <c r="E73" s="1996">
        <v>7</v>
      </c>
      <c r="F73" s="1996">
        <v>0</v>
      </c>
      <c r="G73" s="1996">
        <v>0</v>
      </c>
      <c r="H73" s="1996">
        <v>0</v>
      </c>
      <c r="I73" s="1996">
        <v>0</v>
      </c>
      <c r="J73" s="1996">
        <v>0</v>
      </c>
      <c r="K73" s="1996">
        <v>1</v>
      </c>
      <c r="L73" s="1996">
        <v>0</v>
      </c>
      <c r="M73" s="1996">
        <v>0</v>
      </c>
      <c r="N73" s="1996">
        <v>0</v>
      </c>
      <c r="O73" s="1996">
        <v>0</v>
      </c>
      <c r="P73" s="1996">
        <v>0</v>
      </c>
      <c r="Q73" s="1996">
        <v>0</v>
      </c>
      <c r="R73" s="1997">
        <v>6</v>
      </c>
      <c r="S73" s="666" t="s">
        <v>1512</v>
      </c>
      <c r="T73" s="1998">
        <v>193.19</v>
      </c>
      <c r="U73" s="1998">
        <v>0</v>
      </c>
      <c r="V73" s="1998">
        <v>0</v>
      </c>
      <c r="W73" s="1998">
        <v>0</v>
      </c>
      <c r="X73" s="1998">
        <v>0</v>
      </c>
      <c r="Y73" s="1998">
        <v>0</v>
      </c>
      <c r="Z73" s="1998">
        <v>23.66</v>
      </c>
      <c r="AA73" s="1998">
        <v>0</v>
      </c>
      <c r="AB73" s="1998">
        <v>0</v>
      </c>
      <c r="AC73" s="1998">
        <v>0</v>
      </c>
      <c r="AD73" s="1998">
        <v>0</v>
      </c>
      <c r="AE73" s="1998">
        <v>0</v>
      </c>
      <c r="AF73" s="1998">
        <v>0</v>
      </c>
      <c r="AG73" s="1999">
        <v>169.53</v>
      </c>
    </row>
    <row r="74" spans="1:33" x14ac:dyDescent="0.2">
      <c r="A74" s="666" t="s">
        <v>2132</v>
      </c>
      <c r="B74" s="666" t="s">
        <v>35</v>
      </c>
      <c r="C74" s="666"/>
      <c r="D74" s="666"/>
      <c r="E74" s="1996">
        <v>4</v>
      </c>
      <c r="F74" s="1996">
        <v>0</v>
      </c>
      <c r="G74" s="1996">
        <v>0</v>
      </c>
      <c r="H74" s="1996">
        <v>0</v>
      </c>
      <c r="I74" s="1996">
        <v>0</v>
      </c>
      <c r="J74" s="1996">
        <v>0</v>
      </c>
      <c r="K74" s="1996">
        <v>0</v>
      </c>
      <c r="L74" s="1996">
        <v>0</v>
      </c>
      <c r="M74" s="1996">
        <v>0</v>
      </c>
      <c r="N74" s="1996">
        <v>0</v>
      </c>
      <c r="O74" s="1996">
        <v>0</v>
      </c>
      <c r="P74" s="1996">
        <v>0</v>
      </c>
      <c r="Q74" s="1996">
        <v>0</v>
      </c>
      <c r="R74" s="1997">
        <v>4</v>
      </c>
      <c r="S74" s="666" t="s">
        <v>210</v>
      </c>
      <c r="T74" s="1998">
        <v>130.79</v>
      </c>
      <c r="U74" s="1998">
        <v>0</v>
      </c>
      <c r="V74" s="1998">
        <v>0</v>
      </c>
      <c r="W74" s="1998">
        <v>0</v>
      </c>
      <c r="X74" s="1998">
        <v>0</v>
      </c>
      <c r="Y74" s="1998">
        <v>0</v>
      </c>
      <c r="Z74" s="1998">
        <v>4.7300000000000004</v>
      </c>
      <c r="AA74" s="1998">
        <v>0</v>
      </c>
      <c r="AB74" s="1998">
        <v>0</v>
      </c>
      <c r="AC74" s="1998">
        <v>0</v>
      </c>
      <c r="AD74" s="1998">
        <v>0</v>
      </c>
      <c r="AE74" s="1998">
        <v>0</v>
      </c>
      <c r="AF74" s="1998">
        <v>0</v>
      </c>
      <c r="AG74" s="1999">
        <v>126.06</v>
      </c>
    </row>
    <row r="75" spans="1:33" x14ac:dyDescent="0.2">
      <c r="A75" s="666" t="s">
        <v>2133</v>
      </c>
      <c r="B75" s="666" t="s">
        <v>35</v>
      </c>
      <c r="C75" s="666"/>
      <c r="D75" s="666"/>
      <c r="E75" s="1996">
        <v>160</v>
      </c>
      <c r="F75" s="1996">
        <v>0</v>
      </c>
      <c r="G75" s="1996">
        <v>0</v>
      </c>
      <c r="H75" s="1996">
        <v>0</v>
      </c>
      <c r="I75" s="1996">
        <v>0</v>
      </c>
      <c r="J75" s="1996">
        <v>0</v>
      </c>
      <c r="K75" s="1996">
        <v>40</v>
      </c>
      <c r="L75" s="1996">
        <v>0</v>
      </c>
      <c r="M75" s="1996">
        <v>0</v>
      </c>
      <c r="N75" s="1996">
        <v>0</v>
      </c>
      <c r="O75" s="1996">
        <v>0</v>
      </c>
      <c r="P75" s="1996">
        <v>0</v>
      </c>
      <c r="Q75" s="1996">
        <v>0</v>
      </c>
      <c r="R75" s="1997">
        <v>120</v>
      </c>
      <c r="S75" s="666" t="s">
        <v>385</v>
      </c>
      <c r="T75" s="1998">
        <v>4727.26</v>
      </c>
      <c r="U75" s="1998">
        <v>0</v>
      </c>
      <c r="V75" s="1998">
        <v>0</v>
      </c>
      <c r="W75" s="1998">
        <v>0</v>
      </c>
      <c r="X75" s="1998">
        <v>0</v>
      </c>
      <c r="Y75" s="1998">
        <v>0</v>
      </c>
      <c r="Z75" s="1998">
        <v>1221.68</v>
      </c>
      <c r="AA75" s="1998">
        <v>0</v>
      </c>
      <c r="AB75" s="1998">
        <v>0</v>
      </c>
      <c r="AC75" s="1998">
        <v>0</v>
      </c>
      <c r="AD75" s="1998">
        <v>0</v>
      </c>
      <c r="AE75" s="1998">
        <v>0</v>
      </c>
      <c r="AF75" s="1998">
        <v>0</v>
      </c>
      <c r="AG75" s="1999">
        <v>3505.58</v>
      </c>
    </row>
    <row r="76" spans="1:33" x14ac:dyDescent="0.2">
      <c r="A76" s="666" t="s">
        <v>2134</v>
      </c>
      <c r="B76" s="666" t="s">
        <v>35</v>
      </c>
      <c r="C76" s="666"/>
      <c r="D76" s="666"/>
      <c r="E76" s="1996">
        <v>20</v>
      </c>
      <c r="F76" s="1996">
        <v>0</v>
      </c>
      <c r="G76" s="1996">
        <v>0</v>
      </c>
      <c r="H76" s="1996">
        <v>0</v>
      </c>
      <c r="I76" s="1996">
        <v>0</v>
      </c>
      <c r="J76" s="1996">
        <v>0</v>
      </c>
      <c r="K76" s="1996">
        <v>5</v>
      </c>
      <c r="L76" s="1996">
        <v>0</v>
      </c>
      <c r="M76" s="1996">
        <v>0</v>
      </c>
      <c r="N76" s="1996">
        <v>0</v>
      </c>
      <c r="O76" s="1996">
        <v>0</v>
      </c>
      <c r="P76" s="1996">
        <v>0</v>
      </c>
      <c r="Q76" s="1996">
        <v>0</v>
      </c>
      <c r="R76" s="1997">
        <v>15</v>
      </c>
      <c r="S76" s="666" t="s">
        <v>462</v>
      </c>
      <c r="T76" s="1998">
        <v>508.02000000000004</v>
      </c>
      <c r="U76" s="1998">
        <v>0</v>
      </c>
      <c r="V76" s="1998">
        <v>0</v>
      </c>
      <c r="W76" s="1998">
        <v>0</v>
      </c>
      <c r="X76" s="1998">
        <v>0</v>
      </c>
      <c r="Y76" s="1998">
        <v>0</v>
      </c>
      <c r="Z76" s="1998">
        <v>113.4</v>
      </c>
      <c r="AA76" s="1998">
        <v>0</v>
      </c>
      <c r="AB76" s="1998">
        <v>0</v>
      </c>
      <c r="AC76" s="1998">
        <v>0</v>
      </c>
      <c r="AD76" s="1998">
        <v>0</v>
      </c>
      <c r="AE76" s="1998">
        <v>0</v>
      </c>
      <c r="AF76" s="1998">
        <v>0</v>
      </c>
      <c r="AG76" s="1999">
        <v>394.62</v>
      </c>
    </row>
    <row r="77" spans="1:33" x14ac:dyDescent="0.2">
      <c r="A77" s="666" t="s">
        <v>2135</v>
      </c>
      <c r="B77" s="666" t="s">
        <v>35</v>
      </c>
      <c r="C77" s="666"/>
      <c r="D77" s="666"/>
      <c r="E77" s="1996">
        <v>55</v>
      </c>
      <c r="F77" s="1996">
        <v>0</v>
      </c>
      <c r="G77" s="1996">
        <v>0</v>
      </c>
      <c r="H77" s="1996">
        <v>0</v>
      </c>
      <c r="I77" s="1996">
        <v>0</v>
      </c>
      <c r="J77" s="1996">
        <v>0</v>
      </c>
      <c r="K77" s="1996">
        <v>14</v>
      </c>
      <c r="L77" s="1996">
        <v>0</v>
      </c>
      <c r="M77" s="1996">
        <v>0</v>
      </c>
      <c r="N77" s="1996">
        <v>0</v>
      </c>
      <c r="O77" s="1996">
        <v>0</v>
      </c>
      <c r="P77" s="1996">
        <v>0</v>
      </c>
      <c r="Q77" s="1996">
        <v>0</v>
      </c>
      <c r="R77" s="1997">
        <v>41</v>
      </c>
      <c r="S77" s="666" t="s">
        <v>60</v>
      </c>
      <c r="T77" s="1998">
        <v>1379.28</v>
      </c>
      <c r="U77" s="1998">
        <v>0</v>
      </c>
      <c r="V77" s="1998">
        <v>0</v>
      </c>
      <c r="W77" s="1998">
        <v>0</v>
      </c>
      <c r="X77" s="1998">
        <v>0</v>
      </c>
      <c r="Y77" s="1998">
        <v>0</v>
      </c>
      <c r="Z77" s="1998">
        <v>114.56</v>
      </c>
      <c r="AA77" s="1998">
        <v>0</v>
      </c>
      <c r="AB77" s="1998">
        <v>0</v>
      </c>
      <c r="AC77" s="1998">
        <v>0</v>
      </c>
      <c r="AD77" s="1998">
        <v>0</v>
      </c>
      <c r="AE77" s="1998">
        <v>0</v>
      </c>
      <c r="AF77" s="1998">
        <v>0</v>
      </c>
      <c r="AG77" s="1999">
        <v>1264.72</v>
      </c>
    </row>
    <row r="78" spans="1:33" x14ac:dyDescent="0.2">
      <c r="A78" s="666" t="s">
        <v>2136</v>
      </c>
      <c r="B78" s="666" t="s">
        <v>35</v>
      </c>
      <c r="C78" s="666"/>
      <c r="D78" s="666"/>
      <c r="E78" s="1996">
        <v>49</v>
      </c>
      <c r="F78" s="1996">
        <v>0</v>
      </c>
      <c r="G78" s="1996">
        <v>0</v>
      </c>
      <c r="H78" s="1996">
        <v>0</v>
      </c>
      <c r="I78" s="1996">
        <v>0</v>
      </c>
      <c r="J78" s="1996">
        <v>0</v>
      </c>
      <c r="K78" s="1996">
        <v>7</v>
      </c>
      <c r="L78" s="1996">
        <v>0</v>
      </c>
      <c r="M78" s="1996">
        <v>0</v>
      </c>
      <c r="N78" s="1996">
        <v>0</v>
      </c>
      <c r="O78" s="1996">
        <v>0</v>
      </c>
      <c r="P78" s="1996">
        <v>0</v>
      </c>
      <c r="Q78" s="1996">
        <v>0</v>
      </c>
      <c r="R78" s="1997">
        <v>42</v>
      </c>
      <c r="S78" s="666" t="s">
        <v>675</v>
      </c>
      <c r="T78" s="1998">
        <v>998</v>
      </c>
      <c r="U78" s="1998">
        <v>0</v>
      </c>
      <c r="V78" s="1998">
        <v>0</v>
      </c>
      <c r="W78" s="1998">
        <v>0</v>
      </c>
      <c r="X78" s="1998">
        <v>0</v>
      </c>
      <c r="Y78" s="1998">
        <v>0</v>
      </c>
      <c r="Z78" s="1998">
        <v>76</v>
      </c>
      <c r="AA78" s="1998">
        <v>0</v>
      </c>
      <c r="AB78" s="1998">
        <v>0</v>
      </c>
      <c r="AC78" s="1998">
        <v>0</v>
      </c>
      <c r="AD78" s="1998">
        <v>0</v>
      </c>
      <c r="AE78" s="1998">
        <v>0</v>
      </c>
      <c r="AF78" s="1998">
        <v>0</v>
      </c>
      <c r="AG78" s="1999">
        <v>922</v>
      </c>
    </row>
    <row r="79" spans="1:33" x14ac:dyDescent="0.2">
      <c r="A79" s="666" t="s">
        <v>2137</v>
      </c>
      <c r="B79" s="666" t="s">
        <v>35</v>
      </c>
      <c r="C79" s="666"/>
      <c r="D79" s="666"/>
      <c r="E79" s="1996">
        <v>18</v>
      </c>
      <c r="F79" s="1996">
        <v>0</v>
      </c>
      <c r="G79" s="1996">
        <v>0</v>
      </c>
      <c r="H79" s="1996">
        <v>0</v>
      </c>
      <c r="I79" s="1996">
        <v>0</v>
      </c>
      <c r="J79" s="1996">
        <v>0</v>
      </c>
      <c r="K79" s="1996">
        <v>0</v>
      </c>
      <c r="L79" s="1996">
        <v>0</v>
      </c>
      <c r="M79" s="1996">
        <v>0</v>
      </c>
      <c r="N79" s="1996">
        <v>0</v>
      </c>
      <c r="O79" s="1996">
        <v>0</v>
      </c>
      <c r="P79" s="1996">
        <v>0</v>
      </c>
      <c r="Q79" s="1996">
        <v>0</v>
      </c>
      <c r="R79" s="1997">
        <v>18</v>
      </c>
      <c r="S79" s="666" t="s">
        <v>1808</v>
      </c>
      <c r="T79" s="1998">
        <v>480.21000000000004</v>
      </c>
      <c r="U79" s="1998">
        <v>0</v>
      </c>
      <c r="V79" s="1998">
        <v>0</v>
      </c>
      <c r="W79" s="1998">
        <v>0</v>
      </c>
      <c r="X79" s="1998">
        <v>0</v>
      </c>
      <c r="Y79" s="1998">
        <v>0</v>
      </c>
      <c r="Z79" s="1998">
        <v>9.1</v>
      </c>
      <c r="AA79" s="1998">
        <v>0</v>
      </c>
      <c r="AB79" s="1998">
        <v>0</v>
      </c>
      <c r="AC79" s="1998">
        <v>0</v>
      </c>
      <c r="AD79" s="1998">
        <v>0</v>
      </c>
      <c r="AE79" s="1998">
        <v>0</v>
      </c>
      <c r="AF79" s="1998">
        <v>0</v>
      </c>
      <c r="AG79" s="1999">
        <v>471.11</v>
      </c>
    </row>
    <row r="80" spans="1:33" x14ac:dyDescent="0.2">
      <c r="A80" s="666" t="s">
        <v>2138</v>
      </c>
      <c r="B80" s="666" t="s">
        <v>35</v>
      </c>
      <c r="C80" s="666"/>
      <c r="D80" s="666"/>
      <c r="E80" s="1996">
        <v>1</v>
      </c>
      <c r="F80" s="1996">
        <v>0</v>
      </c>
      <c r="G80" s="1996">
        <v>0</v>
      </c>
      <c r="H80" s="1996">
        <v>0</v>
      </c>
      <c r="I80" s="1996">
        <v>0</v>
      </c>
      <c r="J80" s="1996">
        <v>0</v>
      </c>
      <c r="K80" s="1996">
        <v>1</v>
      </c>
      <c r="L80" s="1996">
        <v>0</v>
      </c>
      <c r="M80" s="1996">
        <v>0</v>
      </c>
      <c r="N80" s="1996">
        <v>0</v>
      </c>
      <c r="O80" s="1996">
        <v>0</v>
      </c>
      <c r="P80" s="1996">
        <v>0</v>
      </c>
      <c r="Q80" s="1996">
        <v>0</v>
      </c>
      <c r="R80" s="1997">
        <v>0</v>
      </c>
      <c r="S80" s="666" t="s">
        <v>680</v>
      </c>
      <c r="T80" s="1998">
        <v>26.490000000000002</v>
      </c>
      <c r="U80" s="1998">
        <v>0</v>
      </c>
      <c r="V80" s="1998">
        <v>0</v>
      </c>
      <c r="W80" s="1998">
        <v>0</v>
      </c>
      <c r="X80" s="1998">
        <v>0</v>
      </c>
      <c r="Y80" s="1998">
        <v>0</v>
      </c>
      <c r="Z80" s="1998">
        <v>7.5600000000000005</v>
      </c>
      <c r="AA80" s="1998">
        <v>0</v>
      </c>
      <c r="AB80" s="1998">
        <v>0</v>
      </c>
      <c r="AC80" s="1998">
        <v>0</v>
      </c>
      <c r="AD80" s="1998">
        <v>0</v>
      </c>
      <c r="AE80" s="1998">
        <v>0</v>
      </c>
      <c r="AF80" s="1998">
        <v>0</v>
      </c>
      <c r="AG80" s="1999">
        <v>18.93</v>
      </c>
    </row>
    <row r="81" spans="1:34" x14ac:dyDescent="0.2">
      <c r="A81" s="666" t="s">
        <v>2139</v>
      </c>
      <c r="B81" s="666" t="s">
        <v>35</v>
      </c>
      <c r="C81" s="666"/>
      <c r="D81" s="666"/>
      <c r="E81" s="1996">
        <v>90</v>
      </c>
      <c r="F81" s="1996">
        <v>0</v>
      </c>
      <c r="G81" s="1996">
        <v>25</v>
      </c>
      <c r="H81" s="1996">
        <v>0</v>
      </c>
      <c r="I81" s="1996">
        <v>0</v>
      </c>
      <c r="J81" s="1996">
        <v>0</v>
      </c>
      <c r="K81" s="1996">
        <v>8</v>
      </c>
      <c r="L81" s="1996">
        <v>0</v>
      </c>
      <c r="M81" s="1996">
        <v>0</v>
      </c>
      <c r="N81" s="1996">
        <v>0</v>
      </c>
      <c r="O81" s="1996">
        <v>0</v>
      </c>
      <c r="P81" s="1996">
        <v>0</v>
      </c>
      <c r="Q81" s="1996">
        <v>0</v>
      </c>
      <c r="R81" s="1997">
        <v>107</v>
      </c>
      <c r="S81" s="666" t="s">
        <v>917</v>
      </c>
      <c r="T81" s="1998">
        <v>1831.5900000000001</v>
      </c>
      <c r="U81" s="1998">
        <v>0</v>
      </c>
      <c r="V81" s="1998">
        <v>500</v>
      </c>
      <c r="W81" s="1998">
        <v>0</v>
      </c>
      <c r="X81" s="1998">
        <v>0</v>
      </c>
      <c r="Y81" s="1998">
        <v>0</v>
      </c>
      <c r="Z81" s="1998">
        <v>109.2</v>
      </c>
      <c r="AA81" s="1998">
        <v>0</v>
      </c>
      <c r="AB81" s="1998">
        <v>0</v>
      </c>
      <c r="AC81" s="1998">
        <v>0</v>
      </c>
      <c r="AD81" s="1998">
        <v>0</v>
      </c>
      <c r="AE81" s="1998">
        <v>0</v>
      </c>
      <c r="AF81" s="1998">
        <v>0</v>
      </c>
      <c r="AG81" s="1999">
        <v>2222.39</v>
      </c>
    </row>
    <row r="82" spans="1:34" x14ac:dyDescent="0.2">
      <c r="A82" s="666" t="s">
        <v>2140</v>
      </c>
      <c r="B82" s="666" t="s">
        <v>35</v>
      </c>
      <c r="C82" s="666"/>
      <c r="D82" s="666"/>
      <c r="E82" s="1996">
        <v>145</v>
      </c>
      <c r="F82" s="1996">
        <v>0</v>
      </c>
      <c r="G82" s="1996">
        <v>0</v>
      </c>
      <c r="H82" s="1996">
        <v>0</v>
      </c>
      <c r="I82" s="1996">
        <v>0</v>
      </c>
      <c r="J82" s="1996">
        <v>0</v>
      </c>
      <c r="K82" s="1996">
        <v>30</v>
      </c>
      <c r="L82" s="1996">
        <v>0</v>
      </c>
      <c r="M82" s="1996">
        <v>0</v>
      </c>
      <c r="N82" s="1996">
        <v>0</v>
      </c>
      <c r="O82" s="1996">
        <v>0</v>
      </c>
      <c r="P82" s="1996">
        <v>0</v>
      </c>
      <c r="Q82" s="1996">
        <v>0</v>
      </c>
      <c r="R82" s="1997">
        <v>115</v>
      </c>
      <c r="S82" s="666" t="s">
        <v>1391</v>
      </c>
      <c r="T82" s="1998">
        <v>3818.5</v>
      </c>
      <c r="U82" s="1998">
        <v>0</v>
      </c>
      <c r="V82" s="1998">
        <v>0</v>
      </c>
      <c r="W82" s="1998">
        <v>0</v>
      </c>
      <c r="X82" s="1998">
        <v>0</v>
      </c>
      <c r="Y82" s="1998">
        <v>0</v>
      </c>
      <c r="Z82" s="1998">
        <v>806.87</v>
      </c>
      <c r="AA82" s="1998">
        <v>0</v>
      </c>
      <c r="AB82" s="1998">
        <v>0</v>
      </c>
      <c r="AC82" s="1998">
        <v>0</v>
      </c>
      <c r="AD82" s="1998">
        <v>0</v>
      </c>
      <c r="AE82" s="1998">
        <v>0</v>
      </c>
      <c r="AF82" s="1998">
        <v>0</v>
      </c>
      <c r="AG82" s="1999">
        <v>3011.63</v>
      </c>
    </row>
    <row r="83" spans="1:34" x14ac:dyDescent="0.2">
      <c r="A83" s="666" t="s">
        <v>2141</v>
      </c>
      <c r="B83" s="666" t="s">
        <v>35</v>
      </c>
      <c r="C83" s="666"/>
      <c r="D83" s="666"/>
      <c r="E83" s="1996">
        <v>5</v>
      </c>
      <c r="F83" s="1996">
        <v>0</v>
      </c>
      <c r="G83" s="1996">
        <v>0</v>
      </c>
      <c r="H83" s="1996">
        <v>0</v>
      </c>
      <c r="I83" s="1996">
        <v>0</v>
      </c>
      <c r="J83" s="1996">
        <v>0</v>
      </c>
      <c r="K83" s="1996">
        <v>0</v>
      </c>
      <c r="L83" s="1996">
        <v>0</v>
      </c>
      <c r="M83" s="1996">
        <v>0</v>
      </c>
      <c r="N83" s="1996">
        <v>0</v>
      </c>
      <c r="O83" s="1996">
        <v>0</v>
      </c>
      <c r="P83" s="1996">
        <v>0</v>
      </c>
      <c r="Q83" s="1996">
        <v>0</v>
      </c>
      <c r="R83" s="1997">
        <v>5</v>
      </c>
      <c r="S83" s="666" t="s">
        <v>1593</v>
      </c>
      <c r="T83" s="1998">
        <v>143.30000000000001</v>
      </c>
      <c r="U83" s="1998">
        <v>0</v>
      </c>
      <c r="V83" s="1998">
        <v>0</v>
      </c>
      <c r="W83" s="1998">
        <v>0</v>
      </c>
      <c r="X83" s="1998">
        <v>0</v>
      </c>
      <c r="Y83" s="1998">
        <v>0</v>
      </c>
      <c r="Z83" s="1998">
        <v>0</v>
      </c>
      <c r="AA83" s="1998">
        <v>0</v>
      </c>
      <c r="AB83" s="1998">
        <v>0</v>
      </c>
      <c r="AC83" s="1998">
        <v>0</v>
      </c>
      <c r="AD83" s="1998">
        <v>0</v>
      </c>
      <c r="AE83" s="1998">
        <v>0</v>
      </c>
      <c r="AF83" s="1998">
        <v>0</v>
      </c>
      <c r="AG83" s="1999">
        <v>143.30000000000001</v>
      </c>
    </row>
    <row r="84" spans="1:34" x14ac:dyDescent="0.2">
      <c r="A84" s="666" t="s">
        <v>2142</v>
      </c>
      <c r="B84" s="1997">
        <v>1172</v>
      </c>
      <c r="C84" s="1997">
        <v>0</v>
      </c>
      <c r="D84" s="1997">
        <v>45</v>
      </c>
      <c r="E84" s="1998">
        <v>0</v>
      </c>
      <c r="F84" s="1997">
        <v>0</v>
      </c>
      <c r="G84" s="1997">
        <v>0</v>
      </c>
      <c r="H84" s="1997">
        <v>235</v>
      </c>
      <c r="I84" s="1997">
        <v>0</v>
      </c>
      <c r="J84" s="1996">
        <v>0</v>
      </c>
      <c r="K84" s="1996">
        <v>0</v>
      </c>
      <c r="L84" s="1997">
        <v>0</v>
      </c>
      <c r="M84" s="1996">
        <v>0</v>
      </c>
      <c r="N84" s="1996">
        <v>0</v>
      </c>
      <c r="O84" s="1997">
        <v>982</v>
      </c>
      <c r="P84" s="666" t="s">
        <v>2143</v>
      </c>
      <c r="Q84" s="1998">
        <v>27398.28</v>
      </c>
      <c r="R84" s="1998">
        <v>0</v>
      </c>
      <c r="S84" s="1998">
        <v>520</v>
      </c>
      <c r="T84" s="1998">
        <v>0</v>
      </c>
      <c r="U84" s="1998">
        <v>0</v>
      </c>
      <c r="V84" s="1998">
        <v>0</v>
      </c>
      <c r="W84" s="1998">
        <v>4951.78</v>
      </c>
      <c r="X84" s="1998">
        <v>0</v>
      </c>
      <c r="Y84" s="1998">
        <v>0</v>
      </c>
      <c r="Z84" s="1998">
        <v>0</v>
      </c>
      <c r="AA84" s="1998">
        <v>0</v>
      </c>
      <c r="AB84" s="1998">
        <v>0</v>
      </c>
      <c r="AC84" s="1998">
        <v>0</v>
      </c>
      <c r="AD84" s="1998">
        <v>22966.5</v>
      </c>
      <c r="AE84" s="666"/>
      <c r="AF84" s="666"/>
      <c r="AG84" s="666"/>
    </row>
    <row r="85" spans="1:34" x14ac:dyDescent="0.2">
      <c r="A85" s="666" t="s">
        <v>2144</v>
      </c>
      <c r="B85" s="666" t="s">
        <v>35</v>
      </c>
      <c r="C85" s="666"/>
      <c r="D85" s="666"/>
      <c r="E85" s="1996">
        <v>28</v>
      </c>
      <c r="F85" s="1996">
        <v>0</v>
      </c>
      <c r="G85" s="1996">
        <v>0</v>
      </c>
      <c r="H85" s="1996">
        <v>0</v>
      </c>
      <c r="I85" s="1996">
        <v>0</v>
      </c>
      <c r="J85" s="1996">
        <v>0</v>
      </c>
      <c r="K85" s="1996">
        <v>4</v>
      </c>
      <c r="L85" s="1996">
        <v>0</v>
      </c>
      <c r="M85" s="1996">
        <v>0</v>
      </c>
      <c r="N85" s="1996">
        <v>0</v>
      </c>
      <c r="O85" s="1996">
        <v>0</v>
      </c>
      <c r="P85" s="1996">
        <v>0</v>
      </c>
      <c r="Q85" s="1996">
        <v>0</v>
      </c>
      <c r="R85" s="1997">
        <v>24</v>
      </c>
      <c r="S85" s="666" t="s">
        <v>496</v>
      </c>
      <c r="T85" s="1998">
        <v>54906.3</v>
      </c>
      <c r="U85" s="1998">
        <v>0</v>
      </c>
      <c r="V85" s="1998">
        <v>0</v>
      </c>
      <c r="W85" s="1998">
        <v>0</v>
      </c>
      <c r="X85" s="1998">
        <v>0</v>
      </c>
      <c r="Y85" s="1998">
        <v>0</v>
      </c>
      <c r="Z85" s="1998">
        <v>4093.4</v>
      </c>
      <c r="AA85" s="1998">
        <v>0</v>
      </c>
      <c r="AB85" s="1998">
        <v>0</v>
      </c>
      <c r="AC85" s="1998">
        <v>0</v>
      </c>
      <c r="AD85" s="1998">
        <v>0</v>
      </c>
      <c r="AE85" s="1998">
        <v>0</v>
      </c>
      <c r="AF85" s="1998">
        <v>0</v>
      </c>
      <c r="AG85" s="1999">
        <v>50812.9</v>
      </c>
    </row>
    <row r="86" spans="1:34" x14ac:dyDescent="0.2">
      <c r="A86" s="666" t="s">
        <v>2145</v>
      </c>
      <c r="B86" s="666" t="s">
        <v>35</v>
      </c>
      <c r="C86" s="666"/>
      <c r="D86" s="666"/>
      <c r="E86" s="1996">
        <v>510</v>
      </c>
      <c r="F86" s="1996">
        <v>0</v>
      </c>
      <c r="G86" s="1996">
        <v>0</v>
      </c>
      <c r="H86" s="1996">
        <v>0</v>
      </c>
      <c r="I86" s="1996">
        <v>0</v>
      </c>
      <c r="J86" s="1996">
        <v>0</v>
      </c>
      <c r="K86" s="1996">
        <v>40</v>
      </c>
      <c r="L86" s="1996">
        <v>0</v>
      </c>
      <c r="M86" s="1996">
        <v>0</v>
      </c>
      <c r="N86" s="1996">
        <v>0</v>
      </c>
      <c r="O86" s="1996">
        <v>0</v>
      </c>
      <c r="P86" s="1996">
        <v>0</v>
      </c>
      <c r="Q86" s="1996">
        <v>0</v>
      </c>
      <c r="R86" s="1997">
        <v>470</v>
      </c>
      <c r="S86" s="666" t="s">
        <v>1632</v>
      </c>
      <c r="T86" s="1998">
        <v>13838.27</v>
      </c>
      <c r="U86" s="1998">
        <v>0</v>
      </c>
      <c r="V86" s="1998">
        <v>0</v>
      </c>
      <c r="W86" s="1998">
        <v>0</v>
      </c>
      <c r="X86" s="1998">
        <v>0</v>
      </c>
      <c r="Y86" s="1998">
        <v>0</v>
      </c>
      <c r="Z86" s="1998">
        <v>1558.03</v>
      </c>
      <c r="AA86" s="1998">
        <v>0</v>
      </c>
      <c r="AB86" s="1998">
        <v>0</v>
      </c>
      <c r="AC86" s="1998">
        <v>0</v>
      </c>
      <c r="AD86" s="1998">
        <v>0</v>
      </c>
      <c r="AE86" s="1998">
        <v>0</v>
      </c>
      <c r="AF86" s="1998">
        <v>0</v>
      </c>
      <c r="AG86" s="1999">
        <v>12280.24</v>
      </c>
    </row>
    <row r="87" spans="1:34" x14ac:dyDescent="0.2">
      <c r="A87" s="666" t="s">
        <v>2146</v>
      </c>
      <c r="B87" s="666" t="s">
        <v>35</v>
      </c>
      <c r="C87" s="666"/>
      <c r="D87" s="666"/>
      <c r="E87" s="1996">
        <v>1</v>
      </c>
      <c r="F87" s="1996">
        <v>0</v>
      </c>
      <c r="G87" s="1996">
        <v>0</v>
      </c>
      <c r="H87" s="1996">
        <v>0</v>
      </c>
      <c r="I87" s="1996">
        <v>0</v>
      </c>
      <c r="J87" s="1996">
        <v>0</v>
      </c>
      <c r="K87" s="1996">
        <v>0</v>
      </c>
      <c r="L87" s="1996">
        <v>0</v>
      </c>
      <c r="M87" s="1996">
        <v>0</v>
      </c>
      <c r="N87" s="1996">
        <v>0</v>
      </c>
      <c r="O87" s="1996">
        <v>0</v>
      </c>
      <c r="P87" s="1996">
        <v>0</v>
      </c>
      <c r="Q87" s="1996">
        <v>0</v>
      </c>
      <c r="R87" s="1997">
        <v>1</v>
      </c>
      <c r="S87" s="666" t="s">
        <v>367</v>
      </c>
      <c r="T87" s="1998">
        <v>43.59</v>
      </c>
      <c r="U87" s="1998">
        <v>0</v>
      </c>
      <c r="V87" s="1998">
        <v>0</v>
      </c>
      <c r="W87" s="1998">
        <v>0</v>
      </c>
      <c r="X87" s="1998">
        <v>0</v>
      </c>
      <c r="Y87" s="1998">
        <v>0</v>
      </c>
      <c r="Z87" s="1998">
        <v>0</v>
      </c>
      <c r="AA87" s="1998">
        <v>0</v>
      </c>
      <c r="AB87" s="1998">
        <v>0</v>
      </c>
      <c r="AC87" s="1998">
        <v>0</v>
      </c>
      <c r="AD87" s="1998">
        <v>0</v>
      </c>
      <c r="AE87" s="1998">
        <v>0</v>
      </c>
      <c r="AF87" s="1998">
        <v>0</v>
      </c>
      <c r="AG87" s="1999">
        <v>43.59</v>
      </c>
    </row>
    <row r="88" spans="1:34" x14ac:dyDescent="0.2">
      <c r="A88" s="666" t="s">
        <v>2147</v>
      </c>
      <c r="B88" s="666" t="s">
        <v>35</v>
      </c>
      <c r="C88" s="666"/>
      <c r="D88" s="666"/>
      <c r="E88" s="1996">
        <v>680</v>
      </c>
      <c r="F88" s="1996">
        <v>480</v>
      </c>
      <c r="G88" s="1996">
        <v>0</v>
      </c>
      <c r="H88" s="1996">
        <v>0</v>
      </c>
      <c r="I88" s="1996">
        <v>0</v>
      </c>
      <c r="J88" s="1996">
        <v>0</v>
      </c>
      <c r="K88" s="1996">
        <v>120</v>
      </c>
      <c r="L88" s="1996">
        <v>0</v>
      </c>
      <c r="M88" s="1996">
        <v>0</v>
      </c>
      <c r="N88" s="1996">
        <v>0</v>
      </c>
      <c r="O88" s="1996">
        <v>0</v>
      </c>
      <c r="P88" s="1996">
        <v>0</v>
      </c>
      <c r="Q88" s="1996">
        <v>0</v>
      </c>
      <c r="R88" s="1997">
        <v>1040</v>
      </c>
      <c r="S88" s="666" t="s">
        <v>1205</v>
      </c>
      <c r="T88" s="1998">
        <v>18276.600000000002</v>
      </c>
      <c r="U88" s="1998">
        <v>12000</v>
      </c>
      <c r="V88" s="1998">
        <v>0</v>
      </c>
      <c r="W88" s="1998">
        <v>0</v>
      </c>
      <c r="X88" s="1998">
        <v>0</v>
      </c>
      <c r="Y88" s="1998">
        <v>0</v>
      </c>
      <c r="Z88" s="1998">
        <v>3035.46</v>
      </c>
      <c r="AA88" s="1998">
        <v>0</v>
      </c>
      <c r="AB88" s="1998">
        <v>0</v>
      </c>
      <c r="AC88" s="1998">
        <v>0</v>
      </c>
      <c r="AD88" s="1998">
        <v>0</v>
      </c>
      <c r="AE88" s="1998">
        <v>0</v>
      </c>
      <c r="AF88" s="1998">
        <v>0</v>
      </c>
      <c r="AG88" s="1999">
        <v>27241.14</v>
      </c>
    </row>
    <row r="89" spans="1:34" x14ac:dyDescent="0.2">
      <c r="A89" s="666" t="s">
        <v>2148</v>
      </c>
      <c r="B89" s="666" t="s">
        <v>35</v>
      </c>
      <c r="C89" s="666"/>
      <c r="D89" s="666"/>
      <c r="E89" s="1996">
        <v>54</v>
      </c>
      <c r="F89" s="1996">
        <v>0</v>
      </c>
      <c r="G89" s="1996">
        <v>0</v>
      </c>
      <c r="H89" s="1996">
        <v>0</v>
      </c>
      <c r="I89" s="1996">
        <v>0</v>
      </c>
      <c r="J89" s="1996">
        <v>0</v>
      </c>
      <c r="K89" s="1996">
        <v>9</v>
      </c>
      <c r="L89" s="1996">
        <v>0</v>
      </c>
      <c r="M89" s="1996">
        <v>0</v>
      </c>
      <c r="N89" s="1996">
        <v>0</v>
      </c>
      <c r="O89" s="1996">
        <v>0</v>
      </c>
      <c r="P89" s="1996">
        <v>0</v>
      </c>
      <c r="Q89" s="1996">
        <v>0</v>
      </c>
      <c r="R89" s="1997">
        <v>45</v>
      </c>
      <c r="S89" s="666" t="s">
        <v>1208</v>
      </c>
      <c r="T89" s="1998">
        <v>1451.01</v>
      </c>
      <c r="U89" s="1998">
        <v>0</v>
      </c>
      <c r="V89" s="1998">
        <v>0</v>
      </c>
      <c r="W89" s="1998">
        <v>0</v>
      </c>
      <c r="X89" s="1998">
        <v>0</v>
      </c>
      <c r="Y89" s="1998">
        <v>0</v>
      </c>
      <c r="Z89" s="1998">
        <v>248.19</v>
      </c>
      <c r="AA89" s="1998">
        <v>0</v>
      </c>
      <c r="AB89" s="1998">
        <v>0</v>
      </c>
      <c r="AC89" s="1998">
        <v>0</v>
      </c>
      <c r="AD89" s="1998">
        <v>0</v>
      </c>
      <c r="AE89" s="1998">
        <v>0</v>
      </c>
      <c r="AF89" s="1998">
        <v>0</v>
      </c>
      <c r="AG89" s="1999">
        <v>1202.82</v>
      </c>
    </row>
    <row r="90" spans="1:34" x14ac:dyDescent="0.2">
      <c r="A90" s="666" t="s">
        <v>2149</v>
      </c>
      <c r="B90" s="666" t="s">
        <v>35</v>
      </c>
      <c r="C90" s="666"/>
      <c r="D90" s="666"/>
      <c r="E90" s="1996">
        <v>320</v>
      </c>
      <c r="F90" s="1996">
        <v>320</v>
      </c>
      <c r="G90" s="1996">
        <v>0</v>
      </c>
      <c r="H90" s="1996">
        <v>0</v>
      </c>
      <c r="I90" s="1996">
        <v>0</v>
      </c>
      <c r="J90" s="1996">
        <v>0</v>
      </c>
      <c r="K90" s="1996">
        <v>120</v>
      </c>
      <c r="L90" s="1996">
        <v>0</v>
      </c>
      <c r="M90" s="1996">
        <v>0</v>
      </c>
      <c r="N90" s="1996">
        <v>0</v>
      </c>
      <c r="O90" s="1996">
        <v>0</v>
      </c>
      <c r="P90" s="1996">
        <v>0</v>
      </c>
      <c r="Q90" s="1996">
        <v>0</v>
      </c>
      <c r="R90" s="1997">
        <v>520</v>
      </c>
      <c r="S90" s="666" t="s">
        <v>1206</v>
      </c>
      <c r="T90" s="1998">
        <v>8723.64</v>
      </c>
      <c r="U90" s="1998">
        <v>8000</v>
      </c>
      <c r="V90" s="1998">
        <v>0</v>
      </c>
      <c r="W90" s="1998">
        <v>0</v>
      </c>
      <c r="X90" s="1998">
        <v>0</v>
      </c>
      <c r="Y90" s="1998">
        <v>0</v>
      </c>
      <c r="Z90" s="1998">
        <v>2298.36</v>
      </c>
      <c r="AA90" s="1998">
        <v>0</v>
      </c>
      <c r="AB90" s="1998">
        <v>0</v>
      </c>
      <c r="AC90" s="1998">
        <v>0</v>
      </c>
      <c r="AD90" s="1998">
        <v>0</v>
      </c>
      <c r="AE90" s="1998">
        <v>0</v>
      </c>
      <c r="AF90" s="1998">
        <v>0</v>
      </c>
      <c r="AG90" s="1999">
        <v>14425.28</v>
      </c>
    </row>
    <row r="91" spans="1:34" x14ac:dyDescent="0.2">
      <c r="A91" s="666" t="s">
        <v>2150</v>
      </c>
      <c r="B91" s="666" t="s">
        <v>35</v>
      </c>
      <c r="C91" s="666"/>
      <c r="D91" s="666"/>
      <c r="E91" s="1996">
        <v>1485</v>
      </c>
      <c r="F91" s="1996">
        <v>0</v>
      </c>
      <c r="G91" s="1996">
        <v>0</v>
      </c>
      <c r="H91" s="1996">
        <v>0</v>
      </c>
      <c r="I91" s="1996">
        <v>0</v>
      </c>
      <c r="J91" s="1996">
        <v>0</v>
      </c>
      <c r="K91" s="1996">
        <v>336</v>
      </c>
      <c r="L91" s="1996">
        <v>0</v>
      </c>
      <c r="M91" s="1996">
        <v>0</v>
      </c>
      <c r="N91" s="1996">
        <v>0</v>
      </c>
      <c r="O91" s="1996">
        <v>0</v>
      </c>
      <c r="P91" s="1996">
        <v>0</v>
      </c>
      <c r="Q91" s="1996">
        <v>0</v>
      </c>
      <c r="R91" s="1997">
        <v>1149</v>
      </c>
      <c r="S91" s="666" t="s">
        <v>1792</v>
      </c>
      <c r="T91" s="1998">
        <v>78443.53</v>
      </c>
      <c r="U91" s="1998">
        <v>0</v>
      </c>
      <c r="V91" s="1998">
        <v>0</v>
      </c>
      <c r="W91" s="1998">
        <v>0</v>
      </c>
      <c r="X91" s="1998">
        <v>0</v>
      </c>
      <c r="Y91" s="1998">
        <v>0</v>
      </c>
      <c r="Z91" s="1998">
        <v>14748.5</v>
      </c>
      <c r="AA91" s="1998">
        <v>0</v>
      </c>
      <c r="AB91" s="1998">
        <v>0</v>
      </c>
      <c r="AC91" s="1998">
        <v>0</v>
      </c>
      <c r="AD91" s="1998">
        <v>0</v>
      </c>
      <c r="AE91" s="1998">
        <v>0</v>
      </c>
      <c r="AF91" s="1998">
        <v>0</v>
      </c>
      <c r="AG91" s="1999">
        <v>63695.03</v>
      </c>
      <c r="AH91" s="544"/>
    </row>
    <row r="92" spans="1:34" x14ac:dyDescent="0.2">
      <c r="A92" s="666" t="s">
        <v>2151</v>
      </c>
      <c r="B92" s="666" t="s">
        <v>35</v>
      </c>
      <c r="C92" s="666"/>
      <c r="D92" s="666"/>
      <c r="E92" s="1996">
        <v>28</v>
      </c>
      <c r="F92" s="1996">
        <v>0</v>
      </c>
      <c r="G92" s="1996">
        <v>0</v>
      </c>
      <c r="H92" s="1996">
        <v>0</v>
      </c>
      <c r="I92" s="1996">
        <v>0</v>
      </c>
      <c r="J92" s="1996">
        <v>0</v>
      </c>
      <c r="K92" s="1996">
        <v>2</v>
      </c>
      <c r="L92" s="1996">
        <v>0</v>
      </c>
      <c r="M92" s="1996">
        <v>0</v>
      </c>
      <c r="N92" s="1996">
        <v>0</v>
      </c>
      <c r="O92" s="1996">
        <v>0</v>
      </c>
      <c r="P92" s="1996">
        <v>0</v>
      </c>
      <c r="Q92" s="1996">
        <v>0</v>
      </c>
      <c r="R92" s="1997">
        <v>26</v>
      </c>
      <c r="S92" s="666" t="s">
        <v>678</v>
      </c>
      <c r="T92" s="1998">
        <v>25605.82</v>
      </c>
      <c r="U92" s="1998">
        <v>0</v>
      </c>
      <c r="V92" s="1998">
        <v>0</v>
      </c>
      <c r="W92" s="1998">
        <v>0</v>
      </c>
      <c r="X92" s="1998">
        <v>0</v>
      </c>
      <c r="Y92" s="1998">
        <v>0</v>
      </c>
      <c r="Z92" s="1998">
        <v>1337.8</v>
      </c>
      <c r="AA92" s="1998">
        <v>0</v>
      </c>
      <c r="AB92" s="1998">
        <v>0</v>
      </c>
      <c r="AC92" s="1998">
        <v>0</v>
      </c>
      <c r="AD92" s="1998">
        <v>0</v>
      </c>
      <c r="AE92" s="1998">
        <v>0</v>
      </c>
      <c r="AF92" s="1998">
        <v>0</v>
      </c>
      <c r="AG92" s="1999">
        <v>24268.02</v>
      </c>
    </row>
    <row r="93" spans="1:34" x14ac:dyDescent="0.2">
      <c r="A93" s="666" t="s">
        <v>2152</v>
      </c>
      <c r="B93" s="666" t="s">
        <v>35</v>
      </c>
      <c r="C93" s="666"/>
      <c r="D93" s="666"/>
      <c r="E93" s="1996">
        <v>138</v>
      </c>
      <c r="F93" s="1996">
        <v>0</v>
      </c>
      <c r="G93" s="1996">
        <v>0</v>
      </c>
      <c r="H93" s="1996">
        <v>0</v>
      </c>
      <c r="I93" s="1996">
        <v>0</v>
      </c>
      <c r="J93" s="1996">
        <v>0</v>
      </c>
      <c r="K93" s="1996">
        <v>41</v>
      </c>
      <c r="L93" s="1996">
        <v>0</v>
      </c>
      <c r="M93" s="1996">
        <v>0</v>
      </c>
      <c r="N93" s="1996">
        <v>0</v>
      </c>
      <c r="O93" s="1996">
        <v>0</v>
      </c>
      <c r="P93" s="1996">
        <v>0</v>
      </c>
      <c r="Q93" s="1996">
        <v>0</v>
      </c>
      <c r="R93" s="1997">
        <v>97</v>
      </c>
      <c r="S93" s="666" t="s">
        <v>839</v>
      </c>
      <c r="T93" s="1998">
        <v>3583.9300000000003</v>
      </c>
      <c r="U93" s="1998">
        <v>0</v>
      </c>
      <c r="V93" s="1998">
        <v>0</v>
      </c>
      <c r="W93" s="1998">
        <v>0</v>
      </c>
      <c r="X93" s="1998">
        <v>0</v>
      </c>
      <c r="Y93" s="1998">
        <v>0</v>
      </c>
      <c r="Z93" s="1998">
        <v>1071.7</v>
      </c>
      <c r="AA93" s="1998">
        <v>0</v>
      </c>
      <c r="AB93" s="1998">
        <v>0</v>
      </c>
      <c r="AC93" s="1998">
        <v>0</v>
      </c>
      <c r="AD93" s="1998">
        <v>0</v>
      </c>
      <c r="AE93" s="1998">
        <v>0</v>
      </c>
      <c r="AF93" s="1998">
        <v>0</v>
      </c>
      <c r="AG93" s="1999">
        <v>2512.23</v>
      </c>
    </row>
    <row r="94" spans="1:34" x14ac:dyDescent="0.2">
      <c r="A94" s="666" t="s">
        <v>2153</v>
      </c>
      <c r="B94" s="666" t="s">
        <v>35</v>
      </c>
      <c r="C94" s="666"/>
      <c r="D94" s="666"/>
      <c r="E94" s="1996">
        <v>34</v>
      </c>
      <c r="F94" s="1996">
        <v>0</v>
      </c>
      <c r="G94" s="1996">
        <v>0</v>
      </c>
      <c r="H94" s="1996">
        <v>0</v>
      </c>
      <c r="I94" s="1996">
        <v>0</v>
      </c>
      <c r="J94" s="1996">
        <v>0</v>
      </c>
      <c r="K94" s="1996">
        <v>7</v>
      </c>
      <c r="L94" s="1996">
        <v>0</v>
      </c>
      <c r="M94" s="1996">
        <v>0</v>
      </c>
      <c r="N94" s="1996">
        <v>0</v>
      </c>
      <c r="O94" s="1996">
        <v>0</v>
      </c>
      <c r="P94" s="1996">
        <v>0</v>
      </c>
      <c r="Q94" s="1996">
        <v>0</v>
      </c>
      <c r="R94" s="1997">
        <v>27</v>
      </c>
      <c r="S94" s="666" t="s">
        <v>1803</v>
      </c>
      <c r="T94" s="1998">
        <v>987.91</v>
      </c>
      <c r="U94" s="1998">
        <v>0</v>
      </c>
      <c r="V94" s="1998">
        <v>0</v>
      </c>
      <c r="W94" s="1998">
        <v>0</v>
      </c>
      <c r="X94" s="1998">
        <v>0</v>
      </c>
      <c r="Y94" s="1998">
        <v>0</v>
      </c>
      <c r="Z94" s="1998">
        <v>172.97</v>
      </c>
      <c r="AA94" s="1998">
        <v>0</v>
      </c>
      <c r="AB94" s="1998">
        <v>0</v>
      </c>
      <c r="AC94" s="1998">
        <v>0</v>
      </c>
      <c r="AD94" s="1998">
        <v>0</v>
      </c>
      <c r="AE94" s="1998">
        <v>0</v>
      </c>
      <c r="AF94" s="1998">
        <v>0</v>
      </c>
      <c r="AG94" s="1999">
        <v>814.94</v>
      </c>
    </row>
    <row r="95" spans="1:34" x14ac:dyDescent="0.2">
      <c r="A95" s="666" t="s">
        <v>2154</v>
      </c>
      <c r="B95" s="666" t="s">
        <v>35</v>
      </c>
      <c r="C95" s="666"/>
      <c r="D95" s="666"/>
      <c r="E95" s="1996">
        <v>0</v>
      </c>
      <c r="F95" s="1996">
        <v>0</v>
      </c>
      <c r="G95" s="1996">
        <v>0</v>
      </c>
      <c r="H95" s="1996">
        <v>0</v>
      </c>
      <c r="I95" s="1996">
        <v>0</v>
      </c>
      <c r="J95" s="1996">
        <v>0</v>
      </c>
      <c r="K95" s="1996">
        <v>0</v>
      </c>
      <c r="L95" s="1996">
        <v>0</v>
      </c>
      <c r="M95" s="1996">
        <v>0</v>
      </c>
      <c r="N95" s="1996">
        <v>0</v>
      </c>
      <c r="O95" s="1996">
        <v>0</v>
      </c>
      <c r="P95" s="1996">
        <v>0</v>
      </c>
      <c r="Q95" s="1996">
        <v>0</v>
      </c>
      <c r="R95" s="1997">
        <v>0</v>
      </c>
      <c r="S95" s="666" t="s">
        <v>663</v>
      </c>
      <c r="T95" s="1998">
        <v>60212.800000000003</v>
      </c>
      <c r="U95" s="1998">
        <v>23060</v>
      </c>
      <c r="V95" s="1998">
        <v>0</v>
      </c>
      <c r="W95" s="1998">
        <v>0</v>
      </c>
      <c r="X95" s="1998">
        <v>0</v>
      </c>
      <c r="Y95" s="1998">
        <v>0</v>
      </c>
      <c r="Z95" s="1998">
        <v>9257.6</v>
      </c>
      <c r="AA95" s="1998">
        <v>0</v>
      </c>
      <c r="AB95" s="1998">
        <v>0</v>
      </c>
      <c r="AC95" s="1998">
        <v>0</v>
      </c>
      <c r="AD95" s="1998">
        <v>0</v>
      </c>
      <c r="AE95" s="1998">
        <v>0</v>
      </c>
      <c r="AF95" s="1998">
        <v>0</v>
      </c>
      <c r="AG95" s="1999">
        <v>74015.199999999997</v>
      </c>
    </row>
    <row r="96" spans="1:34" x14ac:dyDescent="0.2">
      <c r="A96" s="666" t="s">
        <v>2155</v>
      </c>
      <c r="B96" s="666" t="s">
        <v>35</v>
      </c>
      <c r="C96" s="666"/>
      <c r="D96" s="666"/>
      <c r="E96" s="1996">
        <v>5600</v>
      </c>
      <c r="F96" s="1996">
        <v>0</v>
      </c>
      <c r="G96" s="1996">
        <v>0</v>
      </c>
      <c r="H96" s="1996">
        <v>0</v>
      </c>
      <c r="I96" s="1996">
        <v>0</v>
      </c>
      <c r="J96" s="1996">
        <v>0</v>
      </c>
      <c r="K96" s="1996">
        <v>700</v>
      </c>
      <c r="L96" s="1996">
        <v>0</v>
      </c>
      <c r="M96" s="1996">
        <v>0</v>
      </c>
      <c r="N96" s="1996">
        <v>0</v>
      </c>
      <c r="O96" s="1996">
        <v>0</v>
      </c>
      <c r="P96" s="1996">
        <v>0</v>
      </c>
      <c r="Q96" s="1996">
        <v>0</v>
      </c>
      <c r="R96" s="1997">
        <v>4900</v>
      </c>
      <c r="S96" s="666" t="s">
        <v>656</v>
      </c>
      <c r="T96" s="1998">
        <v>169968.5</v>
      </c>
      <c r="U96" s="1998">
        <v>0</v>
      </c>
      <c r="V96" s="1998">
        <v>0</v>
      </c>
      <c r="W96" s="1998">
        <v>0</v>
      </c>
      <c r="X96" s="1998">
        <v>0</v>
      </c>
      <c r="Y96" s="1998">
        <v>0</v>
      </c>
      <c r="Z96" s="1998">
        <v>16435</v>
      </c>
      <c r="AA96" s="1998">
        <v>0</v>
      </c>
      <c r="AB96" s="1998">
        <v>0</v>
      </c>
      <c r="AC96" s="1998">
        <v>0</v>
      </c>
      <c r="AD96" s="1998">
        <v>0</v>
      </c>
      <c r="AE96" s="1998">
        <v>0</v>
      </c>
      <c r="AF96" s="1998">
        <v>0</v>
      </c>
      <c r="AG96" s="1999">
        <v>153533.5</v>
      </c>
    </row>
    <row r="97" spans="1:33" x14ac:dyDescent="0.2">
      <c r="A97" s="666" t="s">
        <v>2156</v>
      </c>
      <c r="B97" s="666" t="s">
        <v>35</v>
      </c>
      <c r="C97" s="666"/>
      <c r="D97" s="666"/>
      <c r="E97" s="1996">
        <v>15</v>
      </c>
      <c r="F97" s="1996">
        <v>0</v>
      </c>
      <c r="G97" s="1996">
        <v>0</v>
      </c>
      <c r="H97" s="1996">
        <v>0</v>
      </c>
      <c r="I97" s="1996">
        <v>0</v>
      </c>
      <c r="J97" s="1996">
        <v>0</v>
      </c>
      <c r="K97" s="1996">
        <v>1</v>
      </c>
      <c r="L97" s="1996">
        <v>0</v>
      </c>
      <c r="M97" s="1996">
        <v>0</v>
      </c>
      <c r="N97" s="1996">
        <v>0</v>
      </c>
      <c r="O97" s="1996">
        <v>0</v>
      </c>
      <c r="P97" s="1996">
        <v>0</v>
      </c>
      <c r="Q97" s="1996">
        <v>0</v>
      </c>
      <c r="R97" s="1997">
        <v>14</v>
      </c>
      <c r="S97" s="666" t="s">
        <v>1418</v>
      </c>
      <c r="T97" s="1998">
        <v>331.68</v>
      </c>
      <c r="U97" s="1998">
        <v>0</v>
      </c>
      <c r="V97" s="1998">
        <v>0</v>
      </c>
      <c r="W97" s="1998">
        <v>0</v>
      </c>
      <c r="X97" s="1998">
        <v>0</v>
      </c>
      <c r="Y97" s="1998">
        <v>0</v>
      </c>
      <c r="Z97" s="1998">
        <v>35.28</v>
      </c>
      <c r="AA97" s="1998">
        <v>0</v>
      </c>
      <c r="AB97" s="1998">
        <v>0</v>
      </c>
      <c r="AC97" s="1998">
        <v>0</v>
      </c>
      <c r="AD97" s="1998">
        <v>0</v>
      </c>
      <c r="AE97" s="1998">
        <v>0</v>
      </c>
      <c r="AF97" s="1998">
        <v>0</v>
      </c>
      <c r="AG97" s="1999">
        <v>296.40000000000003</v>
      </c>
    </row>
    <row r="98" spans="1:33" x14ac:dyDescent="0.2">
      <c r="A98" s="666" t="s">
        <v>2157</v>
      </c>
      <c r="B98" s="666" t="s">
        <v>35</v>
      </c>
      <c r="C98" s="666"/>
      <c r="D98" s="666"/>
      <c r="E98" s="1996">
        <v>20</v>
      </c>
      <c r="F98" s="1996">
        <v>0</v>
      </c>
      <c r="G98" s="1996">
        <v>20</v>
      </c>
      <c r="H98" s="1996">
        <v>0</v>
      </c>
      <c r="I98" s="1996">
        <v>0</v>
      </c>
      <c r="J98" s="1996">
        <v>0</v>
      </c>
      <c r="K98" s="1996">
        <v>6</v>
      </c>
      <c r="L98" s="1996">
        <v>0</v>
      </c>
      <c r="M98" s="1996">
        <v>0</v>
      </c>
      <c r="N98" s="1996">
        <v>0</v>
      </c>
      <c r="O98" s="1996">
        <v>0</v>
      </c>
      <c r="P98" s="1996">
        <v>0</v>
      </c>
      <c r="Q98" s="1996">
        <v>0</v>
      </c>
      <c r="R98" s="1997">
        <v>34</v>
      </c>
      <c r="S98" s="666" t="s">
        <v>1521</v>
      </c>
      <c r="T98" s="1998">
        <v>590.19000000000005</v>
      </c>
      <c r="U98" s="1998">
        <v>0</v>
      </c>
      <c r="V98" s="1998">
        <v>500</v>
      </c>
      <c r="W98" s="1998">
        <v>0</v>
      </c>
      <c r="X98" s="1998">
        <v>0</v>
      </c>
      <c r="Y98" s="1998">
        <v>0</v>
      </c>
      <c r="Z98" s="1998">
        <v>70.91</v>
      </c>
      <c r="AA98" s="1998">
        <v>0</v>
      </c>
      <c r="AB98" s="1998">
        <v>0</v>
      </c>
      <c r="AC98" s="1998">
        <v>0</v>
      </c>
      <c r="AD98" s="1998">
        <v>0</v>
      </c>
      <c r="AE98" s="1998">
        <v>0</v>
      </c>
      <c r="AF98" s="1998">
        <v>0</v>
      </c>
      <c r="AG98" s="1999">
        <v>1019.28</v>
      </c>
    </row>
    <row r="99" spans="1:33" x14ac:dyDescent="0.2">
      <c r="A99" s="666" t="s">
        <v>2158</v>
      </c>
      <c r="B99" s="666" t="s">
        <v>35</v>
      </c>
      <c r="C99" s="666"/>
      <c r="D99" s="666"/>
      <c r="E99" s="1996">
        <v>0</v>
      </c>
      <c r="F99" s="1996">
        <v>0</v>
      </c>
      <c r="G99" s="1996">
        <v>0</v>
      </c>
      <c r="H99" s="1996">
        <v>0</v>
      </c>
      <c r="I99" s="1996">
        <v>0</v>
      </c>
      <c r="J99" s="1996">
        <v>0</v>
      </c>
      <c r="K99" s="1996">
        <v>0</v>
      </c>
      <c r="L99" s="1996">
        <v>0</v>
      </c>
      <c r="M99" s="1996">
        <v>0</v>
      </c>
      <c r="N99" s="1996">
        <v>0</v>
      </c>
      <c r="O99" s="1996">
        <v>0</v>
      </c>
      <c r="P99" s="1996">
        <v>0</v>
      </c>
      <c r="Q99" s="1996">
        <v>0</v>
      </c>
      <c r="R99" s="1997">
        <v>0</v>
      </c>
      <c r="S99" s="666" t="s">
        <v>1246</v>
      </c>
      <c r="T99" s="1998">
        <v>42097.22</v>
      </c>
      <c r="U99" s="1998">
        <v>0</v>
      </c>
      <c r="V99" s="1998">
        <v>0</v>
      </c>
      <c r="W99" s="1998">
        <v>0</v>
      </c>
      <c r="X99" s="1998">
        <v>0</v>
      </c>
      <c r="Y99" s="1998">
        <v>0</v>
      </c>
      <c r="Z99" s="1998">
        <v>4249</v>
      </c>
      <c r="AA99" s="1998">
        <v>0</v>
      </c>
      <c r="AB99" s="1998">
        <v>0</v>
      </c>
      <c r="AC99" s="1998">
        <v>0</v>
      </c>
      <c r="AD99" s="1998">
        <v>0</v>
      </c>
      <c r="AE99" s="1998">
        <v>0</v>
      </c>
      <c r="AF99" s="1998">
        <v>0</v>
      </c>
      <c r="AG99" s="1999">
        <v>37848.22</v>
      </c>
    </row>
    <row r="100" spans="1:33" x14ac:dyDescent="0.2">
      <c r="A100" s="666" t="s">
        <v>2159</v>
      </c>
      <c r="B100" s="666" t="s">
        <v>35</v>
      </c>
      <c r="C100" s="666"/>
      <c r="D100" s="666"/>
      <c r="E100" s="1996">
        <v>5</v>
      </c>
      <c r="F100" s="1996">
        <v>0</v>
      </c>
      <c r="G100" s="1996">
        <v>0</v>
      </c>
      <c r="H100" s="1996">
        <v>0</v>
      </c>
      <c r="I100" s="1996">
        <v>0</v>
      </c>
      <c r="J100" s="1996">
        <v>0</v>
      </c>
      <c r="K100" s="1996">
        <v>0</v>
      </c>
      <c r="L100" s="1996">
        <v>0</v>
      </c>
      <c r="M100" s="1996">
        <v>0</v>
      </c>
      <c r="N100" s="1996">
        <v>0</v>
      </c>
      <c r="O100" s="1996">
        <v>0</v>
      </c>
      <c r="P100" s="1996">
        <v>0</v>
      </c>
      <c r="Q100" s="1996">
        <v>0</v>
      </c>
      <c r="R100" s="1997">
        <v>5</v>
      </c>
      <c r="S100" s="666" t="s">
        <v>878</v>
      </c>
      <c r="T100" s="1998">
        <v>131.4</v>
      </c>
      <c r="U100" s="1998">
        <v>0</v>
      </c>
      <c r="V100" s="1998">
        <v>0</v>
      </c>
      <c r="W100" s="1998">
        <v>0</v>
      </c>
      <c r="X100" s="1998">
        <v>0</v>
      </c>
      <c r="Y100" s="1998">
        <v>0</v>
      </c>
      <c r="Z100" s="1998">
        <v>0</v>
      </c>
      <c r="AA100" s="1998">
        <v>0</v>
      </c>
      <c r="AB100" s="1998">
        <v>0</v>
      </c>
      <c r="AC100" s="1998">
        <v>0</v>
      </c>
      <c r="AD100" s="1998">
        <v>0</v>
      </c>
      <c r="AE100" s="1998">
        <v>0</v>
      </c>
      <c r="AF100" s="1998">
        <v>0</v>
      </c>
      <c r="AG100" s="1999">
        <v>131.4</v>
      </c>
    </row>
    <row r="101" spans="1:33" x14ac:dyDescent="0.2">
      <c r="A101" s="666" t="s">
        <v>2160</v>
      </c>
      <c r="B101" s="666" t="s">
        <v>35</v>
      </c>
      <c r="C101" s="666"/>
      <c r="D101" s="666"/>
      <c r="E101" s="1996">
        <v>5</v>
      </c>
      <c r="F101" s="1996">
        <v>0</v>
      </c>
      <c r="G101" s="1996">
        <v>0</v>
      </c>
      <c r="H101" s="1996">
        <v>0</v>
      </c>
      <c r="I101" s="1996">
        <v>0</v>
      </c>
      <c r="J101" s="1996">
        <v>0</v>
      </c>
      <c r="K101" s="1996">
        <v>1</v>
      </c>
      <c r="L101" s="1996">
        <v>0</v>
      </c>
      <c r="M101" s="1996">
        <v>0</v>
      </c>
      <c r="N101" s="1996">
        <v>0</v>
      </c>
      <c r="O101" s="1996">
        <v>0</v>
      </c>
      <c r="P101" s="1996">
        <v>0</v>
      </c>
      <c r="Q101" s="1996">
        <v>0</v>
      </c>
      <c r="R101" s="1997">
        <v>4</v>
      </c>
      <c r="S101" s="666" t="s">
        <v>1824</v>
      </c>
      <c r="T101" s="1998">
        <v>158.26</v>
      </c>
      <c r="U101" s="1998">
        <v>0</v>
      </c>
      <c r="V101" s="1998">
        <v>0</v>
      </c>
      <c r="W101" s="1998">
        <v>0</v>
      </c>
      <c r="X101" s="1998">
        <v>0</v>
      </c>
      <c r="Y101" s="1998">
        <v>0</v>
      </c>
      <c r="Z101" s="1998">
        <v>30.62</v>
      </c>
      <c r="AA101" s="1998">
        <v>0</v>
      </c>
      <c r="AB101" s="1998">
        <v>0</v>
      </c>
      <c r="AC101" s="1998">
        <v>0</v>
      </c>
      <c r="AD101" s="1998">
        <v>0</v>
      </c>
      <c r="AE101" s="1998">
        <v>0</v>
      </c>
      <c r="AF101" s="1998">
        <v>0</v>
      </c>
      <c r="AG101" s="1999">
        <v>127.64</v>
      </c>
    </row>
    <row r="102" spans="1:33" x14ac:dyDescent="0.2">
      <c r="A102" s="666" t="s">
        <v>2161</v>
      </c>
      <c r="B102" s="666" t="s">
        <v>35</v>
      </c>
      <c r="C102" s="666"/>
      <c r="D102" s="666"/>
      <c r="E102" s="1996">
        <v>27</v>
      </c>
      <c r="F102" s="1996">
        <v>0</v>
      </c>
      <c r="G102" s="1996">
        <v>0</v>
      </c>
      <c r="H102" s="1996">
        <v>0</v>
      </c>
      <c r="I102" s="1996">
        <v>0</v>
      </c>
      <c r="J102" s="1996">
        <v>0</v>
      </c>
      <c r="K102" s="1996">
        <v>0</v>
      </c>
      <c r="L102" s="1996">
        <v>0</v>
      </c>
      <c r="M102" s="1996">
        <v>0</v>
      </c>
      <c r="N102" s="1996">
        <v>0</v>
      </c>
      <c r="O102" s="1996">
        <v>0</v>
      </c>
      <c r="P102" s="1996">
        <v>0</v>
      </c>
      <c r="Q102" s="1996">
        <v>0</v>
      </c>
      <c r="R102" s="1997">
        <v>27</v>
      </c>
      <c r="S102" s="666" t="s">
        <v>1729</v>
      </c>
      <c r="T102" s="1998">
        <v>573.72</v>
      </c>
      <c r="U102" s="1998">
        <v>0</v>
      </c>
      <c r="V102" s="1998">
        <v>0</v>
      </c>
      <c r="W102" s="1998">
        <v>0</v>
      </c>
      <c r="X102" s="1998">
        <v>0</v>
      </c>
      <c r="Y102" s="1998">
        <v>0</v>
      </c>
      <c r="Z102" s="1998">
        <v>8</v>
      </c>
      <c r="AA102" s="1998">
        <v>0</v>
      </c>
      <c r="AB102" s="1998">
        <v>0</v>
      </c>
      <c r="AC102" s="1998">
        <v>0</v>
      </c>
      <c r="AD102" s="1998">
        <v>0</v>
      </c>
      <c r="AE102" s="1998">
        <v>0</v>
      </c>
      <c r="AF102" s="1998">
        <v>0</v>
      </c>
      <c r="AG102" s="1999">
        <v>565.72</v>
      </c>
    </row>
    <row r="103" spans="1:33" x14ac:dyDescent="0.2">
      <c r="A103" s="666" t="s">
        <v>2162</v>
      </c>
      <c r="B103" s="666" t="s">
        <v>35</v>
      </c>
      <c r="C103" s="666"/>
      <c r="D103" s="666"/>
      <c r="E103" s="1996">
        <v>174</v>
      </c>
      <c r="F103" s="1996">
        <v>0</v>
      </c>
      <c r="G103" s="1996">
        <v>0</v>
      </c>
      <c r="H103" s="1996">
        <v>0</v>
      </c>
      <c r="I103" s="1996">
        <v>0</v>
      </c>
      <c r="J103" s="1996">
        <v>0</v>
      </c>
      <c r="K103" s="1996">
        <v>14</v>
      </c>
      <c r="L103" s="1996">
        <v>0</v>
      </c>
      <c r="M103" s="1996">
        <v>0</v>
      </c>
      <c r="N103" s="1996">
        <v>0</v>
      </c>
      <c r="O103" s="1996">
        <v>0</v>
      </c>
      <c r="P103" s="1996">
        <v>0</v>
      </c>
      <c r="Q103" s="1996">
        <v>0</v>
      </c>
      <c r="R103" s="1997">
        <v>160</v>
      </c>
      <c r="S103" s="666" t="s">
        <v>1636</v>
      </c>
      <c r="T103" s="1998">
        <v>4458.6500000000005</v>
      </c>
      <c r="U103" s="1998">
        <v>0</v>
      </c>
      <c r="V103" s="1998">
        <v>0</v>
      </c>
      <c r="W103" s="1998">
        <v>0</v>
      </c>
      <c r="X103" s="1998">
        <v>0</v>
      </c>
      <c r="Y103" s="1998">
        <v>0</v>
      </c>
      <c r="Z103" s="1998">
        <v>387.7</v>
      </c>
      <c r="AA103" s="1998">
        <v>0</v>
      </c>
      <c r="AB103" s="1998">
        <v>0</v>
      </c>
      <c r="AC103" s="1998">
        <v>0</v>
      </c>
      <c r="AD103" s="1998">
        <v>0</v>
      </c>
      <c r="AE103" s="1998">
        <v>0</v>
      </c>
      <c r="AF103" s="1998">
        <v>0</v>
      </c>
      <c r="AG103" s="1999">
        <v>4070.9500000000003</v>
      </c>
    </row>
    <row r="104" spans="1:33" x14ac:dyDescent="0.2">
      <c r="A104" s="666" t="s">
        <v>2163</v>
      </c>
      <c r="B104" s="666" t="s">
        <v>35</v>
      </c>
      <c r="C104" s="666"/>
      <c r="D104" s="666"/>
      <c r="E104" s="1996">
        <v>82</v>
      </c>
      <c r="F104" s="1996">
        <v>0</v>
      </c>
      <c r="G104" s="1996">
        <v>0</v>
      </c>
      <c r="H104" s="1996">
        <v>0</v>
      </c>
      <c r="I104" s="1996">
        <v>0</v>
      </c>
      <c r="J104" s="1996">
        <v>0</v>
      </c>
      <c r="K104" s="1996">
        <v>2</v>
      </c>
      <c r="L104" s="1996">
        <v>0</v>
      </c>
      <c r="M104" s="1996">
        <v>0</v>
      </c>
      <c r="N104" s="1996">
        <v>0</v>
      </c>
      <c r="O104" s="1996">
        <v>0</v>
      </c>
      <c r="P104" s="1996">
        <v>0</v>
      </c>
      <c r="Q104" s="1996">
        <v>0</v>
      </c>
      <c r="R104" s="1997">
        <v>80</v>
      </c>
      <c r="S104" s="666" t="s">
        <v>1737</v>
      </c>
      <c r="T104" s="1998">
        <v>2102.15</v>
      </c>
      <c r="U104" s="1998">
        <v>0</v>
      </c>
      <c r="V104" s="1998">
        <v>0</v>
      </c>
      <c r="W104" s="1998">
        <v>0</v>
      </c>
      <c r="X104" s="1998">
        <v>0</v>
      </c>
      <c r="Y104" s="1998">
        <v>0</v>
      </c>
      <c r="Z104" s="1998">
        <v>38.18</v>
      </c>
      <c r="AA104" s="1998">
        <v>0</v>
      </c>
      <c r="AB104" s="1998">
        <v>0</v>
      </c>
      <c r="AC104" s="1998">
        <v>0</v>
      </c>
      <c r="AD104" s="1998">
        <v>0</v>
      </c>
      <c r="AE104" s="1998">
        <v>0</v>
      </c>
      <c r="AF104" s="1998">
        <v>0</v>
      </c>
      <c r="AG104" s="1999">
        <v>2063.9700000000003</v>
      </c>
    </row>
    <row r="105" spans="1:33" x14ac:dyDescent="0.2">
      <c r="A105" s="666" t="s">
        <v>2164</v>
      </c>
      <c r="B105" s="666" t="s">
        <v>35</v>
      </c>
      <c r="C105" s="666"/>
      <c r="D105" s="666"/>
      <c r="E105" s="1996">
        <v>6</v>
      </c>
      <c r="F105" s="1996">
        <v>0</v>
      </c>
      <c r="G105" s="1996">
        <v>0</v>
      </c>
      <c r="H105" s="1996">
        <v>0</v>
      </c>
      <c r="I105" s="1996">
        <v>0</v>
      </c>
      <c r="J105" s="1996">
        <v>0</v>
      </c>
      <c r="K105" s="1996">
        <v>6</v>
      </c>
      <c r="L105" s="1996">
        <v>0</v>
      </c>
      <c r="M105" s="1996">
        <v>0</v>
      </c>
      <c r="N105" s="1996">
        <v>0</v>
      </c>
      <c r="O105" s="1996">
        <v>0</v>
      </c>
      <c r="P105" s="1996">
        <v>0</v>
      </c>
      <c r="Q105" s="1996">
        <v>0</v>
      </c>
      <c r="R105" s="1997">
        <v>0</v>
      </c>
      <c r="S105" s="666" t="s">
        <v>652</v>
      </c>
      <c r="T105" s="1998">
        <v>59199.630000000005</v>
      </c>
      <c r="U105" s="1998">
        <v>0</v>
      </c>
      <c r="V105" s="1998">
        <v>0</v>
      </c>
      <c r="W105" s="1998">
        <v>0</v>
      </c>
      <c r="X105" s="1998">
        <v>0</v>
      </c>
      <c r="Y105" s="1998">
        <v>0</v>
      </c>
      <c r="Z105" s="1998">
        <v>10072.370000000001</v>
      </c>
      <c r="AA105" s="1998">
        <v>0</v>
      </c>
      <c r="AB105" s="1998">
        <v>0</v>
      </c>
      <c r="AC105" s="1998">
        <v>0</v>
      </c>
      <c r="AD105" s="1998">
        <v>0</v>
      </c>
      <c r="AE105" s="1998">
        <v>0</v>
      </c>
      <c r="AF105" s="1998">
        <v>0</v>
      </c>
      <c r="AG105" s="1999">
        <v>49127.26</v>
      </c>
    </row>
    <row r="106" spans="1:33" x14ac:dyDescent="0.2">
      <c r="A106" s="666" t="s">
        <v>2165</v>
      </c>
      <c r="B106" s="666" t="s">
        <v>35</v>
      </c>
      <c r="C106" s="666"/>
      <c r="D106" s="666"/>
      <c r="E106" s="1996">
        <v>1300</v>
      </c>
      <c r="F106" s="1996">
        <v>0</v>
      </c>
      <c r="G106" s="1996">
        <v>0</v>
      </c>
      <c r="H106" s="1996">
        <v>0</v>
      </c>
      <c r="I106" s="1996">
        <v>0</v>
      </c>
      <c r="J106" s="1996">
        <v>0</v>
      </c>
      <c r="K106" s="1996">
        <v>340</v>
      </c>
      <c r="L106" s="1996">
        <v>0</v>
      </c>
      <c r="M106" s="1996">
        <v>0</v>
      </c>
      <c r="N106" s="1996">
        <v>0</v>
      </c>
      <c r="O106" s="1996">
        <v>0</v>
      </c>
      <c r="P106" s="1996">
        <v>0</v>
      </c>
      <c r="Q106" s="1996">
        <v>0</v>
      </c>
      <c r="R106" s="1997">
        <v>960</v>
      </c>
      <c r="S106" s="666" t="s">
        <v>903</v>
      </c>
      <c r="T106" s="1998">
        <v>32765</v>
      </c>
      <c r="U106" s="1998">
        <v>0</v>
      </c>
      <c r="V106" s="1998">
        <v>0</v>
      </c>
      <c r="W106" s="1998">
        <v>0</v>
      </c>
      <c r="X106" s="1998">
        <v>0</v>
      </c>
      <c r="Y106" s="1998">
        <v>0</v>
      </c>
      <c r="Z106" s="1998">
        <v>6345</v>
      </c>
      <c r="AA106" s="1998">
        <v>0</v>
      </c>
      <c r="AB106" s="1998">
        <v>0</v>
      </c>
      <c r="AC106" s="1998">
        <v>0</v>
      </c>
      <c r="AD106" s="1998">
        <v>0</v>
      </c>
      <c r="AE106" s="1998">
        <v>0</v>
      </c>
      <c r="AF106" s="1998">
        <v>0</v>
      </c>
      <c r="AG106" s="1999">
        <v>26420</v>
      </c>
    </row>
    <row r="107" spans="1:33" x14ac:dyDescent="0.2">
      <c r="A107" s="666" t="s">
        <v>2166</v>
      </c>
      <c r="B107" s="666" t="s">
        <v>35</v>
      </c>
      <c r="C107" s="666"/>
      <c r="D107" s="666"/>
      <c r="E107" s="1996">
        <v>88</v>
      </c>
      <c r="F107" s="1996">
        <v>0</v>
      </c>
      <c r="G107" s="1996">
        <v>40</v>
      </c>
      <c r="H107" s="1996">
        <v>0</v>
      </c>
      <c r="I107" s="1996">
        <v>0</v>
      </c>
      <c r="J107" s="1996">
        <v>0</v>
      </c>
      <c r="K107" s="1996">
        <v>25</v>
      </c>
      <c r="L107" s="1996">
        <v>0</v>
      </c>
      <c r="M107" s="1996">
        <v>0</v>
      </c>
      <c r="N107" s="1996">
        <v>0</v>
      </c>
      <c r="O107" s="1996">
        <v>0</v>
      </c>
      <c r="P107" s="1996">
        <v>0</v>
      </c>
      <c r="Q107" s="1996">
        <v>0</v>
      </c>
      <c r="R107" s="1997">
        <v>103</v>
      </c>
      <c r="S107" s="666" t="s">
        <v>665</v>
      </c>
      <c r="T107" s="1998">
        <v>2347.59</v>
      </c>
      <c r="U107" s="1998">
        <v>0</v>
      </c>
      <c r="V107" s="1998">
        <v>1000</v>
      </c>
      <c r="W107" s="1998">
        <v>0</v>
      </c>
      <c r="X107" s="1998">
        <v>0</v>
      </c>
      <c r="Y107" s="1998">
        <v>0</v>
      </c>
      <c r="Z107" s="1998">
        <v>600.99</v>
      </c>
      <c r="AA107" s="1998">
        <v>0</v>
      </c>
      <c r="AB107" s="1998">
        <v>0</v>
      </c>
      <c r="AC107" s="1998">
        <v>0</v>
      </c>
      <c r="AD107" s="1998">
        <v>0</v>
      </c>
      <c r="AE107" s="1998">
        <v>0</v>
      </c>
      <c r="AF107" s="1998">
        <v>0</v>
      </c>
      <c r="AG107" s="1999">
        <v>2746.6</v>
      </c>
    </row>
    <row r="108" spans="1:33" x14ac:dyDescent="0.2">
      <c r="A108" s="666" t="s">
        <v>2167</v>
      </c>
      <c r="B108" s="666" t="s">
        <v>35</v>
      </c>
      <c r="C108" s="666"/>
      <c r="D108" s="666"/>
      <c r="E108" s="1996">
        <v>140</v>
      </c>
      <c r="F108" s="1996">
        <v>0</v>
      </c>
      <c r="G108" s="1996">
        <v>0</v>
      </c>
      <c r="H108" s="1996">
        <v>0</v>
      </c>
      <c r="I108" s="1996">
        <v>0</v>
      </c>
      <c r="J108" s="1996">
        <v>0</v>
      </c>
      <c r="K108" s="1996">
        <v>140</v>
      </c>
      <c r="L108" s="1996">
        <v>0</v>
      </c>
      <c r="M108" s="1996">
        <v>0</v>
      </c>
      <c r="N108" s="1996">
        <v>0</v>
      </c>
      <c r="O108" s="1996">
        <v>0</v>
      </c>
      <c r="P108" s="1996">
        <v>0</v>
      </c>
      <c r="Q108" s="1996">
        <v>0</v>
      </c>
      <c r="R108" s="1997">
        <v>0</v>
      </c>
      <c r="S108" s="666" t="s">
        <v>662</v>
      </c>
      <c r="T108" s="1998">
        <v>3500</v>
      </c>
      <c r="U108" s="1998">
        <v>0</v>
      </c>
      <c r="V108" s="1998">
        <v>0</v>
      </c>
      <c r="W108" s="1998">
        <v>0</v>
      </c>
      <c r="X108" s="1998">
        <v>0</v>
      </c>
      <c r="Y108" s="1998">
        <v>0</v>
      </c>
      <c r="Z108" s="1998">
        <v>3459.2400000000002</v>
      </c>
      <c r="AA108" s="1998">
        <v>0</v>
      </c>
      <c r="AB108" s="1998">
        <v>0</v>
      </c>
      <c r="AC108" s="1998">
        <v>0</v>
      </c>
      <c r="AD108" s="1998">
        <v>0</v>
      </c>
      <c r="AE108" s="1998">
        <v>0</v>
      </c>
      <c r="AF108" s="1998">
        <v>0</v>
      </c>
      <c r="AG108" s="1999">
        <v>40.76</v>
      </c>
    </row>
    <row r="109" spans="1:33" x14ac:dyDescent="0.2">
      <c r="A109" s="666" t="s">
        <v>2168</v>
      </c>
      <c r="B109" s="666" t="s">
        <v>35</v>
      </c>
      <c r="C109" s="666"/>
      <c r="D109" s="666"/>
      <c r="E109" s="1996">
        <v>194</v>
      </c>
      <c r="F109" s="1996">
        <v>0</v>
      </c>
      <c r="G109" s="1996">
        <v>0</v>
      </c>
      <c r="H109" s="1996">
        <v>0</v>
      </c>
      <c r="I109" s="1996">
        <v>0</v>
      </c>
      <c r="J109" s="1996">
        <v>0</v>
      </c>
      <c r="K109" s="1996">
        <v>74</v>
      </c>
      <c r="L109" s="1996">
        <v>0</v>
      </c>
      <c r="M109" s="1996">
        <v>0</v>
      </c>
      <c r="N109" s="1996">
        <v>0</v>
      </c>
      <c r="O109" s="1996">
        <v>0</v>
      </c>
      <c r="P109" s="1996">
        <v>0</v>
      </c>
      <c r="Q109" s="1996">
        <v>0</v>
      </c>
      <c r="R109" s="1997">
        <v>120</v>
      </c>
      <c r="S109" s="666" t="s">
        <v>1705</v>
      </c>
      <c r="T109" s="1998">
        <v>4871.9000000000005</v>
      </c>
      <c r="U109" s="1998">
        <v>0</v>
      </c>
      <c r="V109" s="1998">
        <v>0</v>
      </c>
      <c r="W109" s="1998">
        <v>0</v>
      </c>
      <c r="X109" s="1998">
        <v>0</v>
      </c>
      <c r="Y109" s="1998">
        <v>0</v>
      </c>
      <c r="Z109" s="1998">
        <v>1377.68</v>
      </c>
      <c r="AA109" s="1998">
        <v>0</v>
      </c>
      <c r="AB109" s="1998">
        <v>0</v>
      </c>
      <c r="AC109" s="1998">
        <v>0</v>
      </c>
      <c r="AD109" s="1998">
        <v>0</v>
      </c>
      <c r="AE109" s="1998">
        <v>0</v>
      </c>
      <c r="AF109" s="1998">
        <v>0</v>
      </c>
      <c r="AG109" s="1999">
        <v>3494.2200000000003</v>
      </c>
    </row>
    <row r="110" spans="1:33" x14ac:dyDescent="0.2">
      <c r="A110" s="666" t="s">
        <v>2169</v>
      </c>
      <c r="B110" s="666" t="s">
        <v>35</v>
      </c>
      <c r="C110" s="666"/>
      <c r="D110" s="666"/>
      <c r="E110" s="1996">
        <v>200</v>
      </c>
      <c r="F110" s="1996">
        <v>0</v>
      </c>
      <c r="G110" s="1996">
        <v>0</v>
      </c>
      <c r="H110" s="1996">
        <v>0</v>
      </c>
      <c r="I110" s="1996">
        <v>0</v>
      </c>
      <c r="J110" s="1996">
        <v>0</v>
      </c>
      <c r="K110" s="1996">
        <v>50</v>
      </c>
      <c r="L110" s="1996">
        <v>0</v>
      </c>
      <c r="M110" s="1996">
        <v>0</v>
      </c>
      <c r="N110" s="1996">
        <v>0</v>
      </c>
      <c r="O110" s="1996">
        <v>0</v>
      </c>
      <c r="P110" s="1996">
        <v>0</v>
      </c>
      <c r="Q110" s="1996">
        <v>0</v>
      </c>
      <c r="R110" s="1997">
        <v>150</v>
      </c>
      <c r="S110" s="666" t="s">
        <v>1595</v>
      </c>
      <c r="T110" s="1998">
        <v>4645.62</v>
      </c>
      <c r="U110" s="1998">
        <v>0</v>
      </c>
      <c r="V110" s="1998">
        <v>0</v>
      </c>
      <c r="W110" s="1998">
        <v>0</v>
      </c>
      <c r="X110" s="1998">
        <v>0</v>
      </c>
      <c r="Y110" s="1998">
        <v>0</v>
      </c>
      <c r="Z110" s="1998">
        <v>699</v>
      </c>
      <c r="AA110" s="1998">
        <v>0</v>
      </c>
      <c r="AB110" s="1998">
        <v>0</v>
      </c>
      <c r="AC110" s="1998">
        <v>0</v>
      </c>
      <c r="AD110" s="1998">
        <v>0</v>
      </c>
      <c r="AE110" s="1998">
        <v>0</v>
      </c>
      <c r="AF110" s="1998">
        <v>0</v>
      </c>
      <c r="AG110" s="1999">
        <v>3946.62</v>
      </c>
    </row>
    <row r="111" spans="1:33" x14ac:dyDescent="0.2">
      <c r="A111" s="666" t="s">
        <v>2170</v>
      </c>
      <c r="B111" s="666" t="s">
        <v>35</v>
      </c>
      <c r="C111" s="666"/>
      <c r="D111" s="666"/>
      <c r="E111" s="1996">
        <v>155</v>
      </c>
      <c r="F111" s="1996">
        <v>0</v>
      </c>
      <c r="G111" s="1996">
        <v>0</v>
      </c>
      <c r="H111" s="1996">
        <v>0</v>
      </c>
      <c r="I111" s="1996">
        <v>0</v>
      </c>
      <c r="J111" s="1996">
        <v>0</v>
      </c>
      <c r="K111" s="1996">
        <v>0</v>
      </c>
      <c r="L111" s="1996">
        <v>0</v>
      </c>
      <c r="M111" s="1996">
        <v>0</v>
      </c>
      <c r="N111" s="1996">
        <v>0</v>
      </c>
      <c r="O111" s="1996">
        <v>0</v>
      </c>
      <c r="P111" s="1996">
        <v>0</v>
      </c>
      <c r="Q111" s="1996">
        <v>0</v>
      </c>
      <c r="R111" s="1997">
        <v>155</v>
      </c>
      <c r="S111" s="666" t="s">
        <v>1683</v>
      </c>
      <c r="T111" s="1998">
        <v>3875</v>
      </c>
      <c r="U111" s="1998">
        <v>0</v>
      </c>
      <c r="V111" s="1998">
        <v>0</v>
      </c>
      <c r="W111" s="1998">
        <v>0</v>
      </c>
      <c r="X111" s="1998">
        <v>0</v>
      </c>
      <c r="Y111" s="1998">
        <v>0</v>
      </c>
      <c r="Z111" s="1998">
        <v>0</v>
      </c>
      <c r="AA111" s="1998">
        <v>0</v>
      </c>
      <c r="AB111" s="1998">
        <v>0</v>
      </c>
      <c r="AC111" s="1998">
        <v>0</v>
      </c>
      <c r="AD111" s="1998">
        <v>0</v>
      </c>
      <c r="AE111" s="1998">
        <v>0</v>
      </c>
      <c r="AF111" s="1998">
        <v>0</v>
      </c>
      <c r="AG111" s="1999">
        <v>3875</v>
      </c>
    </row>
    <row r="112" spans="1:33" x14ac:dyDescent="0.2">
      <c r="A112" s="666" t="s">
        <v>2171</v>
      </c>
      <c r="B112" s="666" t="s">
        <v>35</v>
      </c>
      <c r="C112" s="666"/>
      <c r="D112" s="666"/>
      <c r="E112" s="1996">
        <v>33</v>
      </c>
      <c r="F112" s="1996">
        <v>0</v>
      </c>
      <c r="G112" s="1996">
        <v>0</v>
      </c>
      <c r="H112" s="1996">
        <v>0</v>
      </c>
      <c r="I112" s="1996">
        <v>0</v>
      </c>
      <c r="J112" s="1996">
        <v>0</v>
      </c>
      <c r="K112" s="1996">
        <v>2</v>
      </c>
      <c r="L112" s="1996">
        <v>0</v>
      </c>
      <c r="M112" s="1996">
        <v>0</v>
      </c>
      <c r="N112" s="1996">
        <v>0</v>
      </c>
      <c r="O112" s="1996">
        <v>0</v>
      </c>
      <c r="P112" s="1996">
        <v>0</v>
      </c>
      <c r="Q112" s="1996">
        <v>0</v>
      </c>
      <c r="R112" s="1997">
        <v>31</v>
      </c>
      <c r="S112" s="666" t="s">
        <v>471</v>
      </c>
      <c r="T112" s="1998">
        <v>926.05000000000007</v>
      </c>
      <c r="U112" s="1998">
        <v>0</v>
      </c>
      <c r="V112" s="1998">
        <v>0</v>
      </c>
      <c r="W112" s="1998">
        <v>0</v>
      </c>
      <c r="X112" s="1998">
        <v>0</v>
      </c>
      <c r="Y112" s="1998">
        <v>0</v>
      </c>
      <c r="Z112" s="1998">
        <v>46.62</v>
      </c>
      <c r="AA112" s="1998">
        <v>0</v>
      </c>
      <c r="AB112" s="1998">
        <v>0</v>
      </c>
      <c r="AC112" s="1998">
        <v>0</v>
      </c>
      <c r="AD112" s="1998">
        <v>0</v>
      </c>
      <c r="AE112" s="1998">
        <v>0</v>
      </c>
      <c r="AF112" s="1998">
        <v>0</v>
      </c>
      <c r="AG112" s="1999">
        <v>879.43000000000006</v>
      </c>
    </row>
    <row r="113" spans="1:33" x14ac:dyDescent="0.2">
      <c r="A113" s="666" t="s">
        <v>2172</v>
      </c>
      <c r="B113" s="666" t="s">
        <v>35</v>
      </c>
      <c r="C113" s="666"/>
      <c r="D113" s="666"/>
      <c r="E113" s="1996">
        <v>110</v>
      </c>
      <c r="F113" s="1996">
        <v>0</v>
      </c>
      <c r="G113" s="1996">
        <v>80</v>
      </c>
      <c r="H113" s="1996">
        <v>0</v>
      </c>
      <c r="I113" s="1996">
        <v>0</v>
      </c>
      <c r="J113" s="1996">
        <v>0</v>
      </c>
      <c r="K113" s="1996">
        <v>34</v>
      </c>
      <c r="L113" s="1996">
        <v>0</v>
      </c>
      <c r="M113" s="1996">
        <v>0</v>
      </c>
      <c r="N113" s="1996">
        <v>0</v>
      </c>
      <c r="O113" s="1996">
        <v>0</v>
      </c>
      <c r="P113" s="1996">
        <v>0</v>
      </c>
      <c r="Q113" s="1996">
        <v>0</v>
      </c>
      <c r="R113" s="1997">
        <v>156</v>
      </c>
      <c r="S113" s="666" t="s">
        <v>836</v>
      </c>
      <c r="T113" s="1998">
        <v>2889.08</v>
      </c>
      <c r="U113" s="1998">
        <v>0</v>
      </c>
      <c r="V113" s="1998">
        <v>2000</v>
      </c>
      <c r="W113" s="1998">
        <v>0</v>
      </c>
      <c r="X113" s="1998">
        <v>0</v>
      </c>
      <c r="Y113" s="1998">
        <v>0</v>
      </c>
      <c r="Z113" s="1998">
        <v>790.2</v>
      </c>
      <c r="AA113" s="1998">
        <v>0</v>
      </c>
      <c r="AB113" s="1998">
        <v>0</v>
      </c>
      <c r="AC113" s="1998">
        <v>0</v>
      </c>
      <c r="AD113" s="1998">
        <v>0</v>
      </c>
      <c r="AE113" s="1998">
        <v>0</v>
      </c>
      <c r="AF113" s="1998">
        <v>0</v>
      </c>
      <c r="AG113" s="1999">
        <v>4098.88</v>
      </c>
    </row>
    <row r="114" spans="1:33" x14ac:dyDescent="0.2">
      <c r="A114" s="666" t="s">
        <v>2173</v>
      </c>
      <c r="B114" s="666" t="s">
        <v>35</v>
      </c>
      <c r="C114" s="666"/>
      <c r="D114" s="666"/>
      <c r="E114" s="1996">
        <v>333</v>
      </c>
      <c r="F114" s="1996">
        <v>0</v>
      </c>
      <c r="G114" s="1996">
        <v>0</v>
      </c>
      <c r="H114" s="1996">
        <v>0</v>
      </c>
      <c r="I114" s="1996">
        <v>0</v>
      </c>
      <c r="J114" s="1996">
        <v>0</v>
      </c>
      <c r="K114" s="1996">
        <v>35</v>
      </c>
      <c r="L114" s="1996">
        <v>0</v>
      </c>
      <c r="M114" s="1996">
        <v>0</v>
      </c>
      <c r="N114" s="1996">
        <v>0</v>
      </c>
      <c r="O114" s="1996">
        <v>0</v>
      </c>
      <c r="P114" s="1996">
        <v>0</v>
      </c>
      <c r="Q114" s="1996">
        <v>0</v>
      </c>
      <c r="R114" s="1997">
        <v>298</v>
      </c>
      <c r="S114" s="666" t="s">
        <v>1637</v>
      </c>
      <c r="T114" s="1998">
        <v>8666.5</v>
      </c>
      <c r="U114" s="1998">
        <v>0</v>
      </c>
      <c r="V114" s="1998">
        <v>0</v>
      </c>
      <c r="W114" s="1998">
        <v>0</v>
      </c>
      <c r="X114" s="1998">
        <v>0</v>
      </c>
      <c r="Y114" s="1998">
        <v>0</v>
      </c>
      <c r="Z114" s="1998">
        <v>992.18000000000006</v>
      </c>
      <c r="AA114" s="1998">
        <v>0</v>
      </c>
      <c r="AB114" s="1998">
        <v>0</v>
      </c>
      <c r="AC114" s="1998">
        <v>0</v>
      </c>
      <c r="AD114" s="1998">
        <v>0</v>
      </c>
      <c r="AE114" s="1998">
        <v>0</v>
      </c>
      <c r="AF114" s="1998">
        <v>0</v>
      </c>
      <c r="AG114" s="1999">
        <v>7674.32</v>
      </c>
    </row>
    <row r="115" spans="1:33" x14ac:dyDescent="0.2">
      <c r="A115" s="666" t="s">
        <v>2174</v>
      </c>
      <c r="B115" s="666" t="s">
        <v>35</v>
      </c>
      <c r="C115" s="666"/>
      <c r="D115" s="666"/>
      <c r="E115" s="1996">
        <v>7</v>
      </c>
      <c r="F115" s="1996">
        <v>0</v>
      </c>
      <c r="G115" s="1996">
        <v>0</v>
      </c>
      <c r="H115" s="1996">
        <v>0</v>
      </c>
      <c r="I115" s="1996">
        <v>0</v>
      </c>
      <c r="J115" s="1996">
        <v>0</v>
      </c>
      <c r="K115" s="1996">
        <v>0</v>
      </c>
      <c r="L115" s="1996">
        <v>0</v>
      </c>
      <c r="M115" s="1996">
        <v>0</v>
      </c>
      <c r="N115" s="1996">
        <v>0</v>
      </c>
      <c r="O115" s="1996">
        <v>0</v>
      </c>
      <c r="P115" s="1996">
        <v>0</v>
      </c>
      <c r="Q115" s="1996">
        <v>0</v>
      </c>
      <c r="R115" s="1997">
        <v>7</v>
      </c>
      <c r="S115" s="666" t="s">
        <v>1731</v>
      </c>
      <c r="T115" s="1998">
        <v>202.93</v>
      </c>
      <c r="U115" s="1998">
        <v>0</v>
      </c>
      <c r="V115" s="1998">
        <v>0</v>
      </c>
      <c r="W115" s="1998">
        <v>0</v>
      </c>
      <c r="X115" s="1998">
        <v>0</v>
      </c>
      <c r="Y115" s="1998">
        <v>0</v>
      </c>
      <c r="Z115" s="1998">
        <v>13.77</v>
      </c>
      <c r="AA115" s="1998">
        <v>0</v>
      </c>
      <c r="AB115" s="1998">
        <v>0</v>
      </c>
      <c r="AC115" s="1998">
        <v>0</v>
      </c>
      <c r="AD115" s="1998">
        <v>0</v>
      </c>
      <c r="AE115" s="1998">
        <v>0</v>
      </c>
      <c r="AF115" s="1998">
        <v>0</v>
      </c>
      <c r="AG115" s="1999">
        <v>189.16</v>
      </c>
    </row>
    <row r="116" spans="1:33" x14ac:dyDescent="0.2">
      <c r="A116" s="666" t="s">
        <v>2175</v>
      </c>
      <c r="B116" s="666" t="s">
        <v>35</v>
      </c>
      <c r="C116" s="666"/>
      <c r="D116" s="666"/>
      <c r="E116" s="1996">
        <v>240</v>
      </c>
      <c r="F116" s="1996">
        <v>0</v>
      </c>
      <c r="G116" s="1996">
        <v>160</v>
      </c>
      <c r="H116" s="1996">
        <v>0</v>
      </c>
      <c r="I116" s="1996">
        <v>0</v>
      </c>
      <c r="J116" s="1996">
        <v>0</v>
      </c>
      <c r="K116" s="1996">
        <v>80</v>
      </c>
      <c r="L116" s="1996">
        <v>0</v>
      </c>
      <c r="M116" s="1996">
        <v>0</v>
      </c>
      <c r="N116" s="1996">
        <v>0</v>
      </c>
      <c r="O116" s="1996">
        <v>0</v>
      </c>
      <c r="P116" s="1996">
        <v>0</v>
      </c>
      <c r="Q116" s="1996">
        <v>0</v>
      </c>
      <c r="R116" s="1997">
        <v>320</v>
      </c>
      <c r="S116" s="666" t="s">
        <v>845</v>
      </c>
      <c r="T116" s="1998">
        <v>6440.12</v>
      </c>
      <c r="U116" s="1998">
        <v>0</v>
      </c>
      <c r="V116" s="1998">
        <v>4000</v>
      </c>
      <c r="W116" s="1998">
        <v>0</v>
      </c>
      <c r="X116" s="1998">
        <v>0</v>
      </c>
      <c r="Y116" s="1998">
        <v>0</v>
      </c>
      <c r="Z116" s="1998">
        <v>1672.26</v>
      </c>
      <c r="AA116" s="1998">
        <v>0</v>
      </c>
      <c r="AB116" s="1998">
        <v>0</v>
      </c>
      <c r="AC116" s="1998">
        <v>0</v>
      </c>
      <c r="AD116" s="1998">
        <v>0</v>
      </c>
      <c r="AE116" s="1998">
        <v>0</v>
      </c>
      <c r="AF116" s="1998">
        <v>0</v>
      </c>
      <c r="AG116" s="1999">
        <v>8767.86</v>
      </c>
    </row>
    <row r="117" spans="1:33" x14ac:dyDescent="0.2">
      <c r="A117" s="666" t="s">
        <v>2176</v>
      </c>
      <c r="B117" s="666" t="s">
        <v>35</v>
      </c>
      <c r="C117" s="666"/>
      <c r="D117" s="666"/>
      <c r="E117" s="1996">
        <v>0</v>
      </c>
      <c r="F117" s="1996">
        <v>0</v>
      </c>
      <c r="G117" s="1996">
        <v>0</v>
      </c>
      <c r="H117" s="1996">
        <v>0</v>
      </c>
      <c r="I117" s="1996">
        <v>0</v>
      </c>
      <c r="J117" s="1996">
        <v>0</v>
      </c>
      <c r="K117" s="1996">
        <v>0</v>
      </c>
      <c r="L117" s="1996">
        <v>0</v>
      </c>
      <c r="M117" s="1996">
        <v>0</v>
      </c>
      <c r="N117" s="1996">
        <v>0</v>
      </c>
      <c r="O117" s="1996">
        <v>0</v>
      </c>
      <c r="P117" s="1996">
        <v>0</v>
      </c>
      <c r="Q117" s="1996">
        <v>0</v>
      </c>
      <c r="R117" s="1997">
        <v>0</v>
      </c>
      <c r="S117" s="666" t="s">
        <v>1375</v>
      </c>
      <c r="T117" s="1998">
        <v>4507.22</v>
      </c>
      <c r="U117" s="1998">
        <v>22470</v>
      </c>
      <c r="V117" s="1998">
        <v>0</v>
      </c>
      <c r="W117" s="1998">
        <v>0</v>
      </c>
      <c r="X117" s="1998">
        <v>0</v>
      </c>
      <c r="Y117" s="1998">
        <v>0</v>
      </c>
      <c r="Z117" s="1998">
        <v>4640.75</v>
      </c>
      <c r="AA117" s="1998">
        <v>0</v>
      </c>
      <c r="AB117" s="1998">
        <v>0</v>
      </c>
      <c r="AC117" s="1998">
        <v>0</v>
      </c>
      <c r="AD117" s="1998">
        <v>0</v>
      </c>
      <c r="AE117" s="1998">
        <v>0</v>
      </c>
      <c r="AF117" s="1998">
        <v>0</v>
      </c>
      <c r="AG117" s="1999">
        <v>22336.47</v>
      </c>
    </row>
    <row r="118" spans="1:33" x14ac:dyDescent="0.2">
      <c r="A118" s="666" t="s">
        <v>2177</v>
      </c>
      <c r="B118" s="666" t="s">
        <v>35</v>
      </c>
      <c r="C118" s="666"/>
      <c r="D118" s="666"/>
      <c r="E118" s="1996">
        <v>80</v>
      </c>
      <c r="F118" s="1996">
        <v>0</v>
      </c>
      <c r="G118" s="1996">
        <v>40</v>
      </c>
      <c r="H118" s="1996">
        <v>0</v>
      </c>
      <c r="I118" s="1996">
        <v>0</v>
      </c>
      <c r="J118" s="1996">
        <v>0</v>
      </c>
      <c r="K118" s="1996">
        <v>19</v>
      </c>
      <c r="L118" s="1996">
        <v>0</v>
      </c>
      <c r="M118" s="1996">
        <v>0</v>
      </c>
      <c r="N118" s="1996">
        <v>0</v>
      </c>
      <c r="O118" s="1996">
        <v>0</v>
      </c>
      <c r="P118" s="1996">
        <v>0</v>
      </c>
      <c r="Q118" s="1996">
        <v>0</v>
      </c>
      <c r="R118" s="1997">
        <v>101</v>
      </c>
      <c r="S118" s="666" t="s">
        <v>879</v>
      </c>
      <c r="T118" s="1998">
        <v>2180.1799999999998</v>
      </c>
      <c r="U118" s="1998">
        <v>0</v>
      </c>
      <c r="V118" s="1998">
        <v>1000</v>
      </c>
      <c r="W118" s="1998">
        <v>0</v>
      </c>
      <c r="X118" s="1998">
        <v>0</v>
      </c>
      <c r="Y118" s="1998">
        <v>0</v>
      </c>
      <c r="Z118" s="1998">
        <v>438.78000000000003</v>
      </c>
      <c r="AA118" s="1998">
        <v>0</v>
      </c>
      <c r="AB118" s="1998">
        <v>0</v>
      </c>
      <c r="AC118" s="1998">
        <v>0</v>
      </c>
      <c r="AD118" s="1998">
        <v>0</v>
      </c>
      <c r="AE118" s="1998">
        <v>0</v>
      </c>
      <c r="AF118" s="1998">
        <v>0</v>
      </c>
      <c r="AG118" s="1999">
        <v>2741.4</v>
      </c>
    </row>
    <row r="119" spans="1:33" x14ac:dyDescent="0.2">
      <c r="A119" s="666" t="s">
        <v>2178</v>
      </c>
      <c r="B119" s="666" t="s">
        <v>35</v>
      </c>
      <c r="C119" s="666"/>
      <c r="D119" s="666"/>
      <c r="E119" s="1996">
        <v>0</v>
      </c>
      <c r="F119" s="1996">
        <v>0</v>
      </c>
      <c r="G119" s="1996">
        <v>0</v>
      </c>
      <c r="H119" s="1996">
        <v>0</v>
      </c>
      <c r="I119" s="1996">
        <v>0</v>
      </c>
      <c r="J119" s="1996">
        <v>0</v>
      </c>
      <c r="K119" s="1996">
        <v>0</v>
      </c>
      <c r="L119" s="1996">
        <v>0</v>
      </c>
      <c r="M119" s="1996">
        <v>0</v>
      </c>
      <c r="N119" s="1996">
        <v>0</v>
      </c>
      <c r="O119" s="1996">
        <v>0</v>
      </c>
      <c r="P119" s="1996">
        <v>0</v>
      </c>
      <c r="Q119" s="1996">
        <v>0</v>
      </c>
      <c r="R119" s="1997">
        <v>0</v>
      </c>
      <c r="S119" s="666" t="s">
        <v>1311</v>
      </c>
      <c r="T119" s="1998">
        <v>25220</v>
      </c>
      <c r="U119" s="1998">
        <v>0</v>
      </c>
      <c r="V119" s="1998">
        <v>0</v>
      </c>
      <c r="W119" s="1998">
        <v>0</v>
      </c>
      <c r="X119" s="1998">
        <v>0</v>
      </c>
      <c r="Y119" s="1998">
        <v>0</v>
      </c>
      <c r="Z119" s="1998">
        <v>0</v>
      </c>
      <c r="AA119" s="1998">
        <v>0</v>
      </c>
      <c r="AB119" s="1998">
        <v>0</v>
      </c>
      <c r="AC119" s="1998">
        <v>0</v>
      </c>
      <c r="AD119" s="1998">
        <v>0</v>
      </c>
      <c r="AE119" s="1998">
        <v>0</v>
      </c>
      <c r="AF119" s="1998">
        <v>0</v>
      </c>
      <c r="AG119" s="1999">
        <v>25220</v>
      </c>
    </row>
    <row r="120" spans="1:33" x14ac:dyDescent="0.2">
      <c r="A120" s="666" t="s">
        <v>2179</v>
      </c>
      <c r="B120" s="666" t="s">
        <v>35</v>
      </c>
      <c r="C120" s="666"/>
      <c r="D120" s="666"/>
      <c r="E120" s="1996">
        <v>3601</v>
      </c>
      <c r="F120" s="1996">
        <v>0</v>
      </c>
      <c r="G120" s="1996">
        <v>0</v>
      </c>
      <c r="H120" s="1996">
        <v>0</v>
      </c>
      <c r="I120" s="1996">
        <v>0</v>
      </c>
      <c r="J120" s="1996">
        <v>0</v>
      </c>
      <c r="K120" s="1996">
        <v>700</v>
      </c>
      <c r="L120" s="1996">
        <v>0</v>
      </c>
      <c r="M120" s="1996">
        <v>0</v>
      </c>
      <c r="N120" s="1996">
        <v>0</v>
      </c>
      <c r="O120" s="1996">
        <v>0</v>
      </c>
      <c r="P120" s="1996">
        <v>0</v>
      </c>
      <c r="Q120" s="1996">
        <v>0</v>
      </c>
      <c r="R120" s="1997">
        <v>2901</v>
      </c>
      <c r="S120" s="666" t="s">
        <v>1317</v>
      </c>
      <c r="T120" s="1998">
        <v>94055.74</v>
      </c>
      <c r="U120" s="1998">
        <v>0</v>
      </c>
      <c r="V120" s="1998">
        <v>0</v>
      </c>
      <c r="W120" s="1998">
        <v>0</v>
      </c>
      <c r="X120" s="1998">
        <v>0</v>
      </c>
      <c r="Y120" s="1998">
        <v>0</v>
      </c>
      <c r="Z120" s="1998">
        <v>15867.9</v>
      </c>
      <c r="AA120" s="1998">
        <v>0</v>
      </c>
      <c r="AB120" s="1998">
        <v>0</v>
      </c>
      <c r="AC120" s="1998">
        <v>0</v>
      </c>
      <c r="AD120" s="1998">
        <v>0</v>
      </c>
      <c r="AE120" s="1998">
        <v>0</v>
      </c>
      <c r="AF120" s="1998">
        <v>0</v>
      </c>
      <c r="AG120" s="1999">
        <v>78187.839999999997</v>
      </c>
    </row>
    <row r="121" spans="1:33" x14ac:dyDescent="0.2">
      <c r="A121" s="666" t="s">
        <v>2180</v>
      </c>
      <c r="B121" s="666" t="s">
        <v>35</v>
      </c>
      <c r="C121" s="666"/>
      <c r="D121" s="666"/>
      <c r="E121" s="1996">
        <v>265</v>
      </c>
      <c r="F121" s="1996">
        <v>0</v>
      </c>
      <c r="G121" s="1996">
        <v>200</v>
      </c>
      <c r="H121" s="1996">
        <v>0</v>
      </c>
      <c r="I121" s="1996">
        <v>0</v>
      </c>
      <c r="J121" s="1996">
        <v>0</v>
      </c>
      <c r="K121" s="1996">
        <v>84</v>
      </c>
      <c r="L121" s="1996">
        <v>0</v>
      </c>
      <c r="M121" s="1996">
        <v>0</v>
      </c>
      <c r="N121" s="1996">
        <v>0</v>
      </c>
      <c r="O121" s="1996">
        <v>0</v>
      </c>
      <c r="P121" s="1996">
        <v>0</v>
      </c>
      <c r="Q121" s="1996">
        <v>0</v>
      </c>
      <c r="R121" s="1997">
        <v>381</v>
      </c>
      <c r="S121" s="666" t="s">
        <v>655</v>
      </c>
      <c r="T121" s="1998">
        <v>5817.68</v>
      </c>
      <c r="U121" s="1998">
        <v>0</v>
      </c>
      <c r="V121" s="1998">
        <v>4000</v>
      </c>
      <c r="W121" s="1998">
        <v>0</v>
      </c>
      <c r="X121" s="1998">
        <v>0</v>
      </c>
      <c r="Y121" s="1998">
        <v>0</v>
      </c>
      <c r="Z121" s="1998">
        <v>1828.13</v>
      </c>
      <c r="AA121" s="1998">
        <v>0</v>
      </c>
      <c r="AB121" s="1998">
        <v>0</v>
      </c>
      <c r="AC121" s="1998">
        <v>0</v>
      </c>
      <c r="AD121" s="1998">
        <v>0</v>
      </c>
      <c r="AE121" s="1998">
        <v>0</v>
      </c>
      <c r="AF121" s="1998">
        <v>0</v>
      </c>
      <c r="AG121" s="1999">
        <v>7989.55</v>
      </c>
    </row>
    <row r="122" spans="1:33" x14ac:dyDescent="0.2">
      <c r="A122" s="666" t="s">
        <v>2181</v>
      </c>
      <c r="B122" s="666" t="s">
        <v>35</v>
      </c>
      <c r="C122" s="666"/>
      <c r="D122" s="666"/>
      <c r="E122" s="1996">
        <v>1760</v>
      </c>
      <c r="F122" s="1996">
        <v>0</v>
      </c>
      <c r="G122" s="1996">
        <v>0</v>
      </c>
      <c r="H122" s="1996">
        <v>0</v>
      </c>
      <c r="I122" s="1996">
        <v>0</v>
      </c>
      <c r="J122" s="1996">
        <v>0</v>
      </c>
      <c r="K122" s="1996">
        <v>300</v>
      </c>
      <c r="L122" s="1996">
        <v>0</v>
      </c>
      <c r="M122" s="1996">
        <v>0</v>
      </c>
      <c r="N122" s="1996">
        <v>0</v>
      </c>
      <c r="O122" s="1996">
        <v>0</v>
      </c>
      <c r="P122" s="1996">
        <v>0</v>
      </c>
      <c r="Q122" s="1996">
        <v>0</v>
      </c>
      <c r="R122" s="1997">
        <v>1460</v>
      </c>
      <c r="S122" s="666" t="s">
        <v>359</v>
      </c>
      <c r="T122" s="1998">
        <v>47569.63</v>
      </c>
      <c r="U122" s="1998">
        <v>0</v>
      </c>
      <c r="V122" s="1998">
        <v>0</v>
      </c>
      <c r="W122" s="1998">
        <v>0</v>
      </c>
      <c r="X122" s="1998">
        <v>0</v>
      </c>
      <c r="Y122" s="1998">
        <v>0</v>
      </c>
      <c r="Z122" s="1998">
        <v>7790.38</v>
      </c>
      <c r="AA122" s="1998">
        <v>0</v>
      </c>
      <c r="AB122" s="1998">
        <v>0</v>
      </c>
      <c r="AC122" s="1998">
        <v>0</v>
      </c>
      <c r="AD122" s="1998">
        <v>0</v>
      </c>
      <c r="AE122" s="1998">
        <v>0</v>
      </c>
      <c r="AF122" s="1998">
        <v>0</v>
      </c>
      <c r="AG122" s="1999">
        <v>39779.25</v>
      </c>
    </row>
    <row r="123" spans="1:33" x14ac:dyDescent="0.2">
      <c r="A123" s="666" t="s">
        <v>2182</v>
      </c>
      <c r="B123" s="666" t="s">
        <v>35</v>
      </c>
      <c r="C123" s="666"/>
      <c r="D123" s="666"/>
      <c r="E123" s="1996">
        <v>2020</v>
      </c>
      <c r="F123" s="1996">
        <v>0</v>
      </c>
      <c r="G123" s="1996">
        <v>0</v>
      </c>
      <c r="H123" s="1996">
        <v>0</v>
      </c>
      <c r="I123" s="1996">
        <v>0</v>
      </c>
      <c r="J123" s="1996">
        <v>0</v>
      </c>
      <c r="K123" s="1996">
        <v>1020</v>
      </c>
      <c r="L123" s="1996">
        <v>0</v>
      </c>
      <c r="M123" s="1996">
        <v>0</v>
      </c>
      <c r="N123" s="1996">
        <v>0</v>
      </c>
      <c r="O123" s="1996">
        <v>0</v>
      </c>
      <c r="P123" s="1996">
        <v>0</v>
      </c>
      <c r="Q123" s="1996">
        <v>0</v>
      </c>
      <c r="R123" s="1997">
        <v>1000</v>
      </c>
      <c r="S123" s="666" t="s">
        <v>654</v>
      </c>
      <c r="T123" s="1998">
        <v>58314.700000000004</v>
      </c>
      <c r="U123" s="1998">
        <v>0</v>
      </c>
      <c r="V123" s="1998">
        <v>0</v>
      </c>
      <c r="W123" s="1998">
        <v>0</v>
      </c>
      <c r="X123" s="1998">
        <v>0</v>
      </c>
      <c r="Y123" s="1998">
        <v>0</v>
      </c>
      <c r="Z123" s="1998">
        <v>23424</v>
      </c>
      <c r="AA123" s="1998">
        <v>0</v>
      </c>
      <c r="AB123" s="1998">
        <v>0</v>
      </c>
      <c r="AC123" s="1998">
        <v>0</v>
      </c>
      <c r="AD123" s="1998">
        <v>0</v>
      </c>
      <c r="AE123" s="1998">
        <v>0</v>
      </c>
      <c r="AF123" s="1998">
        <v>0</v>
      </c>
      <c r="AG123" s="1999">
        <v>34890.699999999997</v>
      </c>
    </row>
    <row r="124" spans="1:33" x14ac:dyDescent="0.2">
      <c r="A124" s="666" t="s">
        <v>2183</v>
      </c>
      <c r="B124" s="666" t="s">
        <v>35</v>
      </c>
      <c r="C124" s="666"/>
      <c r="D124" s="666"/>
      <c r="E124" s="1996">
        <v>66</v>
      </c>
      <c r="F124" s="1996">
        <v>0</v>
      </c>
      <c r="G124" s="1996">
        <v>0</v>
      </c>
      <c r="H124" s="1996">
        <v>0</v>
      </c>
      <c r="I124" s="1996">
        <v>0</v>
      </c>
      <c r="J124" s="1996">
        <v>0</v>
      </c>
      <c r="K124" s="1996">
        <v>12</v>
      </c>
      <c r="L124" s="1996">
        <v>0</v>
      </c>
      <c r="M124" s="1996">
        <v>0</v>
      </c>
      <c r="N124" s="1996">
        <v>0</v>
      </c>
      <c r="O124" s="1996">
        <v>0</v>
      </c>
      <c r="P124" s="1996">
        <v>0</v>
      </c>
      <c r="Q124" s="1996">
        <v>0</v>
      </c>
      <c r="R124" s="1997">
        <v>54</v>
      </c>
      <c r="S124" s="666" t="s">
        <v>674</v>
      </c>
      <c r="T124" s="1998">
        <v>1753.7</v>
      </c>
      <c r="U124" s="1998">
        <v>0</v>
      </c>
      <c r="V124" s="1998">
        <v>0</v>
      </c>
      <c r="W124" s="1998">
        <v>0</v>
      </c>
      <c r="X124" s="1998">
        <v>0</v>
      </c>
      <c r="Y124" s="1998">
        <v>0</v>
      </c>
      <c r="Z124" s="1998">
        <v>285.60000000000002</v>
      </c>
      <c r="AA124" s="1998">
        <v>0</v>
      </c>
      <c r="AB124" s="1998">
        <v>0</v>
      </c>
      <c r="AC124" s="1998">
        <v>0</v>
      </c>
      <c r="AD124" s="1998">
        <v>0</v>
      </c>
      <c r="AE124" s="1998">
        <v>0</v>
      </c>
      <c r="AF124" s="1998">
        <v>0</v>
      </c>
      <c r="AG124" s="1999">
        <v>1468.1000000000001</v>
      </c>
    </row>
    <row r="125" spans="1:33" x14ac:dyDescent="0.2">
      <c r="A125" s="666" t="s">
        <v>2184</v>
      </c>
      <c r="B125" s="666" t="s">
        <v>35</v>
      </c>
      <c r="C125" s="666"/>
      <c r="D125" s="666"/>
      <c r="E125" s="1996">
        <v>6</v>
      </c>
      <c r="F125" s="1996">
        <v>25</v>
      </c>
      <c r="G125" s="1996">
        <v>0</v>
      </c>
      <c r="H125" s="1996">
        <v>0</v>
      </c>
      <c r="I125" s="1996">
        <v>0</v>
      </c>
      <c r="J125" s="1996">
        <v>0</v>
      </c>
      <c r="K125" s="1996">
        <v>6</v>
      </c>
      <c r="L125" s="1996">
        <v>0</v>
      </c>
      <c r="M125" s="1996">
        <v>0</v>
      </c>
      <c r="N125" s="1996">
        <v>0</v>
      </c>
      <c r="O125" s="1996">
        <v>0</v>
      </c>
      <c r="P125" s="1996">
        <v>0</v>
      </c>
      <c r="Q125" s="1996">
        <v>0</v>
      </c>
      <c r="R125" s="1997">
        <v>25</v>
      </c>
      <c r="S125" s="666" t="s">
        <v>1198</v>
      </c>
      <c r="T125" s="1998">
        <v>171.66</v>
      </c>
      <c r="U125" s="1998">
        <v>500</v>
      </c>
      <c r="V125" s="1998">
        <v>0</v>
      </c>
      <c r="W125" s="1998">
        <v>0</v>
      </c>
      <c r="X125" s="1998">
        <v>0</v>
      </c>
      <c r="Y125" s="1998">
        <v>0</v>
      </c>
      <c r="Z125" s="1998">
        <v>91.8</v>
      </c>
      <c r="AA125" s="1998">
        <v>0</v>
      </c>
      <c r="AB125" s="1998">
        <v>0</v>
      </c>
      <c r="AC125" s="1998">
        <v>0</v>
      </c>
      <c r="AD125" s="1998">
        <v>0</v>
      </c>
      <c r="AE125" s="1998">
        <v>0</v>
      </c>
      <c r="AF125" s="1998">
        <v>0</v>
      </c>
      <c r="AG125" s="1999">
        <v>579.86</v>
      </c>
    </row>
    <row r="126" spans="1:33" x14ac:dyDescent="0.2">
      <c r="A126" s="666" t="s">
        <v>2185</v>
      </c>
      <c r="B126" s="666" t="s">
        <v>35</v>
      </c>
      <c r="C126" s="666"/>
      <c r="D126" s="666"/>
      <c r="E126" s="1996">
        <v>0</v>
      </c>
      <c r="F126" s="1996">
        <v>0</v>
      </c>
      <c r="G126" s="1996">
        <v>0</v>
      </c>
      <c r="H126" s="1996">
        <v>0</v>
      </c>
      <c r="I126" s="1996">
        <v>0</v>
      </c>
      <c r="J126" s="1996">
        <v>0</v>
      </c>
      <c r="K126" s="1996">
        <v>0</v>
      </c>
      <c r="L126" s="1996">
        <v>0</v>
      </c>
      <c r="M126" s="1996">
        <v>0</v>
      </c>
      <c r="N126" s="1996">
        <v>0</v>
      </c>
      <c r="O126" s="1996">
        <v>0</v>
      </c>
      <c r="P126" s="1996">
        <v>0</v>
      </c>
      <c r="Q126" s="1996">
        <v>0</v>
      </c>
      <c r="R126" s="1997">
        <v>0</v>
      </c>
      <c r="S126" s="666" t="s">
        <v>1727</v>
      </c>
      <c r="T126" s="1998">
        <v>12.96</v>
      </c>
      <c r="U126" s="1998">
        <v>0</v>
      </c>
      <c r="V126" s="1998">
        <v>0</v>
      </c>
      <c r="W126" s="1998">
        <v>0</v>
      </c>
      <c r="X126" s="1998">
        <v>0</v>
      </c>
      <c r="Y126" s="1998">
        <v>0</v>
      </c>
      <c r="Z126" s="1998">
        <v>0</v>
      </c>
      <c r="AA126" s="1998">
        <v>0</v>
      </c>
      <c r="AB126" s="1998">
        <v>0</v>
      </c>
      <c r="AC126" s="1998">
        <v>0</v>
      </c>
      <c r="AD126" s="1998">
        <v>0</v>
      </c>
      <c r="AE126" s="1998">
        <v>0</v>
      </c>
      <c r="AF126" s="1998">
        <v>0</v>
      </c>
      <c r="AG126" s="1999">
        <v>12.96</v>
      </c>
    </row>
    <row r="127" spans="1:33" x14ac:dyDescent="0.2">
      <c r="A127" s="666" t="s">
        <v>2186</v>
      </c>
      <c r="B127" s="666" t="s">
        <v>35</v>
      </c>
      <c r="C127" s="666"/>
      <c r="D127" s="666"/>
      <c r="E127" s="1996">
        <v>85</v>
      </c>
      <c r="F127" s="1996">
        <v>0</v>
      </c>
      <c r="G127" s="1996">
        <v>0</v>
      </c>
      <c r="H127" s="1996">
        <v>0</v>
      </c>
      <c r="I127" s="1996">
        <v>0</v>
      </c>
      <c r="J127" s="1996">
        <v>0</v>
      </c>
      <c r="K127" s="1996">
        <v>4</v>
      </c>
      <c r="L127" s="1996">
        <v>0</v>
      </c>
      <c r="M127" s="1996">
        <v>0</v>
      </c>
      <c r="N127" s="1996">
        <v>0</v>
      </c>
      <c r="O127" s="1996">
        <v>0</v>
      </c>
      <c r="P127" s="1996">
        <v>0</v>
      </c>
      <c r="Q127" s="1996">
        <v>0</v>
      </c>
      <c r="R127" s="1997">
        <v>81</v>
      </c>
      <c r="S127" s="666" t="s">
        <v>1639</v>
      </c>
      <c r="T127" s="1998">
        <v>2174.92</v>
      </c>
      <c r="U127" s="1998">
        <v>0</v>
      </c>
      <c r="V127" s="1998">
        <v>0</v>
      </c>
      <c r="W127" s="1998">
        <v>0</v>
      </c>
      <c r="X127" s="1998">
        <v>0</v>
      </c>
      <c r="Y127" s="1998">
        <v>0</v>
      </c>
      <c r="Z127" s="1998">
        <v>112.16</v>
      </c>
      <c r="AA127" s="1998">
        <v>0</v>
      </c>
      <c r="AB127" s="1998">
        <v>0</v>
      </c>
      <c r="AC127" s="1998">
        <v>0</v>
      </c>
      <c r="AD127" s="1998">
        <v>0</v>
      </c>
      <c r="AE127" s="1998">
        <v>0</v>
      </c>
      <c r="AF127" s="1998">
        <v>0</v>
      </c>
      <c r="AG127" s="1999">
        <v>2062.7600000000002</v>
      </c>
    </row>
    <row r="128" spans="1:33" x14ac:dyDescent="0.2">
      <c r="A128" s="666" t="s">
        <v>2187</v>
      </c>
      <c r="B128" s="666" t="s">
        <v>35</v>
      </c>
      <c r="C128" s="666"/>
      <c r="D128" s="666"/>
      <c r="E128" s="1996">
        <v>34</v>
      </c>
      <c r="F128" s="1996">
        <v>0</v>
      </c>
      <c r="G128" s="1996">
        <v>0</v>
      </c>
      <c r="H128" s="1996">
        <v>0</v>
      </c>
      <c r="I128" s="1996">
        <v>0</v>
      </c>
      <c r="J128" s="1996">
        <v>0</v>
      </c>
      <c r="K128" s="1996">
        <v>3</v>
      </c>
      <c r="L128" s="1996">
        <v>0</v>
      </c>
      <c r="M128" s="1996">
        <v>0</v>
      </c>
      <c r="N128" s="1996">
        <v>0</v>
      </c>
      <c r="O128" s="1996">
        <v>0</v>
      </c>
      <c r="P128" s="1996">
        <v>0</v>
      </c>
      <c r="Q128" s="1996">
        <v>0</v>
      </c>
      <c r="R128" s="1997">
        <v>31</v>
      </c>
      <c r="S128" s="666" t="s">
        <v>838</v>
      </c>
      <c r="T128" s="1998">
        <v>947.84</v>
      </c>
      <c r="U128" s="1998">
        <v>0</v>
      </c>
      <c r="V128" s="1998">
        <v>0</v>
      </c>
      <c r="W128" s="1998">
        <v>0</v>
      </c>
      <c r="X128" s="1998">
        <v>0</v>
      </c>
      <c r="Y128" s="1998">
        <v>0</v>
      </c>
      <c r="Z128" s="1998">
        <v>116.52</v>
      </c>
      <c r="AA128" s="1998">
        <v>0</v>
      </c>
      <c r="AB128" s="1998">
        <v>0</v>
      </c>
      <c r="AC128" s="1998">
        <v>0</v>
      </c>
      <c r="AD128" s="1998">
        <v>0</v>
      </c>
      <c r="AE128" s="1998">
        <v>0</v>
      </c>
      <c r="AF128" s="1998">
        <v>0</v>
      </c>
      <c r="AG128" s="1999">
        <v>831.32</v>
      </c>
    </row>
    <row r="129" spans="1:34" x14ac:dyDescent="0.2">
      <c r="A129" s="666" t="s">
        <v>2188</v>
      </c>
      <c r="B129" s="666" t="s">
        <v>35</v>
      </c>
      <c r="C129" s="666"/>
      <c r="D129" s="666"/>
      <c r="E129" s="1996">
        <v>160</v>
      </c>
      <c r="F129" s="1996">
        <v>0</v>
      </c>
      <c r="G129" s="1996">
        <v>0</v>
      </c>
      <c r="H129" s="1996">
        <v>0</v>
      </c>
      <c r="I129" s="1996">
        <v>0</v>
      </c>
      <c r="J129" s="1996">
        <v>0</v>
      </c>
      <c r="K129" s="1996">
        <v>0</v>
      </c>
      <c r="L129" s="1996">
        <v>0</v>
      </c>
      <c r="M129" s="1996">
        <v>0</v>
      </c>
      <c r="N129" s="1996">
        <v>0</v>
      </c>
      <c r="O129" s="1996">
        <v>0</v>
      </c>
      <c r="P129" s="1996">
        <v>0</v>
      </c>
      <c r="Q129" s="1996">
        <v>0</v>
      </c>
      <c r="R129" s="1997">
        <v>160</v>
      </c>
      <c r="S129" s="666" t="s">
        <v>1229</v>
      </c>
      <c r="T129" s="1998">
        <v>5011.54</v>
      </c>
      <c r="U129" s="1998">
        <v>0</v>
      </c>
      <c r="V129" s="1998">
        <v>0</v>
      </c>
      <c r="W129" s="1998">
        <v>0</v>
      </c>
      <c r="X129" s="1998">
        <v>0</v>
      </c>
      <c r="Y129" s="1998">
        <v>0</v>
      </c>
      <c r="Z129" s="1998">
        <v>535.72</v>
      </c>
      <c r="AA129" s="1998">
        <v>0</v>
      </c>
      <c r="AB129" s="1998">
        <v>0</v>
      </c>
      <c r="AC129" s="1998">
        <v>0</v>
      </c>
      <c r="AD129" s="1998">
        <v>0</v>
      </c>
      <c r="AE129" s="1998">
        <v>0</v>
      </c>
      <c r="AF129" s="1998">
        <v>0</v>
      </c>
      <c r="AG129" s="1999">
        <v>4475.82</v>
      </c>
    </row>
    <row r="130" spans="1:34" x14ac:dyDescent="0.2">
      <c r="A130" s="666" t="s">
        <v>2189</v>
      </c>
      <c r="B130" s="666" t="s">
        <v>35</v>
      </c>
      <c r="C130" s="666"/>
      <c r="D130" s="666"/>
      <c r="E130" s="1996">
        <v>100</v>
      </c>
      <c r="F130" s="1996">
        <v>18</v>
      </c>
      <c r="G130" s="1996">
        <v>0</v>
      </c>
      <c r="H130" s="1996">
        <v>0</v>
      </c>
      <c r="I130" s="1996">
        <v>0</v>
      </c>
      <c r="J130" s="1996">
        <v>0</v>
      </c>
      <c r="K130" s="1996">
        <v>10</v>
      </c>
      <c r="L130" s="1996">
        <v>0</v>
      </c>
      <c r="M130" s="1996">
        <v>0</v>
      </c>
      <c r="N130" s="1996">
        <v>0</v>
      </c>
      <c r="O130" s="1996">
        <v>0</v>
      </c>
      <c r="P130" s="1996">
        <v>0</v>
      </c>
      <c r="Q130" s="1996">
        <v>0</v>
      </c>
      <c r="R130" s="1997">
        <v>108</v>
      </c>
      <c r="S130" s="666" t="s">
        <v>671</v>
      </c>
      <c r="T130" s="1998">
        <v>139644.99</v>
      </c>
      <c r="U130" s="1998">
        <v>18000</v>
      </c>
      <c r="V130" s="1998">
        <v>0</v>
      </c>
      <c r="W130" s="1998">
        <v>0</v>
      </c>
      <c r="X130" s="1998">
        <v>0</v>
      </c>
      <c r="Y130" s="1998">
        <v>0</v>
      </c>
      <c r="Z130" s="1998">
        <v>5441.2</v>
      </c>
      <c r="AA130" s="1998">
        <v>0</v>
      </c>
      <c r="AB130" s="1998">
        <v>0</v>
      </c>
      <c r="AC130" s="1998">
        <v>0</v>
      </c>
      <c r="AD130" s="1998">
        <v>0</v>
      </c>
      <c r="AE130" s="1998">
        <v>0</v>
      </c>
      <c r="AF130" s="1998">
        <v>0</v>
      </c>
      <c r="AG130" s="1999">
        <v>152203.79</v>
      </c>
    </row>
    <row r="131" spans="1:34" x14ac:dyDescent="0.2">
      <c r="A131" s="666" t="s">
        <v>2190</v>
      </c>
      <c r="B131" s="666" t="s">
        <v>35</v>
      </c>
      <c r="C131" s="666"/>
      <c r="D131" s="666"/>
      <c r="E131" s="1996">
        <v>0</v>
      </c>
      <c r="F131" s="1996">
        <v>0</v>
      </c>
      <c r="G131" s="1996">
        <v>0</v>
      </c>
      <c r="H131" s="1996">
        <v>0</v>
      </c>
      <c r="I131" s="1996">
        <v>0</v>
      </c>
      <c r="J131" s="1996">
        <v>0</v>
      </c>
      <c r="K131" s="1996">
        <v>0</v>
      </c>
      <c r="L131" s="1996">
        <v>0</v>
      </c>
      <c r="M131" s="1996">
        <v>0</v>
      </c>
      <c r="N131" s="1996">
        <v>0</v>
      </c>
      <c r="O131" s="1996">
        <v>0</v>
      </c>
      <c r="P131" s="1996">
        <v>0</v>
      </c>
      <c r="Q131" s="1996">
        <v>0</v>
      </c>
      <c r="R131" s="1997">
        <v>0</v>
      </c>
      <c r="S131" s="666" t="s">
        <v>63</v>
      </c>
      <c r="T131" s="1998">
        <v>134.14000000000001</v>
      </c>
      <c r="U131" s="1998">
        <v>0</v>
      </c>
      <c r="V131" s="1998">
        <v>0</v>
      </c>
      <c r="W131" s="1998">
        <v>0</v>
      </c>
      <c r="X131" s="1998">
        <v>0</v>
      </c>
      <c r="Y131" s="1998">
        <v>34.64</v>
      </c>
      <c r="Z131" s="1998">
        <v>168.78</v>
      </c>
      <c r="AA131" s="1998">
        <v>0</v>
      </c>
      <c r="AB131" s="1998">
        <v>0</v>
      </c>
      <c r="AC131" s="1998">
        <v>0</v>
      </c>
      <c r="AD131" s="1998">
        <v>0</v>
      </c>
      <c r="AE131" s="1998">
        <v>0</v>
      </c>
      <c r="AF131" s="1998">
        <v>0</v>
      </c>
      <c r="AG131" s="1999">
        <v>0</v>
      </c>
    </row>
    <row r="132" spans="1:34" x14ac:dyDescent="0.2">
      <c r="A132" s="666" t="s">
        <v>2191</v>
      </c>
      <c r="B132" s="666" t="s">
        <v>35</v>
      </c>
      <c r="C132" s="666"/>
      <c r="D132" s="666"/>
      <c r="E132" s="1996">
        <v>840</v>
      </c>
      <c r="F132" s="1996">
        <v>0</v>
      </c>
      <c r="G132" s="1996">
        <v>0</v>
      </c>
      <c r="H132" s="1996">
        <v>0</v>
      </c>
      <c r="I132" s="1996">
        <v>0</v>
      </c>
      <c r="J132" s="1996">
        <v>0</v>
      </c>
      <c r="K132" s="1996">
        <v>100</v>
      </c>
      <c r="L132" s="1996">
        <v>0</v>
      </c>
      <c r="M132" s="1996">
        <v>0</v>
      </c>
      <c r="N132" s="1996">
        <v>0</v>
      </c>
      <c r="O132" s="1996">
        <v>0</v>
      </c>
      <c r="P132" s="1996">
        <v>0</v>
      </c>
      <c r="Q132" s="1996">
        <v>0</v>
      </c>
      <c r="R132" s="1997">
        <v>740</v>
      </c>
      <c r="S132" s="666" t="s">
        <v>1740</v>
      </c>
      <c r="T132" s="1998">
        <v>23281.83</v>
      </c>
      <c r="U132" s="1998">
        <v>0</v>
      </c>
      <c r="V132" s="1998">
        <v>0</v>
      </c>
      <c r="W132" s="1998">
        <v>0</v>
      </c>
      <c r="X132" s="1998">
        <v>0</v>
      </c>
      <c r="Y132" s="1998">
        <v>0</v>
      </c>
      <c r="Z132" s="1998">
        <v>3986.81</v>
      </c>
      <c r="AA132" s="1998">
        <v>0</v>
      </c>
      <c r="AB132" s="1998">
        <v>0</v>
      </c>
      <c r="AC132" s="1998">
        <v>0</v>
      </c>
      <c r="AD132" s="1998">
        <v>0</v>
      </c>
      <c r="AE132" s="1998">
        <v>0</v>
      </c>
      <c r="AF132" s="1998">
        <v>0</v>
      </c>
      <c r="AG132" s="1999">
        <v>19295.02</v>
      </c>
    </row>
    <row r="133" spans="1:34" x14ac:dyDescent="0.2">
      <c r="A133" s="666" t="s">
        <v>2192</v>
      </c>
      <c r="B133" s="666" t="s">
        <v>35</v>
      </c>
      <c r="C133" s="666"/>
      <c r="D133" s="666"/>
      <c r="E133" s="1996">
        <v>16</v>
      </c>
      <c r="F133" s="1996">
        <v>0</v>
      </c>
      <c r="G133" s="1996">
        <v>20</v>
      </c>
      <c r="H133" s="1996">
        <v>0</v>
      </c>
      <c r="I133" s="1996">
        <v>0</v>
      </c>
      <c r="J133" s="1996">
        <v>0</v>
      </c>
      <c r="K133" s="1996">
        <v>6</v>
      </c>
      <c r="L133" s="1996">
        <v>0</v>
      </c>
      <c r="M133" s="1996">
        <v>0</v>
      </c>
      <c r="N133" s="1996">
        <v>0</v>
      </c>
      <c r="O133" s="1996">
        <v>0</v>
      </c>
      <c r="P133" s="1996">
        <v>0</v>
      </c>
      <c r="Q133" s="1996">
        <v>0</v>
      </c>
      <c r="R133" s="1997">
        <v>30</v>
      </c>
      <c r="S133" s="666" t="s">
        <v>660</v>
      </c>
      <c r="T133" s="1998">
        <v>476.96000000000004</v>
      </c>
      <c r="U133" s="1998">
        <v>0</v>
      </c>
      <c r="V133" s="1998">
        <v>500</v>
      </c>
      <c r="W133" s="1998">
        <v>0</v>
      </c>
      <c r="X133" s="1998">
        <v>0</v>
      </c>
      <c r="Y133" s="1998">
        <v>0</v>
      </c>
      <c r="Z133" s="1998">
        <v>148.39000000000001</v>
      </c>
      <c r="AA133" s="1998">
        <v>0</v>
      </c>
      <c r="AB133" s="1998">
        <v>0</v>
      </c>
      <c r="AC133" s="1998">
        <v>0</v>
      </c>
      <c r="AD133" s="1998">
        <v>0</v>
      </c>
      <c r="AE133" s="1998">
        <v>0</v>
      </c>
      <c r="AF133" s="1998">
        <v>0</v>
      </c>
      <c r="AG133" s="1999">
        <v>828.57</v>
      </c>
    </row>
    <row r="134" spans="1:34" x14ac:dyDescent="0.2">
      <c r="A134" s="666" t="s">
        <v>2193</v>
      </c>
      <c r="B134" s="666" t="s">
        <v>35</v>
      </c>
      <c r="C134" s="666"/>
      <c r="D134" s="666"/>
      <c r="E134" s="1996">
        <v>23</v>
      </c>
      <c r="F134" s="1996">
        <v>0</v>
      </c>
      <c r="G134" s="1996">
        <v>0</v>
      </c>
      <c r="H134" s="1996">
        <v>0</v>
      </c>
      <c r="I134" s="1996">
        <v>0</v>
      </c>
      <c r="J134" s="1996">
        <v>0</v>
      </c>
      <c r="K134" s="1996">
        <v>3</v>
      </c>
      <c r="L134" s="1996">
        <v>0</v>
      </c>
      <c r="M134" s="1996">
        <v>0</v>
      </c>
      <c r="N134" s="1996">
        <v>0</v>
      </c>
      <c r="O134" s="1996">
        <v>0</v>
      </c>
      <c r="P134" s="1996">
        <v>0</v>
      </c>
      <c r="Q134" s="1996">
        <v>0</v>
      </c>
      <c r="R134" s="1997">
        <v>20</v>
      </c>
      <c r="S134" s="666" t="s">
        <v>545</v>
      </c>
      <c r="T134" s="1998">
        <v>665.71</v>
      </c>
      <c r="U134" s="1998">
        <v>0</v>
      </c>
      <c r="V134" s="1998">
        <v>0</v>
      </c>
      <c r="W134" s="1998">
        <v>0</v>
      </c>
      <c r="X134" s="1998">
        <v>0</v>
      </c>
      <c r="Y134" s="1998">
        <v>0</v>
      </c>
      <c r="Z134" s="1998">
        <v>43.76</v>
      </c>
      <c r="AA134" s="1998">
        <v>0</v>
      </c>
      <c r="AB134" s="1998">
        <v>0</v>
      </c>
      <c r="AC134" s="1998">
        <v>0</v>
      </c>
      <c r="AD134" s="1998">
        <v>0</v>
      </c>
      <c r="AE134" s="1998">
        <v>0</v>
      </c>
      <c r="AF134" s="1998">
        <v>0</v>
      </c>
      <c r="AG134" s="1999">
        <v>621.95000000000005</v>
      </c>
    </row>
    <row r="135" spans="1:34" x14ac:dyDescent="0.2">
      <c r="A135" s="666" t="s">
        <v>2194</v>
      </c>
      <c r="B135" s="666" t="s">
        <v>35</v>
      </c>
      <c r="C135" s="666"/>
      <c r="D135" s="666"/>
      <c r="E135" s="1996">
        <v>40</v>
      </c>
      <c r="F135" s="1996">
        <v>0</v>
      </c>
      <c r="G135" s="1996">
        <v>40</v>
      </c>
      <c r="H135" s="1996">
        <v>0</v>
      </c>
      <c r="I135" s="1996">
        <v>0</v>
      </c>
      <c r="J135" s="1996">
        <v>0</v>
      </c>
      <c r="K135" s="1996">
        <v>10</v>
      </c>
      <c r="L135" s="1996">
        <v>0</v>
      </c>
      <c r="M135" s="1996">
        <v>0</v>
      </c>
      <c r="N135" s="1996">
        <v>0</v>
      </c>
      <c r="O135" s="1996">
        <v>0</v>
      </c>
      <c r="P135" s="1996">
        <v>0</v>
      </c>
      <c r="Q135" s="1996">
        <v>0</v>
      </c>
      <c r="R135" s="1997">
        <v>70</v>
      </c>
      <c r="S135" s="666" t="s">
        <v>670</v>
      </c>
      <c r="T135" s="1998">
        <v>1208.5899999999999</v>
      </c>
      <c r="U135" s="1998">
        <v>0</v>
      </c>
      <c r="V135" s="1998">
        <v>1000</v>
      </c>
      <c r="W135" s="1998">
        <v>0</v>
      </c>
      <c r="X135" s="1998">
        <v>0</v>
      </c>
      <c r="Y135" s="1998">
        <v>0</v>
      </c>
      <c r="Z135" s="1998">
        <v>293.05</v>
      </c>
      <c r="AA135" s="1998">
        <v>0</v>
      </c>
      <c r="AB135" s="1998">
        <v>0</v>
      </c>
      <c r="AC135" s="1998">
        <v>0</v>
      </c>
      <c r="AD135" s="1998">
        <v>0</v>
      </c>
      <c r="AE135" s="1998">
        <v>0</v>
      </c>
      <c r="AF135" s="1998">
        <v>0</v>
      </c>
      <c r="AG135" s="1999">
        <v>1915.54</v>
      </c>
    </row>
    <row r="136" spans="1:34" x14ac:dyDescent="0.2">
      <c r="A136" s="666" t="s">
        <v>2195</v>
      </c>
      <c r="B136" s="666" t="s">
        <v>35</v>
      </c>
      <c r="C136" s="666"/>
      <c r="D136" s="666"/>
      <c r="E136" s="1996">
        <v>19</v>
      </c>
      <c r="F136" s="1996">
        <v>0</v>
      </c>
      <c r="G136" s="1996">
        <v>0</v>
      </c>
      <c r="H136" s="1996">
        <v>0</v>
      </c>
      <c r="I136" s="1996">
        <v>0</v>
      </c>
      <c r="J136" s="1996">
        <v>0</v>
      </c>
      <c r="K136" s="1996">
        <v>1</v>
      </c>
      <c r="L136" s="1996">
        <v>0</v>
      </c>
      <c r="M136" s="1996">
        <v>0</v>
      </c>
      <c r="N136" s="1996">
        <v>0</v>
      </c>
      <c r="O136" s="1996">
        <v>0</v>
      </c>
      <c r="P136" s="1996">
        <v>0</v>
      </c>
      <c r="Q136" s="1996">
        <v>0</v>
      </c>
      <c r="R136" s="1997">
        <v>18</v>
      </c>
      <c r="S136" s="666" t="s">
        <v>1818</v>
      </c>
      <c r="T136" s="1998">
        <v>25269</v>
      </c>
      <c r="U136" s="1998">
        <v>0</v>
      </c>
      <c r="V136" s="1998">
        <v>0</v>
      </c>
      <c r="W136" s="1998">
        <v>0</v>
      </c>
      <c r="X136" s="1998">
        <v>0</v>
      </c>
      <c r="Y136" s="1998">
        <v>0</v>
      </c>
      <c r="Z136" s="1998">
        <v>1493.3</v>
      </c>
      <c r="AA136" s="1998">
        <v>0</v>
      </c>
      <c r="AB136" s="1998">
        <v>0</v>
      </c>
      <c r="AC136" s="1998">
        <v>0</v>
      </c>
      <c r="AD136" s="1998">
        <v>0</v>
      </c>
      <c r="AE136" s="1998">
        <v>0</v>
      </c>
      <c r="AF136" s="1998">
        <v>0</v>
      </c>
      <c r="AG136" s="1999">
        <v>23775.7</v>
      </c>
    </row>
    <row r="137" spans="1:34" x14ac:dyDescent="0.2">
      <c r="A137" s="666" t="s">
        <v>2196</v>
      </c>
      <c r="B137" s="666" t="s">
        <v>35</v>
      </c>
      <c r="C137" s="666"/>
      <c r="D137" s="666"/>
      <c r="E137" s="1996">
        <v>72</v>
      </c>
      <c r="F137" s="1996">
        <v>0</v>
      </c>
      <c r="G137" s="1996">
        <v>0</v>
      </c>
      <c r="H137" s="1996">
        <v>0</v>
      </c>
      <c r="I137" s="1996">
        <v>0</v>
      </c>
      <c r="J137" s="1996">
        <v>0</v>
      </c>
      <c r="K137" s="1996">
        <v>10</v>
      </c>
      <c r="L137" s="1996">
        <v>0</v>
      </c>
      <c r="M137" s="1996">
        <v>0</v>
      </c>
      <c r="N137" s="1996">
        <v>0</v>
      </c>
      <c r="O137" s="1996">
        <v>0</v>
      </c>
      <c r="P137" s="1996">
        <v>0</v>
      </c>
      <c r="Q137" s="1996">
        <v>0</v>
      </c>
      <c r="R137" s="1997">
        <v>62</v>
      </c>
      <c r="S137" s="666" t="s">
        <v>1654</v>
      </c>
      <c r="T137" s="1998">
        <v>1922.32</v>
      </c>
      <c r="U137" s="1998">
        <v>0</v>
      </c>
      <c r="V137" s="1998">
        <v>0</v>
      </c>
      <c r="W137" s="1998">
        <v>0</v>
      </c>
      <c r="X137" s="1998">
        <v>0</v>
      </c>
      <c r="Y137" s="1998">
        <v>0</v>
      </c>
      <c r="Z137" s="1998">
        <v>238.95000000000002</v>
      </c>
      <c r="AA137" s="1998">
        <v>0</v>
      </c>
      <c r="AB137" s="1998">
        <v>0</v>
      </c>
      <c r="AC137" s="1998">
        <v>0</v>
      </c>
      <c r="AD137" s="1998">
        <v>0</v>
      </c>
      <c r="AE137" s="1998">
        <v>0</v>
      </c>
      <c r="AF137" s="1998">
        <v>0</v>
      </c>
      <c r="AG137" s="1999">
        <v>1683.3700000000001</v>
      </c>
      <c r="AH137" s="544"/>
    </row>
    <row r="138" spans="1:34" x14ac:dyDescent="0.2">
      <c r="A138" s="666" t="s">
        <v>2197</v>
      </c>
      <c r="B138" s="666" t="s">
        <v>35</v>
      </c>
      <c r="C138" s="666"/>
      <c r="D138" s="666"/>
      <c r="E138" s="1996">
        <v>145</v>
      </c>
      <c r="F138" s="1996">
        <v>0</v>
      </c>
      <c r="G138" s="1996">
        <v>0</v>
      </c>
      <c r="H138" s="1996">
        <v>0</v>
      </c>
      <c r="I138" s="1996">
        <v>0</v>
      </c>
      <c r="J138" s="1996">
        <v>0</v>
      </c>
      <c r="K138" s="1996">
        <v>21</v>
      </c>
      <c r="L138" s="1996">
        <v>0</v>
      </c>
      <c r="M138" s="1996">
        <v>0</v>
      </c>
      <c r="N138" s="1996">
        <v>0</v>
      </c>
      <c r="O138" s="1996">
        <v>0</v>
      </c>
      <c r="P138" s="1996">
        <v>0</v>
      </c>
      <c r="Q138" s="1996">
        <v>0</v>
      </c>
      <c r="R138" s="1997">
        <v>124</v>
      </c>
      <c r="S138" s="666" t="s">
        <v>1667</v>
      </c>
      <c r="T138" s="1998">
        <v>3790.77</v>
      </c>
      <c r="U138" s="1998">
        <v>0</v>
      </c>
      <c r="V138" s="1998">
        <v>0</v>
      </c>
      <c r="W138" s="1998">
        <v>0</v>
      </c>
      <c r="X138" s="1998">
        <v>0</v>
      </c>
      <c r="Y138" s="1998">
        <v>0</v>
      </c>
      <c r="Z138" s="1998">
        <v>479.23</v>
      </c>
      <c r="AA138" s="1998">
        <v>0</v>
      </c>
      <c r="AB138" s="1998">
        <v>0</v>
      </c>
      <c r="AC138" s="1998">
        <v>0</v>
      </c>
      <c r="AD138" s="1998">
        <v>0</v>
      </c>
      <c r="AE138" s="1998">
        <v>0</v>
      </c>
      <c r="AF138" s="1998">
        <v>0</v>
      </c>
      <c r="AG138" s="1999">
        <v>3311.54</v>
      </c>
    </row>
    <row r="139" spans="1:34" ht="12" customHeight="1" x14ac:dyDescent="0.2">
      <c r="A139" s="666" t="s">
        <v>2198</v>
      </c>
      <c r="B139" s="666" t="s">
        <v>35</v>
      </c>
      <c r="C139" s="666"/>
      <c r="D139" s="666"/>
      <c r="E139" s="1996">
        <v>60</v>
      </c>
      <c r="F139" s="1996">
        <v>0</v>
      </c>
      <c r="G139" s="1996">
        <v>0</v>
      </c>
      <c r="H139" s="1996">
        <v>0</v>
      </c>
      <c r="I139" s="1996">
        <v>0</v>
      </c>
      <c r="J139" s="1996">
        <v>0</v>
      </c>
      <c r="K139" s="1996">
        <v>8</v>
      </c>
      <c r="L139" s="1996">
        <v>0</v>
      </c>
      <c r="M139" s="1996">
        <v>0</v>
      </c>
      <c r="N139" s="1996">
        <v>0</v>
      </c>
      <c r="O139" s="1996">
        <v>0</v>
      </c>
      <c r="P139" s="1996">
        <v>0</v>
      </c>
      <c r="Q139" s="1996">
        <v>0</v>
      </c>
      <c r="R139" s="1997">
        <v>52</v>
      </c>
      <c r="S139" s="666" t="s">
        <v>1324</v>
      </c>
      <c r="T139" s="1998">
        <v>15832.470000000001</v>
      </c>
      <c r="U139" s="1998">
        <v>0</v>
      </c>
      <c r="V139" s="1998">
        <v>0</v>
      </c>
      <c r="W139" s="1998">
        <v>0</v>
      </c>
      <c r="X139" s="1998">
        <v>0</v>
      </c>
      <c r="Y139" s="1998">
        <v>0</v>
      </c>
      <c r="Z139" s="1998">
        <v>1210</v>
      </c>
      <c r="AA139" s="1998">
        <v>0</v>
      </c>
      <c r="AB139" s="1998">
        <v>0</v>
      </c>
      <c r="AC139" s="1998">
        <v>0</v>
      </c>
      <c r="AD139" s="1998">
        <v>0</v>
      </c>
      <c r="AE139" s="1998">
        <v>0</v>
      </c>
      <c r="AF139" s="1998">
        <v>0</v>
      </c>
      <c r="AG139" s="1999">
        <v>14622.470000000001</v>
      </c>
    </row>
    <row r="140" spans="1:34" ht="12" customHeight="1" x14ac:dyDescent="0.2">
      <c r="A140" s="666" t="s">
        <v>2199</v>
      </c>
      <c r="B140" s="666" t="s">
        <v>35</v>
      </c>
      <c r="C140" s="666"/>
      <c r="D140" s="666"/>
      <c r="E140" s="1996">
        <v>1700</v>
      </c>
      <c r="F140" s="1996">
        <v>0</v>
      </c>
      <c r="G140" s="1996">
        <v>0</v>
      </c>
      <c r="H140" s="1996">
        <v>0</v>
      </c>
      <c r="I140" s="1996">
        <v>0</v>
      </c>
      <c r="J140" s="1996">
        <v>0</v>
      </c>
      <c r="K140" s="1996">
        <v>200</v>
      </c>
      <c r="L140" s="1996">
        <v>0</v>
      </c>
      <c r="M140" s="1996">
        <v>0</v>
      </c>
      <c r="N140" s="1996">
        <v>0</v>
      </c>
      <c r="O140" s="1996">
        <v>0</v>
      </c>
      <c r="P140" s="1996">
        <v>0</v>
      </c>
      <c r="Q140" s="1996">
        <v>0</v>
      </c>
      <c r="R140" s="1997">
        <v>1500</v>
      </c>
      <c r="S140" s="666" t="s">
        <v>1641</v>
      </c>
      <c r="T140" s="1998">
        <v>43822.28</v>
      </c>
      <c r="U140" s="1998">
        <v>0</v>
      </c>
      <c r="V140" s="1998">
        <v>0</v>
      </c>
      <c r="W140" s="1998">
        <v>0</v>
      </c>
      <c r="X140" s="1998">
        <v>0</v>
      </c>
      <c r="Y140" s="1998">
        <v>0</v>
      </c>
      <c r="Z140" s="1998">
        <v>2034.79</v>
      </c>
      <c r="AA140" s="1998">
        <v>0</v>
      </c>
      <c r="AB140" s="1998">
        <v>0</v>
      </c>
      <c r="AC140" s="1998">
        <v>0</v>
      </c>
      <c r="AD140" s="1998">
        <v>0</v>
      </c>
      <c r="AE140" s="1998">
        <v>0</v>
      </c>
      <c r="AF140" s="1998">
        <v>0</v>
      </c>
      <c r="AG140" s="1999">
        <v>41787.49</v>
      </c>
    </row>
    <row r="141" spans="1:34" ht="12" customHeight="1" x14ac:dyDescent="0.2">
      <c r="A141" s="666" t="s">
        <v>2200</v>
      </c>
      <c r="B141" s="666" t="s">
        <v>35</v>
      </c>
      <c r="C141" s="666"/>
      <c r="D141" s="666"/>
      <c r="E141" s="1996">
        <v>800</v>
      </c>
      <c r="F141" s="1996">
        <v>0</v>
      </c>
      <c r="G141" s="1996">
        <v>0</v>
      </c>
      <c r="H141" s="1996">
        <v>0</v>
      </c>
      <c r="I141" s="1996">
        <v>0</v>
      </c>
      <c r="J141" s="1996">
        <v>0</v>
      </c>
      <c r="K141" s="1996">
        <v>0</v>
      </c>
      <c r="L141" s="1996">
        <v>0</v>
      </c>
      <c r="M141" s="1996">
        <v>0</v>
      </c>
      <c r="N141" s="1996">
        <v>0</v>
      </c>
      <c r="O141" s="1996">
        <v>0</v>
      </c>
      <c r="P141" s="1996">
        <v>0</v>
      </c>
      <c r="Q141" s="1996">
        <v>0</v>
      </c>
      <c r="R141" s="1997">
        <v>800</v>
      </c>
      <c r="S141" s="666" t="s">
        <v>1643</v>
      </c>
      <c r="T141" s="1998">
        <v>59613</v>
      </c>
      <c r="U141" s="1998">
        <v>0</v>
      </c>
      <c r="V141" s="1998">
        <v>0</v>
      </c>
      <c r="W141" s="1998">
        <v>0</v>
      </c>
      <c r="X141" s="1998">
        <v>0</v>
      </c>
      <c r="Y141" s="1998">
        <v>0</v>
      </c>
      <c r="Z141" s="1998">
        <v>13921</v>
      </c>
      <c r="AA141" s="1998">
        <v>0</v>
      </c>
      <c r="AB141" s="1998">
        <v>0</v>
      </c>
      <c r="AC141" s="1998">
        <v>0</v>
      </c>
      <c r="AD141" s="1998">
        <v>0</v>
      </c>
      <c r="AE141" s="1998">
        <v>0</v>
      </c>
      <c r="AF141" s="1998">
        <v>0</v>
      </c>
      <c r="AG141" s="1999">
        <v>45692</v>
      </c>
    </row>
    <row r="142" spans="1:34" ht="12" customHeight="1" x14ac:dyDescent="0.2">
      <c r="A142" s="666" t="s">
        <v>2201</v>
      </c>
      <c r="B142" s="666" t="s">
        <v>35</v>
      </c>
      <c r="C142" s="666"/>
      <c r="D142" s="666"/>
      <c r="E142" s="1996">
        <v>18</v>
      </c>
      <c r="F142" s="1996">
        <v>0</v>
      </c>
      <c r="G142" s="1996">
        <v>0</v>
      </c>
      <c r="H142" s="1996">
        <v>0</v>
      </c>
      <c r="I142" s="1996">
        <v>0</v>
      </c>
      <c r="J142" s="1996">
        <v>0</v>
      </c>
      <c r="K142" s="1996">
        <v>1</v>
      </c>
      <c r="L142" s="1996">
        <v>0</v>
      </c>
      <c r="M142" s="1996">
        <v>0</v>
      </c>
      <c r="N142" s="1996">
        <v>0</v>
      </c>
      <c r="O142" s="1996">
        <v>0</v>
      </c>
      <c r="P142" s="1996">
        <v>0</v>
      </c>
      <c r="Q142" s="1996">
        <v>0</v>
      </c>
      <c r="R142" s="1997">
        <v>17</v>
      </c>
      <c r="S142" s="666" t="s">
        <v>833</v>
      </c>
      <c r="T142" s="1998">
        <v>19526.68</v>
      </c>
      <c r="U142" s="1998">
        <v>0</v>
      </c>
      <c r="V142" s="1998">
        <v>0</v>
      </c>
      <c r="W142" s="1998">
        <v>0</v>
      </c>
      <c r="X142" s="1998">
        <v>0</v>
      </c>
      <c r="Y142" s="1998">
        <v>0</v>
      </c>
      <c r="Z142" s="1998">
        <v>286.2</v>
      </c>
      <c r="AA142" s="1998">
        <v>0</v>
      </c>
      <c r="AB142" s="1998">
        <v>0</v>
      </c>
      <c r="AC142" s="1998">
        <v>0</v>
      </c>
      <c r="AD142" s="1998">
        <v>0</v>
      </c>
      <c r="AE142" s="1998">
        <v>0</v>
      </c>
      <c r="AF142" s="1998">
        <v>0</v>
      </c>
      <c r="AG142" s="1999">
        <v>19240.48</v>
      </c>
    </row>
    <row r="143" spans="1:34" ht="12" customHeight="1" x14ac:dyDescent="0.2">
      <c r="A143" s="666" t="s">
        <v>2202</v>
      </c>
      <c r="B143" s="666" t="s">
        <v>35</v>
      </c>
      <c r="C143" s="666"/>
      <c r="D143" s="666"/>
      <c r="E143" s="1996">
        <v>500</v>
      </c>
      <c r="F143" s="1996">
        <v>0</v>
      </c>
      <c r="G143" s="1996">
        <v>0</v>
      </c>
      <c r="H143" s="1996">
        <v>0</v>
      </c>
      <c r="I143" s="1996">
        <v>0</v>
      </c>
      <c r="J143" s="1996">
        <v>0</v>
      </c>
      <c r="K143" s="1996">
        <v>100</v>
      </c>
      <c r="L143" s="1996">
        <v>0</v>
      </c>
      <c r="M143" s="1996">
        <v>0</v>
      </c>
      <c r="N143" s="1996">
        <v>0</v>
      </c>
      <c r="O143" s="1996">
        <v>0</v>
      </c>
      <c r="P143" s="1996">
        <v>0</v>
      </c>
      <c r="Q143" s="1996">
        <v>0</v>
      </c>
      <c r="R143" s="1997">
        <v>400</v>
      </c>
      <c r="S143" s="666" t="s">
        <v>664</v>
      </c>
      <c r="T143" s="1998">
        <v>15306.12</v>
      </c>
      <c r="U143" s="1998">
        <v>0</v>
      </c>
      <c r="V143" s="1998">
        <v>0</v>
      </c>
      <c r="W143" s="1998">
        <v>0</v>
      </c>
      <c r="X143" s="1998">
        <v>0</v>
      </c>
      <c r="Y143" s="1998">
        <v>0</v>
      </c>
      <c r="Z143" s="1998">
        <v>3156.9300000000003</v>
      </c>
      <c r="AA143" s="1998">
        <v>0</v>
      </c>
      <c r="AB143" s="1998">
        <v>0</v>
      </c>
      <c r="AC143" s="1998">
        <v>0</v>
      </c>
      <c r="AD143" s="1998">
        <v>0</v>
      </c>
      <c r="AE143" s="1998">
        <v>0</v>
      </c>
      <c r="AF143" s="1998">
        <v>0</v>
      </c>
      <c r="AG143" s="1999">
        <v>12149.19</v>
      </c>
    </row>
    <row r="144" spans="1:34" x14ac:dyDescent="0.2">
      <c r="A144" s="666" t="s">
        <v>2203</v>
      </c>
      <c r="B144" s="666" t="s">
        <v>35</v>
      </c>
      <c r="C144" s="666"/>
      <c r="D144" s="666"/>
      <c r="E144" s="1996">
        <v>132</v>
      </c>
      <c r="F144" s="1996">
        <v>0</v>
      </c>
      <c r="G144" s="1996">
        <v>0</v>
      </c>
      <c r="H144" s="1996">
        <v>0</v>
      </c>
      <c r="I144" s="1996">
        <v>0</v>
      </c>
      <c r="J144" s="1996">
        <v>0</v>
      </c>
      <c r="K144" s="1996">
        <v>10</v>
      </c>
      <c r="L144" s="1996">
        <v>0</v>
      </c>
      <c r="M144" s="1996">
        <v>0</v>
      </c>
      <c r="N144" s="1996">
        <v>0</v>
      </c>
      <c r="O144" s="1996">
        <v>0</v>
      </c>
      <c r="P144" s="1996">
        <v>0</v>
      </c>
      <c r="Q144" s="1996">
        <v>0</v>
      </c>
      <c r="R144" s="1997">
        <v>122</v>
      </c>
      <c r="S144" s="666" t="s">
        <v>1844</v>
      </c>
      <c r="T144" s="1998">
        <v>3457.82</v>
      </c>
      <c r="U144" s="1998">
        <v>0</v>
      </c>
      <c r="V144" s="1998">
        <v>0</v>
      </c>
      <c r="W144" s="1998">
        <v>0</v>
      </c>
      <c r="X144" s="1998">
        <v>0</v>
      </c>
      <c r="Y144" s="1998">
        <v>0</v>
      </c>
      <c r="Z144" s="1998">
        <v>338.15000000000003</v>
      </c>
      <c r="AA144" s="1998">
        <v>0</v>
      </c>
      <c r="AB144" s="1998">
        <v>0</v>
      </c>
      <c r="AC144" s="1998">
        <v>0</v>
      </c>
      <c r="AD144" s="1998">
        <v>0</v>
      </c>
      <c r="AE144" s="1998">
        <v>0</v>
      </c>
      <c r="AF144" s="1998">
        <v>0</v>
      </c>
      <c r="AG144" s="1999">
        <v>3119.67</v>
      </c>
    </row>
    <row r="145" spans="1:33" x14ac:dyDescent="0.2">
      <c r="A145" s="666" t="s">
        <v>2204</v>
      </c>
      <c r="B145" s="666" t="s">
        <v>35</v>
      </c>
      <c r="C145" s="666"/>
      <c r="D145" s="666"/>
      <c r="E145" s="1996">
        <v>27</v>
      </c>
      <c r="F145" s="1996">
        <v>0</v>
      </c>
      <c r="G145" s="1996">
        <v>0</v>
      </c>
      <c r="H145" s="1996">
        <v>0</v>
      </c>
      <c r="I145" s="1996">
        <v>0</v>
      </c>
      <c r="J145" s="1996">
        <v>0</v>
      </c>
      <c r="K145" s="1996">
        <v>5</v>
      </c>
      <c r="L145" s="1996">
        <v>0</v>
      </c>
      <c r="M145" s="1996">
        <v>0</v>
      </c>
      <c r="N145" s="1996">
        <v>0</v>
      </c>
      <c r="O145" s="1996">
        <v>0</v>
      </c>
      <c r="P145" s="1996">
        <v>0</v>
      </c>
      <c r="Q145" s="1996">
        <v>0</v>
      </c>
      <c r="R145" s="1997">
        <v>22</v>
      </c>
      <c r="S145" s="666" t="s">
        <v>1719</v>
      </c>
      <c r="T145" s="1998">
        <v>721.1</v>
      </c>
      <c r="U145" s="1998">
        <v>0</v>
      </c>
      <c r="V145" s="1998">
        <v>0</v>
      </c>
      <c r="W145" s="1998">
        <v>0</v>
      </c>
      <c r="X145" s="1998">
        <v>0</v>
      </c>
      <c r="Y145" s="1998">
        <v>0</v>
      </c>
      <c r="Z145" s="1998">
        <v>118.8</v>
      </c>
      <c r="AA145" s="1998">
        <v>0</v>
      </c>
      <c r="AB145" s="1998">
        <v>0</v>
      </c>
      <c r="AC145" s="1998">
        <v>0</v>
      </c>
      <c r="AD145" s="1998">
        <v>0</v>
      </c>
      <c r="AE145" s="1998">
        <v>0</v>
      </c>
      <c r="AF145" s="1998">
        <v>0</v>
      </c>
      <c r="AG145" s="1999">
        <v>602.30000000000007</v>
      </c>
    </row>
    <row r="146" spans="1:33" x14ac:dyDescent="0.2">
      <c r="A146" s="666" t="s">
        <v>2205</v>
      </c>
      <c r="B146" s="666" t="s">
        <v>35</v>
      </c>
      <c r="C146" s="666"/>
      <c r="D146" s="666"/>
      <c r="E146" s="1996">
        <v>25</v>
      </c>
      <c r="F146" s="1996">
        <v>0</v>
      </c>
      <c r="G146" s="1996">
        <v>0</v>
      </c>
      <c r="H146" s="1996">
        <v>0</v>
      </c>
      <c r="I146" s="1996">
        <v>0</v>
      </c>
      <c r="J146" s="1996">
        <v>0</v>
      </c>
      <c r="K146" s="1996">
        <v>2</v>
      </c>
      <c r="L146" s="1996">
        <v>0</v>
      </c>
      <c r="M146" s="1996">
        <v>0</v>
      </c>
      <c r="N146" s="1996">
        <v>0</v>
      </c>
      <c r="O146" s="1996">
        <v>0</v>
      </c>
      <c r="P146" s="1996">
        <v>0</v>
      </c>
      <c r="Q146" s="1996">
        <v>0</v>
      </c>
      <c r="R146" s="1997">
        <v>23</v>
      </c>
      <c r="S146" s="666" t="s">
        <v>1111</v>
      </c>
      <c r="T146" s="1998">
        <v>658.88</v>
      </c>
      <c r="U146" s="1998">
        <v>0</v>
      </c>
      <c r="V146" s="1998">
        <v>0</v>
      </c>
      <c r="W146" s="1998">
        <v>0</v>
      </c>
      <c r="X146" s="1998">
        <v>0</v>
      </c>
      <c r="Y146" s="1998">
        <v>0</v>
      </c>
      <c r="Z146" s="1998">
        <v>73.08</v>
      </c>
      <c r="AA146" s="1998">
        <v>0</v>
      </c>
      <c r="AB146" s="1998">
        <v>0</v>
      </c>
      <c r="AC146" s="1998">
        <v>0</v>
      </c>
      <c r="AD146" s="1998">
        <v>0</v>
      </c>
      <c r="AE146" s="1998">
        <v>0</v>
      </c>
      <c r="AF146" s="1998">
        <v>0</v>
      </c>
      <c r="AG146" s="1999">
        <v>585.80000000000007</v>
      </c>
    </row>
    <row r="147" spans="1:33" x14ac:dyDescent="0.2">
      <c r="A147" s="666" t="s">
        <v>2206</v>
      </c>
      <c r="B147" s="666" t="s">
        <v>35</v>
      </c>
      <c r="C147" s="666"/>
      <c r="D147" s="666"/>
      <c r="E147" s="1996">
        <v>12</v>
      </c>
      <c r="F147" s="1996">
        <v>0</v>
      </c>
      <c r="G147" s="1996">
        <v>0</v>
      </c>
      <c r="H147" s="1996">
        <v>0</v>
      </c>
      <c r="I147" s="1996">
        <v>0</v>
      </c>
      <c r="J147" s="1996">
        <v>0</v>
      </c>
      <c r="K147" s="1996">
        <v>0</v>
      </c>
      <c r="L147" s="1996">
        <v>0</v>
      </c>
      <c r="M147" s="1996">
        <v>0</v>
      </c>
      <c r="N147" s="1996">
        <v>0</v>
      </c>
      <c r="O147" s="1996">
        <v>0</v>
      </c>
      <c r="P147" s="1996">
        <v>0</v>
      </c>
      <c r="Q147" s="1996">
        <v>0</v>
      </c>
      <c r="R147" s="1997">
        <v>12</v>
      </c>
      <c r="S147" s="666" t="s">
        <v>1846</v>
      </c>
      <c r="T147" s="1998">
        <v>323.88</v>
      </c>
      <c r="U147" s="1998">
        <v>0</v>
      </c>
      <c r="V147" s="1998">
        <v>0</v>
      </c>
      <c r="W147" s="1998">
        <v>0</v>
      </c>
      <c r="X147" s="1998">
        <v>0</v>
      </c>
      <c r="Y147" s="1998">
        <v>0</v>
      </c>
      <c r="Z147" s="1998">
        <v>15.76</v>
      </c>
      <c r="AA147" s="1998">
        <v>0</v>
      </c>
      <c r="AB147" s="1998">
        <v>0</v>
      </c>
      <c r="AC147" s="1998">
        <v>0</v>
      </c>
      <c r="AD147" s="1998">
        <v>0</v>
      </c>
      <c r="AE147" s="1998">
        <v>0</v>
      </c>
      <c r="AF147" s="1998">
        <v>0</v>
      </c>
      <c r="AG147" s="1999">
        <v>308.12</v>
      </c>
    </row>
    <row r="148" spans="1:33" x14ac:dyDescent="0.2">
      <c r="A148" s="666" t="s">
        <v>2207</v>
      </c>
      <c r="B148" s="666" t="s">
        <v>35</v>
      </c>
      <c r="C148" s="666"/>
      <c r="D148" s="666"/>
      <c r="E148" s="1996">
        <v>33</v>
      </c>
      <c r="F148" s="1996">
        <v>80</v>
      </c>
      <c r="G148" s="1996">
        <v>0</v>
      </c>
      <c r="H148" s="1996">
        <v>0</v>
      </c>
      <c r="I148" s="1996">
        <v>0</v>
      </c>
      <c r="J148" s="1996">
        <v>0</v>
      </c>
      <c r="K148" s="1996">
        <v>23</v>
      </c>
      <c r="L148" s="1996">
        <v>0</v>
      </c>
      <c r="M148" s="1996">
        <v>0</v>
      </c>
      <c r="N148" s="1996">
        <v>0</v>
      </c>
      <c r="O148" s="1996">
        <v>0</v>
      </c>
      <c r="P148" s="1996">
        <v>0</v>
      </c>
      <c r="Q148" s="1996">
        <v>0</v>
      </c>
      <c r="R148" s="1997">
        <v>90</v>
      </c>
      <c r="S148" s="666" t="s">
        <v>1656</v>
      </c>
      <c r="T148" s="1998">
        <v>1034.3800000000001</v>
      </c>
      <c r="U148" s="1998">
        <v>2000</v>
      </c>
      <c r="V148" s="1998">
        <v>0</v>
      </c>
      <c r="W148" s="1998">
        <v>0</v>
      </c>
      <c r="X148" s="1998">
        <v>0</v>
      </c>
      <c r="Y148" s="1998">
        <v>0</v>
      </c>
      <c r="Z148" s="1998">
        <v>622.84</v>
      </c>
      <c r="AA148" s="1998">
        <v>0</v>
      </c>
      <c r="AB148" s="1998">
        <v>0</v>
      </c>
      <c r="AC148" s="1998">
        <v>0</v>
      </c>
      <c r="AD148" s="1998">
        <v>0</v>
      </c>
      <c r="AE148" s="1998">
        <v>0</v>
      </c>
      <c r="AF148" s="1998">
        <v>0</v>
      </c>
      <c r="AG148" s="1999">
        <v>2411.54</v>
      </c>
    </row>
    <row r="149" spans="1:33" x14ac:dyDescent="0.2">
      <c r="A149" s="666" t="s">
        <v>2208</v>
      </c>
      <c r="B149" s="666" t="s">
        <v>35</v>
      </c>
      <c r="C149" s="666"/>
      <c r="D149" s="666"/>
      <c r="E149" s="1996">
        <v>56</v>
      </c>
      <c r="F149" s="1996">
        <v>300</v>
      </c>
      <c r="G149" s="1996">
        <v>0</v>
      </c>
      <c r="H149" s="1996">
        <v>0</v>
      </c>
      <c r="I149" s="1996">
        <v>0</v>
      </c>
      <c r="J149" s="1996">
        <v>0</v>
      </c>
      <c r="K149" s="1996">
        <v>132</v>
      </c>
      <c r="L149" s="1996">
        <v>0</v>
      </c>
      <c r="M149" s="1996">
        <v>0</v>
      </c>
      <c r="N149" s="1996">
        <v>0</v>
      </c>
      <c r="O149" s="1996">
        <v>0</v>
      </c>
      <c r="P149" s="1996">
        <v>0</v>
      </c>
      <c r="Q149" s="1996">
        <v>0</v>
      </c>
      <c r="R149" s="1997">
        <v>224</v>
      </c>
      <c r="S149" s="666" t="s">
        <v>657</v>
      </c>
      <c r="T149" s="1998">
        <v>7404.8</v>
      </c>
      <c r="U149" s="1998">
        <v>15000</v>
      </c>
      <c r="V149" s="1998">
        <v>0</v>
      </c>
      <c r="W149" s="1998">
        <v>0</v>
      </c>
      <c r="X149" s="1998">
        <v>0</v>
      </c>
      <c r="Y149" s="1998">
        <v>0</v>
      </c>
      <c r="Z149" s="1998">
        <v>6751.1</v>
      </c>
      <c r="AA149" s="1998">
        <v>0</v>
      </c>
      <c r="AB149" s="1998">
        <v>0</v>
      </c>
      <c r="AC149" s="1998">
        <v>0</v>
      </c>
      <c r="AD149" s="1998">
        <v>0</v>
      </c>
      <c r="AE149" s="1998">
        <v>0</v>
      </c>
      <c r="AF149" s="1998">
        <v>0</v>
      </c>
      <c r="AG149" s="1999">
        <v>15653.7</v>
      </c>
    </row>
    <row r="150" spans="1:33" x14ac:dyDescent="0.2">
      <c r="A150" s="666" t="s">
        <v>2209</v>
      </c>
      <c r="B150" s="666" t="s">
        <v>35</v>
      </c>
      <c r="C150" s="666"/>
      <c r="D150" s="666"/>
      <c r="E150" s="1996">
        <v>7</v>
      </c>
      <c r="F150" s="1996">
        <v>0</v>
      </c>
      <c r="G150" s="1996">
        <v>0</v>
      </c>
      <c r="H150" s="1996">
        <v>0</v>
      </c>
      <c r="I150" s="1996">
        <v>0</v>
      </c>
      <c r="J150" s="1996">
        <v>0</v>
      </c>
      <c r="K150" s="1996">
        <v>2</v>
      </c>
      <c r="L150" s="1996">
        <v>0</v>
      </c>
      <c r="M150" s="1996">
        <v>0</v>
      </c>
      <c r="N150" s="1996">
        <v>0</v>
      </c>
      <c r="O150" s="1996">
        <v>0</v>
      </c>
      <c r="P150" s="1996">
        <v>0</v>
      </c>
      <c r="Q150" s="1996">
        <v>0</v>
      </c>
      <c r="R150" s="1997">
        <v>5</v>
      </c>
      <c r="S150" s="666" t="s">
        <v>846</v>
      </c>
      <c r="T150" s="1998">
        <v>189.56</v>
      </c>
      <c r="U150" s="1998">
        <v>0</v>
      </c>
      <c r="V150" s="1998">
        <v>0</v>
      </c>
      <c r="W150" s="1998">
        <v>0</v>
      </c>
      <c r="X150" s="1998">
        <v>0</v>
      </c>
      <c r="Y150" s="1998">
        <v>0</v>
      </c>
      <c r="Z150" s="1998">
        <v>34.270000000000003</v>
      </c>
      <c r="AA150" s="1998">
        <v>0</v>
      </c>
      <c r="AB150" s="1998">
        <v>0</v>
      </c>
      <c r="AC150" s="1998">
        <v>0</v>
      </c>
      <c r="AD150" s="1998">
        <v>0</v>
      </c>
      <c r="AE150" s="1998">
        <v>0</v>
      </c>
      <c r="AF150" s="1998">
        <v>0</v>
      </c>
      <c r="AG150" s="1999">
        <v>155.29</v>
      </c>
    </row>
    <row r="151" spans="1:33" x14ac:dyDescent="0.2">
      <c r="A151" s="666" t="s">
        <v>2210</v>
      </c>
      <c r="B151" s="666" t="s">
        <v>35</v>
      </c>
      <c r="C151" s="666"/>
      <c r="D151" s="666"/>
      <c r="E151" s="1996">
        <v>420</v>
      </c>
      <c r="F151" s="1996">
        <v>0</v>
      </c>
      <c r="G151" s="1996">
        <v>0</v>
      </c>
      <c r="H151" s="1996">
        <v>0</v>
      </c>
      <c r="I151" s="1996">
        <v>0</v>
      </c>
      <c r="J151" s="1996">
        <v>0</v>
      </c>
      <c r="K151" s="1996">
        <v>100</v>
      </c>
      <c r="L151" s="1996">
        <v>0</v>
      </c>
      <c r="M151" s="1996">
        <v>0</v>
      </c>
      <c r="N151" s="1996">
        <v>0</v>
      </c>
      <c r="O151" s="1996">
        <v>0</v>
      </c>
      <c r="P151" s="1996">
        <v>0</v>
      </c>
      <c r="Q151" s="1996">
        <v>0</v>
      </c>
      <c r="R151" s="1997">
        <v>320</v>
      </c>
      <c r="S151" s="666" t="s">
        <v>262</v>
      </c>
      <c r="T151" s="1998">
        <v>13633</v>
      </c>
      <c r="U151" s="1998">
        <v>0</v>
      </c>
      <c r="V151" s="1998">
        <v>0</v>
      </c>
      <c r="W151" s="1998">
        <v>0</v>
      </c>
      <c r="X151" s="1998">
        <v>0</v>
      </c>
      <c r="Y151" s="1998">
        <v>0</v>
      </c>
      <c r="Z151" s="1998">
        <v>3472.15</v>
      </c>
      <c r="AA151" s="1998">
        <v>0</v>
      </c>
      <c r="AB151" s="1998">
        <v>0</v>
      </c>
      <c r="AC151" s="1998">
        <v>0</v>
      </c>
      <c r="AD151" s="1998">
        <v>0</v>
      </c>
      <c r="AE151" s="1998">
        <v>0</v>
      </c>
      <c r="AF151" s="1998">
        <v>0</v>
      </c>
      <c r="AG151" s="1999">
        <v>10160.85</v>
      </c>
    </row>
    <row r="152" spans="1:33" x14ac:dyDescent="0.2">
      <c r="A152" s="666" t="s">
        <v>2211</v>
      </c>
      <c r="B152" s="1997">
        <v>25134</v>
      </c>
      <c r="C152" s="1997">
        <v>1223</v>
      </c>
      <c r="D152" s="1997">
        <v>600</v>
      </c>
      <c r="E152" s="1998">
        <v>0</v>
      </c>
      <c r="F152" s="1997">
        <v>0</v>
      </c>
      <c r="G152" s="1997">
        <v>0</v>
      </c>
      <c r="H152" s="1997">
        <v>5081</v>
      </c>
      <c r="I152" s="1997">
        <v>0</v>
      </c>
      <c r="J152" s="1996">
        <v>0</v>
      </c>
      <c r="K152" s="1996">
        <v>0</v>
      </c>
      <c r="L152" s="1997">
        <v>0</v>
      </c>
      <c r="M152" s="1996">
        <v>0</v>
      </c>
      <c r="N152" s="1996">
        <v>0</v>
      </c>
      <c r="O152" s="1997">
        <v>21876</v>
      </c>
      <c r="P152" s="666" t="s">
        <v>2212</v>
      </c>
      <c r="Q152" s="1998">
        <v>1242470.6400000001</v>
      </c>
      <c r="R152" s="1998">
        <v>101030</v>
      </c>
      <c r="S152" s="1998">
        <v>14000</v>
      </c>
      <c r="T152" s="1998">
        <v>0</v>
      </c>
      <c r="U152" s="1998">
        <v>0</v>
      </c>
      <c r="V152" s="1998">
        <v>34.64</v>
      </c>
      <c r="W152" s="1998">
        <v>184606.29</v>
      </c>
      <c r="X152" s="1998">
        <v>0</v>
      </c>
      <c r="Y152" s="1998">
        <v>0</v>
      </c>
      <c r="Z152" s="1998">
        <v>0</v>
      </c>
      <c r="AA152" s="1998">
        <v>0</v>
      </c>
      <c r="AB152" s="1998">
        <v>0</v>
      </c>
      <c r="AC152" s="1998">
        <v>0</v>
      </c>
      <c r="AD152" s="1998">
        <v>1172928.99</v>
      </c>
      <c r="AE152" s="666"/>
      <c r="AF152" s="666"/>
      <c r="AG152" s="666"/>
    </row>
    <row r="153" spans="1:33" x14ac:dyDescent="0.2">
      <c r="A153" s="1996">
        <v>26306</v>
      </c>
      <c r="B153" s="1996">
        <v>1223</v>
      </c>
      <c r="C153" s="1996">
        <v>645</v>
      </c>
      <c r="D153" s="1996">
        <v>0</v>
      </c>
      <c r="E153" s="1996">
        <v>0</v>
      </c>
      <c r="F153" s="1996">
        <v>0</v>
      </c>
      <c r="G153" s="1996">
        <v>5316</v>
      </c>
      <c r="H153" s="1996">
        <v>0</v>
      </c>
      <c r="I153" s="1996">
        <v>0</v>
      </c>
      <c r="J153" s="1996">
        <v>0</v>
      </c>
      <c r="K153" s="1996">
        <v>0</v>
      </c>
      <c r="L153" s="1996">
        <v>0</v>
      </c>
      <c r="M153" s="1996">
        <v>0</v>
      </c>
      <c r="N153" s="1997">
        <v>22858</v>
      </c>
      <c r="O153" s="666" t="s">
        <v>2034</v>
      </c>
      <c r="P153" s="1998">
        <v>1269868.92</v>
      </c>
      <c r="Q153" s="1998">
        <v>101030</v>
      </c>
      <c r="R153" s="1998">
        <v>14520</v>
      </c>
      <c r="S153" s="1998">
        <v>0</v>
      </c>
      <c r="T153" s="1998">
        <v>0</v>
      </c>
      <c r="U153" s="1998">
        <v>34.64</v>
      </c>
      <c r="V153" s="1998">
        <v>189558.07</v>
      </c>
      <c r="W153" s="1998">
        <v>0</v>
      </c>
      <c r="X153" s="1998">
        <v>0</v>
      </c>
      <c r="Y153" s="1998">
        <v>0</v>
      </c>
      <c r="Z153" s="1998">
        <v>0</v>
      </c>
      <c r="AA153" s="1998">
        <v>0</v>
      </c>
      <c r="AB153" s="1998">
        <v>0</v>
      </c>
      <c r="AC153" s="1998">
        <v>1195895.49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1998</v>
      </c>
      <c r="B219" s="666" t="s">
        <v>1999</v>
      </c>
      <c r="C219" s="666" t="s">
        <v>2000</v>
      </c>
      <c r="D219" s="666" t="s">
        <v>2001</v>
      </c>
      <c r="E219" s="666" t="s">
        <v>2002</v>
      </c>
      <c r="F219" s="666" t="s">
        <v>2003</v>
      </c>
      <c r="G219" s="666" t="s">
        <v>2004</v>
      </c>
      <c r="H219" s="666" t="s">
        <v>2005</v>
      </c>
      <c r="I219" s="666" t="s">
        <v>2000</v>
      </c>
      <c r="J219" s="666" t="s">
        <v>2001</v>
      </c>
      <c r="K219" s="666" t="s">
        <v>2002</v>
      </c>
      <c r="L219" s="666" t="s">
        <v>2006</v>
      </c>
      <c r="M219" s="666" t="s">
        <v>2003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2035</v>
      </c>
      <c r="B220" s="666" t="s">
        <v>35</v>
      </c>
      <c r="C220" s="666"/>
      <c r="D220" s="666"/>
      <c r="E220" s="1996">
        <v>1300</v>
      </c>
      <c r="F220" s="1996">
        <v>0</v>
      </c>
      <c r="G220" s="1996">
        <v>0</v>
      </c>
      <c r="H220" s="1996">
        <v>0</v>
      </c>
      <c r="I220" s="1996">
        <v>0</v>
      </c>
      <c r="J220" s="1996">
        <v>0</v>
      </c>
      <c r="K220" s="1996">
        <v>700</v>
      </c>
      <c r="L220" s="1996">
        <v>0</v>
      </c>
      <c r="M220" s="1996">
        <v>0</v>
      </c>
      <c r="N220" s="1996">
        <v>0</v>
      </c>
      <c r="O220" s="1996">
        <v>0</v>
      </c>
      <c r="P220" s="1996">
        <v>0</v>
      </c>
      <c r="Q220" s="1996">
        <v>0</v>
      </c>
      <c r="R220" s="1997">
        <v>600</v>
      </c>
      <c r="S220" s="666" t="s">
        <v>36</v>
      </c>
      <c r="T220" s="1998">
        <v>50734</v>
      </c>
      <c r="U220" s="1998">
        <v>0</v>
      </c>
      <c r="V220" s="1998">
        <v>0</v>
      </c>
      <c r="W220" s="1998">
        <v>0</v>
      </c>
      <c r="X220" s="1998">
        <v>0</v>
      </c>
      <c r="Y220" s="1998">
        <v>0</v>
      </c>
      <c r="Z220" s="1998">
        <v>19433</v>
      </c>
      <c r="AA220" s="1998">
        <v>0</v>
      </c>
      <c r="AB220" s="1998">
        <v>0</v>
      </c>
      <c r="AC220" s="1998">
        <v>0</v>
      </c>
      <c r="AD220" s="1998">
        <v>0</v>
      </c>
      <c r="AE220" s="1998">
        <v>0</v>
      </c>
      <c r="AF220" s="1998">
        <v>0</v>
      </c>
      <c r="AG220" s="1999">
        <v>31301</v>
      </c>
    </row>
    <row r="221" spans="1:33" x14ac:dyDescent="0.2">
      <c r="A221" s="666" t="s">
        <v>2036</v>
      </c>
      <c r="B221" s="1997">
        <v>1300</v>
      </c>
      <c r="C221" s="1997">
        <v>0</v>
      </c>
      <c r="D221" s="1997">
        <v>0</v>
      </c>
      <c r="E221" s="1998">
        <v>0</v>
      </c>
      <c r="F221" s="1997">
        <v>0</v>
      </c>
      <c r="G221" s="1997">
        <v>0</v>
      </c>
      <c r="H221" s="1997">
        <v>700</v>
      </c>
      <c r="I221" s="1997">
        <v>0</v>
      </c>
      <c r="J221" s="1996">
        <v>0</v>
      </c>
      <c r="K221" s="1996">
        <v>0</v>
      </c>
      <c r="L221" s="1997">
        <v>0</v>
      </c>
      <c r="M221" s="1996">
        <v>0</v>
      </c>
      <c r="N221" s="1996">
        <v>0</v>
      </c>
      <c r="O221" s="1997">
        <v>600</v>
      </c>
      <c r="P221" s="666" t="s">
        <v>828</v>
      </c>
      <c r="Q221" s="1998">
        <v>50734</v>
      </c>
      <c r="R221" s="1998">
        <v>0</v>
      </c>
      <c r="S221" s="1998">
        <v>0</v>
      </c>
      <c r="T221" s="1998">
        <v>0</v>
      </c>
      <c r="U221" s="1998">
        <v>0</v>
      </c>
      <c r="V221" s="1998">
        <v>0</v>
      </c>
      <c r="W221" s="1998">
        <v>19433</v>
      </c>
      <c r="X221" s="1998">
        <v>0</v>
      </c>
      <c r="Y221" s="1998">
        <v>0</v>
      </c>
      <c r="Z221" s="1998">
        <v>0</v>
      </c>
      <c r="AA221" s="1998">
        <v>0</v>
      </c>
      <c r="AB221" s="1998">
        <v>0</v>
      </c>
      <c r="AC221" s="1998">
        <v>0</v>
      </c>
      <c r="AD221" s="1998">
        <v>31301</v>
      </c>
      <c r="AE221" s="666"/>
      <c r="AF221" s="666"/>
      <c r="AG221" s="666"/>
    </row>
    <row r="222" spans="1:33" ht="18" customHeight="1" x14ac:dyDescent="0.2">
      <c r="A222" s="666" t="s">
        <v>2037</v>
      </c>
      <c r="B222" s="666" t="s">
        <v>35</v>
      </c>
      <c r="C222" s="666"/>
      <c r="D222" s="666"/>
      <c r="E222" s="1996">
        <v>24</v>
      </c>
      <c r="F222" s="1996">
        <v>40</v>
      </c>
      <c r="G222" s="1996">
        <v>0</v>
      </c>
      <c r="H222" s="1996">
        <v>0</v>
      </c>
      <c r="I222" s="1996">
        <v>0</v>
      </c>
      <c r="J222" s="1996">
        <v>0</v>
      </c>
      <c r="K222" s="1996">
        <v>2</v>
      </c>
      <c r="L222" s="1996">
        <v>0</v>
      </c>
      <c r="M222" s="1996">
        <v>0</v>
      </c>
      <c r="N222" s="1996">
        <v>0</v>
      </c>
      <c r="O222" s="1996">
        <v>0</v>
      </c>
      <c r="P222" s="1996">
        <v>0</v>
      </c>
      <c r="Q222" s="1996">
        <v>0</v>
      </c>
      <c r="R222" s="1997">
        <v>62</v>
      </c>
      <c r="S222" s="666" t="s">
        <v>811</v>
      </c>
      <c r="T222" s="1998">
        <v>70345</v>
      </c>
      <c r="U222" s="1998">
        <v>158730</v>
      </c>
      <c r="V222" s="1998">
        <v>0</v>
      </c>
      <c r="W222" s="1998">
        <v>0</v>
      </c>
      <c r="X222" s="1998">
        <v>0</v>
      </c>
      <c r="Y222" s="1998">
        <v>0</v>
      </c>
      <c r="Z222" s="1998">
        <v>114055</v>
      </c>
      <c r="AA222" s="1998">
        <v>0</v>
      </c>
      <c r="AB222" s="1998">
        <v>0</v>
      </c>
      <c r="AC222" s="1998">
        <v>0</v>
      </c>
      <c r="AD222" s="1998">
        <v>0</v>
      </c>
      <c r="AE222" s="1998">
        <v>0</v>
      </c>
      <c r="AF222" s="1998">
        <v>0</v>
      </c>
      <c r="AG222" s="1999">
        <v>115020</v>
      </c>
    </row>
    <row r="223" spans="1:33" ht="12.75" customHeight="1" x14ac:dyDescent="0.2">
      <c r="A223" s="666" t="s">
        <v>2038</v>
      </c>
      <c r="B223" s="666" t="s">
        <v>35</v>
      </c>
      <c r="C223" s="666"/>
      <c r="D223" s="666"/>
      <c r="E223" s="1996">
        <v>8</v>
      </c>
      <c r="F223" s="1996">
        <v>0</v>
      </c>
      <c r="G223" s="1996">
        <v>0</v>
      </c>
      <c r="H223" s="1996">
        <v>0</v>
      </c>
      <c r="I223" s="1996">
        <v>0</v>
      </c>
      <c r="J223" s="1996">
        <v>0</v>
      </c>
      <c r="K223" s="1996">
        <v>6</v>
      </c>
      <c r="L223" s="1996">
        <v>0</v>
      </c>
      <c r="M223" s="1996">
        <v>0</v>
      </c>
      <c r="N223" s="1996">
        <v>0</v>
      </c>
      <c r="O223" s="1996">
        <v>0</v>
      </c>
      <c r="P223" s="1996">
        <v>0</v>
      </c>
      <c r="Q223" s="1996">
        <v>0</v>
      </c>
      <c r="R223" s="1997">
        <v>2</v>
      </c>
      <c r="S223" s="666" t="s">
        <v>829</v>
      </c>
      <c r="T223" s="1998">
        <v>23602</v>
      </c>
      <c r="U223" s="1998">
        <v>0</v>
      </c>
      <c r="V223" s="1998">
        <v>0</v>
      </c>
      <c r="W223" s="1998">
        <v>0</v>
      </c>
      <c r="X223" s="1998">
        <v>0</v>
      </c>
      <c r="Y223" s="1998">
        <v>0</v>
      </c>
      <c r="Z223" s="1998">
        <v>5992</v>
      </c>
      <c r="AA223" s="1998">
        <v>0</v>
      </c>
      <c r="AB223" s="1998">
        <v>0</v>
      </c>
      <c r="AC223" s="1998">
        <v>0</v>
      </c>
      <c r="AD223" s="1998">
        <v>0</v>
      </c>
      <c r="AE223" s="1998">
        <v>0</v>
      </c>
      <c r="AF223" s="1998">
        <v>0</v>
      </c>
      <c r="AG223" s="1999">
        <v>17610</v>
      </c>
    </row>
    <row r="224" spans="1:33" ht="12.75" customHeight="1" x14ac:dyDescent="0.2">
      <c r="A224" s="666" t="s">
        <v>2039</v>
      </c>
      <c r="B224" s="1997">
        <v>32</v>
      </c>
      <c r="C224" s="1997">
        <v>40</v>
      </c>
      <c r="D224" s="1997">
        <v>0</v>
      </c>
      <c r="E224" s="1998">
        <v>0</v>
      </c>
      <c r="F224" s="1997">
        <v>0</v>
      </c>
      <c r="G224" s="1997">
        <v>0</v>
      </c>
      <c r="H224" s="1997">
        <v>8</v>
      </c>
      <c r="I224" s="1997">
        <v>0</v>
      </c>
      <c r="J224" s="1996">
        <v>0</v>
      </c>
      <c r="K224" s="1996">
        <v>0</v>
      </c>
      <c r="L224" s="1997">
        <v>0</v>
      </c>
      <c r="M224" s="1996">
        <v>0</v>
      </c>
      <c r="N224" s="1996">
        <v>0</v>
      </c>
      <c r="O224" s="1997">
        <v>64</v>
      </c>
      <c r="P224" s="666" t="s">
        <v>2040</v>
      </c>
      <c r="Q224" s="1998">
        <v>93947</v>
      </c>
      <c r="R224" s="1998">
        <v>158730</v>
      </c>
      <c r="S224" s="1998">
        <v>0</v>
      </c>
      <c r="T224" s="1998">
        <v>0</v>
      </c>
      <c r="U224" s="1998">
        <v>0</v>
      </c>
      <c r="V224" s="1998">
        <v>0</v>
      </c>
      <c r="W224" s="1998">
        <v>120047</v>
      </c>
      <c r="X224" s="1998">
        <v>0</v>
      </c>
      <c r="Y224" s="1998">
        <v>0</v>
      </c>
      <c r="Z224" s="1998">
        <v>0</v>
      </c>
      <c r="AA224" s="1998">
        <v>0</v>
      </c>
      <c r="AB224" s="1998">
        <v>0</v>
      </c>
      <c r="AC224" s="1998">
        <v>0</v>
      </c>
      <c r="AD224" s="1998">
        <v>132630</v>
      </c>
      <c r="AE224" s="666"/>
      <c r="AF224" s="666"/>
      <c r="AG224" s="666"/>
    </row>
    <row r="225" spans="1:33" ht="12.75" customHeight="1" x14ac:dyDescent="0.2">
      <c r="A225" s="666" t="s">
        <v>2041</v>
      </c>
      <c r="B225" s="666" t="s">
        <v>35</v>
      </c>
      <c r="C225" s="666"/>
      <c r="D225" s="666"/>
      <c r="E225" s="1996">
        <v>142</v>
      </c>
      <c r="F225" s="1996">
        <v>0</v>
      </c>
      <c r="G225" s="1996">
        <v>34</v>
      </c>
      <c r="H225" s="1996">
        <v>0</v>
      </c>
      <c r="I225" s="1996">
        <v>0</v>
      </c>
      <c r="J225" s="1996">
        <v>0</v>
      </c>
      <c r="K225" s="1996">
        <v>58</v>
      </c>
      <c r="L225" s="1996">
        <v>0</v>
      </c>
      <c r="M225" s="1996">
        <v>0</v>
      </c>
      <c r="N225" s="1996">
        <v>0</v>
      </c>
      <c r="O225" s="1996">
        <v>0</v>
      </c>
      <c r="P225" s="1996">
        <v>0</v>
      </c>
      <c r="Q225" s="1996">
        <v>0</v>
      </c>
      <c r="R225" s="1997">
        <v>118</v>
      </c>
      <c r="S225" s="666" t="s">
        <v>1584</v>
      </c>
      <c r="T225" s="1998">
        <v>147850</v>
      </c>
      <c r="U225" s="1998">
        <v>0</v>
      </c>
      <c r="V225" s="1998">
        <v>34000</v>
      </c>
      <c r="W225" s="1998">
        <v>0</v>
      </c>
      <c r="X225" s="1998">
        <v>0</v>
      </c>
      <c r="Y225" s="1998">
        <v>0</v>
      </c>
      <c r="Z225" s="1998">
        <v>53139</v>
      </c>
      <c r="AA225" s="1998">
        <v>0</v>
      </c>
      <c r="AB225" s="1998">
        <v>0</v>
      </c>
      <c r="AC225" s="1998">
        <v>0</v>
      </c>
      <c r="AD225" s="1998">
        <v>0</v>
      </c>
      <c r="AE225" s="1998">
        <v>0</v>
      </c>
      <c r="AF225" s="1998">
        <v>0</v>
      </c>
      <c r="AG225" s="1999">
        <v>128711</v>
      </c>
    </row>
    <row r="226" spans="1:33" ht="12.75" customHeight="1" x14ac:dyDescent="0.2">
      <c r="A226" s="666" t="s">
        <v>2042</v>
      </c>
      <c r="B226" s="1997">
        <v>142</v>
      </c>
      <c r="C226" s="1997">
        <v>0</v>
      </c>
      <c r="D226" s="1997">
        <v>34</v>
      </c>
      <c r="E226" s="1998">
        <v>0</v>
      </c>
      <c r="F226" s="1997">
        <v>0</v>
      </c>
      <c r="G226" s="1997">
        <v>0</v>
      </c>
      <c r="H226" s="1997">
        <v>58</v>
      </c>
      <c r="I226" s="1997">
        <v>0</v>
      </c>
      <c r="J226" s="1996">
        <v>0</v>
      </c>
      <c r="K226" s="1996">
        <v>0</v>
      </c>
      <c r="L226" s="1997">
        <v>0</v>
      </c>
      <c r="M226" s="1996">
        <v>0</v>
      </c>
      <c r="N226" s="1996">
        <v>0</v>
      </c>
      <c r="O226" s="1997">
        <v>118</v>
      </c>
      <c r="P226" s="666" t="s">
        <v>844</v>
      </c>
      <c r="Q226" s="1998">
        <v>147850</v>
      </c>
      <c r="R226" s="1998">
        <v>0</v>
      </c>
      <c r="S226" s="1998">
        <v>34000</v>
      </c>
      <c r="T226" s="1998">
        <v>0</v>
      </c>
      <c r="U226" s="1998">
        <v>0</v>
      </c>
      <c r="V226" s="1998">
        <v>0</v>
      </c>
      <c r="W226" s="1998">
        <v>53139</v>
      </c>
      <c r="X226" s="1998">
        <v>0</v>
      </c>
      <c r="Y226" s="1998">
        <v>0</v>
      </c>
      <c r="Z226" s="1998">
        <v>0</v>
      </c>
      <c r="AA226" s="1998">
        <v>0</v>
      </c>
      <c r="AB226" s="1998">
        <v>0</v>
      </c>
      <c r="AC226" s="1998">
        <v>0</v>
      </c>
      <c r="AD226" s="1998">
        <v>128711</v>
      </c>
      <c r="AE226" s="666"/>
      <c r="AF226" s="666"/>
      <c r="AG226" s="666"/>
    </row>
    <row r="227" spans="1:33" ht="12.75" customHeight="1" x14ac:dyDescent="0.2">
      <c r="A227" s="666" t="s">
        <v>2043</v>
      </c>
      <c r="B227" s="666" t="s">
        <v>35</v>
      </c>
      <c r="C227" s="666"/>
      <c r="D227" s="666"/>
      <c r="E227" s="1996">
        <v>570</v>
      </c>
      <c r="F227" s="1996">
        <v>600</v>
      </c>
      <c r="G227" s="1996">
        <v>0</v>
      </c>
      <c r="H227" s="1996">
        <v>0</v>
      </c>
      <c r="I227" s="1996">
        <v>0</v>
      </c>
      <c r="J227" s="1996">
        <v>0</v>
      </c>
      <c r="K227" s="1996">
        <v>510</v>
      </c>
      <c r="L227" s="1996">
        <v>0</v>
      </c>
      <c r="M227" s="1996">
        <v>0</v>
      </c>
      <c r="N227" s="1996">
        <v>0</v>
      </c>
      <c r="O227" s="1996">
        <v>0</v>
      </c>
      <c r="P227" s="1996">
        <v>0</v>
      </c>
      <c r="Q227" s="1996">
        <v>0</v>
      </c>
      <c r="R227" s="1997">
        <v>660</v>
      </c>
      <c r="S227" s="666" t="s">
        <v>1585</v>
      </c>
      <c r="T227" s="1998">
        <v>38024</v>
      </c>
      <c r="U227" s="1998">
        <v>31620</v>
      </c>
      <c r="V227" s="1998">
        <v>0</v>
      </c>
      <c r="W227" s="1998">
        <v>0</v>
      </c>
      <c r="X227" s="1998">
        <v>0</v>
      </c>
      <c r="Y227" s="1998">
        <v>0</v>
      </c>
      <c r="Z227" s="1998">
        <v>24564</v>
      </c>
      <c r="AA227" s="1998">
        <v>0</v>
      </c>
      <c r="AB227" s="1998">
        <v>0</v>
      </c>
      <c r="AC227" s="1998">
        <v>0</v>
      </c>
      <c r="AD227" s="1998">
        <v>0</v>
      </c>
      <c r="AE227" s="1998">
        <v>0</v>
      </c>
      <c r="AF227" s="1998">
        <v>0</v>
      </c>
      <c r="AG227" s="1999">
        <v>45080</v>
      </c>
    </row>
    <row r="228" spans="1:33" ht="12.75" customHeight="1" x14ac:dyDescent="0.2">
      <c r="A228" s="666" t="s">
        <v>2044</v>
      </c>
      <c r="B228" s="1997">
        <v>570</v>
      </c>
      <c r="C228" s="1997">
        <v>600</v>
      </c>
      <c r="D228" s="1997">
        <v>0</v>
      </c>
      <c r="E228" s="1998">
        <v>0</v>
      </c>
      <c r="F228" s="1997">
        <v>0</v>
      </c>
      <c r="G228" s="1997">
        <v>0</v>
      </c>
      <c r="H228" s="1997">
        <v>510</v>
      </c>
      <c r="I228" s="1997">
        <v>0</v>
      </c>
      <c r="J228" s="1996">
        <v>0</v>
      </c>
      <c r="K228" s="1996">
        <v>0</v>
      </c>
      <c r="L228" s="1997">
        <v>0</v>
      </c>
      <c r="M228" s="1996">
        <v>0</v>
      </c>
      <c r="N228" s="1996">
        <v>0</v>
      </c>
      <c r="O228" s="1997">
        <v>660</v>
      </c>
      <c r="P228" s="666" t="s">
        <v>825</v>
      </c>
      <c r="Q228" s="1998">
        <v>38024</v>
      </c>
      <c r="R228" s="1998">
        <v>31620</v>
      </c>
      <c r="S228" s="1998">
        <v>0</v>
      </c>
      <c r="T228" s="1998">
        <v>0</v>
      </c>
      <c r="U228" s="1998">
        <v>0</v>
      </c>
      <c r="V228" s="1998">
        <v>0</v>
      </c>
      <c r="W228" s="1998">
        <v>24564</v>
      </c>
      <c r="X228" s="1998">
        <v>0</v>
      </c>
      <c r="Y228" s="1998">
        <v>0</v>
      </c>
      <c r="Z228" s="1998">
        <v>0</v>
      </c>
      <c r="AA228" s="1998">
        <v>0</v>
      </c>
      <c r="AB228" s="1998">
        <v>0</v>
      </c>
      <c r="AC228" s="1998">
        <v>0</v>
      </c>
      <c r="AD228" s="1998">
        <v>45080</v>
      </c>
      <c r="AE228" s="666"/>
      <c r="AF228" s="666"/>
      <c r="AG228" s="666"/>
    </row>
    <row r="229" spans="1:33" ht="12.75" customHeight="1" x14ac:dyDescent="0.2">
      <c r="A229" s="666" t="s">
        <v>2045</v>
      </c>
      <c r="B229" s="666" t="s">
        <v>35</v>
      </c>
      <c r="C229" s="666"/>
      <c r="D229" s="666"/>
      <c r="E229" s="1996">
        <v>0</v>
      </c>
      <c r="F229" s="1996">
        <v>0</v>
      </c>
      <c r="G229" s="1996">
        <v>0</v>
      </c>
      <c r="H229" s="1996">
        <v>0</v>
      </c>
      <c r="I229" s="1996">
        <v>0</v>
      </c>
      <c r="J229" s="1996">
        <v>0</v>
      </c>
      <c r="K229" s="1996">
        <v>0</v>
      </c>
      <c r="L229" s="1996">
        <v>0</v>
      </c>
      <c r="M229" s="1996">
        <v>0</v>
      </c>
      <c r="N229" s="1996">
        <v>0</v>
      </c>
      <c r="O229" s="1996">
        <v>0</v>
      </c>
      <c r="P229" s="1996">
        <v>0</v>
      </c>
      <c r="Q229" s="1996">
        <v>0</v>
      </c>
      <c r="R229" s="1997">
        <v>0</v>
      </c>
      <c r="S229" s="666" t="s">
        <v>130</v>
      </c>
      <c r="T229" s="1998">
        <v>35117</v>
      </c>
      <c r="U229" s="1998">
        <v>0</v>
      </c>
      <c r="V229" s="1998">
        <v>0</v>
      </c>
      <c r="W229" s="1998">
        <v>0</v>
      </c>
      <c r="X229" s="1998">
        <v>0</v>
      </c>
      <c r="Y229" s="1998">
        <v>0</v>
      </c>
      <c r="Z229" s="1998">
        <v>13831</v>
      </c>
      <c r="AA229" s="1998">
        <v>0</v>
      </c>
      <c r="AB229" s="1998">
        <v>0</v>
      </c>
      <c r="AC229" s="1998">
        <v>0</v>
      </c>
      <c r="AD229" s="1998">
        <v>0</v>
      </c>
      <c r="AE229" s="1998">
        <v>0</v>
      </c>
      <c r="AF229" s="1998">
        <v>0</v>
      </c>
      <c r="AG229" s="1999">
        <v>21286</v>
      </c>
    </row>
    <row r="230" spans="1:33" x14ac:dyDescent="0.2">
      <c r="A230" s="666" t="s">
        <v>2046</v>
      </c>
      <c r="B230" s="1997">
        <v>0</v>
      </c>
      <c r="C230" s="1997">
        <v>0</v>
      </c>
      <c r="D230" s="1997">
        <v>0</v>
      </c>
      <c r="E230" s="1998">
        <v>0</v>
      </c>
      <c r="F230" s="1997">
        <v>0</v>
      </c>
      <c r="G230" s="1997">
        <v>0</v>
      </c>
      <c r="H230" s="1997">
        <v>0</v>
      </c>
      <c r="I230" s="1997">
        <v>0</v>
      </c>
      <c r="J230" s="1996">
        <v>0</v>
      </c>
      <c r="K230" s="1996">
        <v>0</v>
      </c>
      <c r="L230" s="1997">
        <v>0</v>
      </c>
      <c r="M230" s="1996">
        <v>0</v>
      </c>
      <c r="N230" s="1996">
        <v>0</v>
      </c>
      <c r="O230" s="1997">
        <v>0</v>
      </c>
      <c r="P230" s="666" t="s">
        <v>1681</v>
      </c>
      <c r="Q230" s="1998">
        <v>35117</v>
      </c>
      <c r="R230" s="1998">
        <v>0</v>
      </c>
      <c r="S230" s="1998">
        <v>0</v>
      </c>
      <c r="T230" s="1998">
        <v>0</v>
      </c>
      <c r="U230" s="1998">
        <v>0</v>
      </c>
      <c r="V230" s="1998">
        <v>0</v>
      </c>
      <c r="W230" s="1998">
        <v>13831</v>
      </c>
      <c r="X230" s="1998">
        <v>0</v>
      </c>
      <c r="Y230" s="1998">
        <v>0</v>
      </c>
      <c r="Z230" s="1998">
        <v>0</v>
      </c>
      <c r="AA230" s="1998">
        <v>0</v>
      </c>
      <c r="AB230" s="1998">
        <v>0</v>
      </c>
      <c r="AC230" s="1998">
        <v>0</v>
      </c>
      <c r="AD230" s="1998">
        <v>21286</v>
      </c>
      <c r="AE230" s="666"/>
      <c r="AF230" s="666"/>
      <c r="AG230" s="666"/>
    </row>
    <row r="231" spans="1:33" x14ac:dyDescent="0.2">
      <c r="A231" s="666" t="s">
        <v>2047</v>
      </c>
      <c r="B231" s="666" t="s">
        <v>35</v>
      </c>
      <c r="C231" s="666"/>
      <c r="D231" s="666"/>
      <c r="E231" s="1996">
        <v>0</v>
      </c>
      <c r="F231" s="1996">
        <v>0</v>
      </c>
      <c r="G231" s="1996">
        <v>0</v>
      </c>
      <c r="H231" s="1996">
        <v>0</v>
      </c>
      <c r="I231" s="1996">
        <v>0</v>
      </c>
      <c r="J231" s="1996">
        <v>0</v>
      </c>
      <c r="K231" s="1996">
        <v>0</v>
      </c>
      <c r="L231" s="1996">
        <v>0</v>
      </c>
      <c r="M231" s="1996">
        <v>0</v>
      </c>
      <c r="N231" s="1996">
        <v>0</v>
      </c>
      <c r="O231" s="1996">
        <v>0</v>
      </c>
      <c r="P231" s="1996">
        <v>0</v>
      </c>
      <c r="Q231" s="1996">
        <v>0</v>
      </c>
      <c r="R231" s="1997">
        <v>0</v>
      </c>
      <c r="S231" s="666" t="s">
        <v>882</v>
      </c>
      <c r="T231" s="1998">
        <v>208978</v>
      </c>
      <c r="U231" s="1998">
        <v>32160</v>
      </c>
      <c r="V231" s="1998">
        <v>0</v>
      </c>
      <c r="W231" s="1998">
        <v>0</v>
      </c>
      <c r="X231" s="1998">
        <v>0</v>
      </c>
      <c r="Y231" s="1998">
        <v>0</v>
      </c>
      <c r="Z231" s="1998">
        <v>28233</v>
      </c>
      <c r="AA231" s="1998">
        <v>0</v>
      </c>
      <c r="AB231" s="1998">
        <v>0</v>
      </c>
      <c r="AC231" s="1998">
        <v>0</v>
      </c>
      <c r="AD231" s="1998">
        <v>0</v>
      </c>
      <c r="AE231" s="1998">
        <v>0</v>
      </c>
      <c r="AF231" s="1998">
        <v>0</v>
      </c>
      <c r="AG231" s="1999">
        <v>212905</v>
      </c>
    </row>
    <row r="232" spans="1:33" ht="12.75" customHeight="1" x14ac:dyDescent="0.2">
      <c r="A232" s="666" t="s">
        <v>2048</v>
      </c>
      <c r="B232" s="1997">
        <v>0</v>
      </c>
      <c r="C232" s="1997">
        <v>0</v>
      </c>
      <c r="D232" s="1997">
        <v>0</v>
      </c>
      <c r="E232" s="1998">
        <v>0</v>
      </c>
      <c r="F232" s="1997">
        <v>0</v>
      </c>
      <c r="G232" s="1997">
        <v>0</v>
      </c>
      <c r="H232" s="1997">
        <v>0</v>
      </c>
      <c r="I232" s="1997">
        <v>0</v>
      </c>
      <c r="J232" s="1996">
        <v>0</v>
      </c>
      <c r="K232" s="1996">
        <v>0</v>
      </c>
      <c r="L232" s="1997">
        <v>0</v>
      </c>
      <c r="M232" s="1996">
        <v>0</v>
      </c>
      <c r="N232" s="1996">
        <v>0</v>
      </c>
      <c r="O232" s="1997">
        <v>0</v>
      </c>
      <c r="P232" s="666" t="s">
        <v>1690</v>
      </c>
      <c r="Q232" s="1998">
        <v>208978</v>
      </c>
      <c r="R232" s="1998">
        <v>32160</v>
      </c>
      <c r="S232" s="1998">
        <v>0</v>
      </c>
      <c r="T232" s="1998">
        <v>0</v>
      </c>
      <c r="U232" s="1998">
        <v>0</v>
      </c>
      <c r="V232" s="1998">
        <v>0</v>
      </c>
      <c r="W232" s="1998">
        <v>28233</v>
      </c>
      <c r="X232" s="1998">
        <v>0</v>
      </c>
      <c r="Y232" s="1998">
        <v>0</v>
      </c>
      <c r="Z232" s="1998">
        <v>0</v>
      </c>
      <c r="AA232" s="1998">
        <v>0</v>
      </c>
      <c r="AB232" s="1998">
        <v>0</v>
      </c>
      <c r="AC232" s="1998">
        <v>0</v>
      </c>
      <c r="AD232" s="1998">
        <v>212905</v>
      </c>
      <c r="AE232" s="666"/>
      <c r="AF232" s="666"/>
      <c r="AG232" s="666"/>
    </row>
    <row r="233" spans="1:33" x14ac:dyDescent="0.2">
      <c r="A233" s="666" t="s">
        <v>2049</v>
      </c>
      <c r="B233" s="666" t="s">
        <v>35</v>
      </c>
      <c r="C233" s="666"/>
      <c r="D233" s="666"/>
      <c r="E233" s="1996">
        <v>0</v>
      </c>
      <c r="F233" s="1996">
        <v>0</v>
      </c>
      <c r="G233" s="1996">
        <v>0</v>
      </c>
      <c r="H233" s="1996">
        <v>0</v>
      </c>
      <c r="I233" s="1996">
        <v>0</v>
      </c>
      <c r="J233" s="1996">
        <v>0</v>
      </c>
      <c r="K233" s="1996">
        <v>0</v>
      </c>
      <c r="L233" s="1996">
        <v>0</v>
      </c>
      <c r="M233" s="1996">
        <v>0</v>
      </c>
      <c r="N233" s="1996">
        <v>0</v>
      </c>
      <c r="O233" s="1996">
        <v>0</v>
      </c>
      <c r="P233" s="1996">
        <v>0</v>
      </c>
      <c r="Q233" s="1996">
        <v>0</v>
      </c>
      <c r="R233" s="1997">
        <v>0</v>
      </c>
      <c r="S233" s="666" t="s">
        <v>2050</v>
      </c>
      <c r="T233" s="1998">
        <v>279599</v>
      </c>
      <c r="U233" s="1998">
        <v>294060</v>
      </c>
      <c r="V233" s="1998">
        <v>0</v>
      </c>
      <c r="W233" s="1998">
        <v>0</v>
      </c>
      <c r="X233" s="1998">
        <v>0</v>
      </c>
      <c r="Y233" s="1998">
        <v>0</v>
      </c>
      <c r="Z233" s="1998">
        <v>239019</v>
      </c>
      <c r="AA233" s="1998">
        <v>0</v>
      </c>
      <c r="AB233" s="1998">
        <v>0</v>
      </c>
      <c r="AC233" s="1998">
        <v>0</v>
      </c>
      <c r="AD233" s="1998">
        <v>0</v>
      </c>
      <c r="AE233" s="1998">
        <v>0</v>
      </c>
      <c r="AF233" s="1998">
        <v>0</v>
      </c>
      <c r="AG233" s="1999">
        <v>334640</v>
      </c>
    </row>
    <row r="234" spans="1:33" x14ac:dyDescent="0.2">
      <c r="A234" s="666" t="s">
        <v>2051</v>
      </c>
      <c r="B234" s="1997">
        <v>0</v>
      </c>
      <c r="C234" s="1997">
        <v>0</v>
      </c>
      <c r="D234" s="1997">
        <v>0</v>
      </c>
      <c r="E234" s="1998">
        <v>0</v>
      </c>
      <c r="F234" s="1997">
        <v>0</v>
      </c>
      <c r="G234" s="1997">
        <v>0</v>
      </c>
      <c r="H234" s="1997">
        <v>0</v>
      </c>
      <c r="I234" s="1997">
        <v>0</v>
      </c>
      <c r="J234" s="1996">
        <v>0</v>
      </c>
      <c r="K234" s="1996">
        <v>0</v>
      </c>
      <c r="L234" s="1997">
        <v>0</v>
      </c>
      <c r="M234" s="1996">
        <v>0</v>
      </c>
      <c r="N234" s="1996">
        <v>0</v>
      </c>
      <c r="O234" s="1997">
        <v>0</v>
      </c>
      <c r="P234" s="666" t="s">
        <v>806</v>
      </c>
      <c r="Q234" s="1998">
        <v>279599</v>
      </c>
      <c r="R234" s="1998">
        <v>294060</v>
      </c>
      <c r="S234" s="1998">
        <v>0</v>
      </c>
      <c r="T234" s="1998">
        <v>0</v>
      </c>
      <c r="U234" s="1998">
        <v>0</v>
      </c>
      <c r="V234" s="1998">
        <v>0</v>
      </c>
      <c r="W234" s="1998">
        <v>239019</v>
      </c>
      <c r="X234" s="1998">
        <v>0</v>
      </c>
      <c r="Y234" s="1998">
        <v>0</v>
      </c>
      <c r="Z234" s="1998">
        <v>0</v>
      </c>
      <c r="AA234" s="1998">
        <v>0</v>
      </c>
      <c r="AB234" s="1998">
        <v>0</v>
      </c>
      <c r="AC234" s="1998">
        <v>0</v>
      </c>
      <c r="AD234" s="1998">
        <v>334640</v>
      </c>
      <c r="AE234" s="666"/>
      <c r="AF234" s="666"/>
      <c r="AG234" s="666"/>
    </row>
    <row r="235" spans="1:33" x14ac:dyDescent="0.2">
      <c r="A235" s="666" t="s">
        <v>2052</v>
      </c>
      <c r="B235" s="666" t="s">
        <v>35</v>
      </c>
      <c r="C235" s="666"/>
      <c r="D235" s="666"/>
      <c r="E235" s="1996">
        <v>44</v>
      </c>
      <c r="F235" s="1996">
        <v>0</v>
      </c>
      <c r="G235" s="1996">
        <v>0</v>
      </c>
      <c r="H235" s="1996">
        <v>0</v>
      </c>
      <c r="I235" s="1996">
        <v>0</v>
      </c>
      <c r="J235" s="1996">
        <v>0</v>
      </c>
      <c r="K235" s="1996">
        <v>14</v>
      </c>
      <c r="L235" s="1996">
        <v>0</v>
      </c>
      <c r="M235" s="1996">
        <v>0</v>
      </c>
      <c r="N235" s="1996">
        <v>0</v>
      </c>
      <c r="O235" s="1996">
        <v>0</v>
      </c>
      <c r="P235" s="1996">
        <v>0</v>
      </c>
      <c r="Q235" s="1996">
        <v>0</v>
      </c>
      <c r="R235" s="1997">
        <v>30</v>
      </c>
      <c r="S235" s="666" t="s">
        <v>1586</v>
      </c>
      <c r="T235" s="1998">
        <v>83927</v>
      </c>
      <c r="U235" s="1998">
        <v>0</v>
      </c>
      <c r="V235" s="1998">
        <v>0</v>
      </c>
      <c r="W235" s="1998">
        <v>0</v>
      </c>
      <c r="X235" s="1998">
        <v>0</v>
      </c>
      <c r="Y235" s="1998">
        <v>0</v>
      </c>
      <c r="Z235" s="1998">
        <v>20169</v>
      </c>
      <c r="AA235" s="1998">
        <v>0</v>
      </c>
      <c r="AB235" s="1998">
        <v>0</v>
      </c>
      <c r="AC235" s="1998">
        <v>0</v>
      </c>
      <c r="AD235" s="1998">
        <v>0</v>
      </c>
      <c r="AE235" s="1998">
        <v>0</v>
      </c>
      <c r="AF235" s="1998">
        <v>0</v>
      </c>
      <c r="AG235" s="1999">
        <v>63758</v>
      </c>
    </row>
    <row r="236" spans="1:33" ht="12.75" customHeight="1" x14ac:dyDescent="0.2">
      <c r="A236" s="666" t="s">
        <v>2053</v>
      </c>
      <c r="B236" s="1997">
        <v>44</v>
      </c>
      <c r="C236" s="1997">
        <v>0</v>
      </c>
      <c r="D236" s="1997">
        <v>0</v>
      </c>
      <c r="E236" s="1998">
        <v>0</v>
      </c>
      <c r="F236" s="1997">
        <v>0</v>
      </c>
      <c r="G236" s="1997">
        <v>0</v>
      </c>
      <c r="H236" s="1997">
        <v>14</v>
      </c>
      <c r="I236" s="1997">
        <v>0</v>
      </c>
      <c r="J236" s="1996">
        <v>0</v>
      </c>
      <c r="K236" s="1996">
        <v>0</v>
      </c>
      <c r="L236" s="1997">
        <v>0</v>
      </c>
      <c r="M236" s="1996">
        <v>0</v>
      </c>
      <c r="N236" s="1996">
        <v>0</v>
      </c>
      <c r="O236" s="1997">
        <v>30</v>
      </c>
      <c r="P236" s="666" t="s">
        <v>823</v>
      </c>
      <c r="Q236" s="1998">
        <v>83927</v>
      </c>
      <c r="R236" s="1998">
        <v>0</v>
      </c>
      <c r="S236" s="1998">
        <v>0</v>
      </c>
      <c r="T236" s="1998">
        <v>0</v>
      </c>
      <c r="U236" s="1998">
        <v>0</v>
      </c>
      <c r="V236" s="1998">
        <v>0</v>
      </c>
      <c r="W236" s="1998">
        <v>20169</v>
      </c>
      <c r="X236" s="1998">
        <v>0</v>
      </c>
      <c r="Y236" s="1998">
        <v>0</v>
      </c>
      <c r="Z236" s="1998">
        <v>0</v>
      </c>
      <c r="AA236" s="1998">
        <v>0</v>
      </c>
      <c r="AB236" s="1998">
        <v>0</v>
      </c>
      <c r="AC236" s="1998">
        <v>0</v>
      </c>
      <c r="AD236" s="1998">
        <v>63758</v>
      </c>
      <c r="AE236" s="666"/>
      <c r="AF236" s="666"/>
      <c r="AG236" s="666"/>
    </row>
    <row r="237" spans="1:33" ht="12.75" customHeight="1" x14ac:dyDescent="0.2">
      <c r="A237" s="666" t="s">
        <v>2054</v>
      </c>
      <c r="B237" s="666" t="s">
        <v>35</v>
      </c>
      <c r="C237" s="666"/>
      <c r="D237" s="666"/>
      <c r="E237" s="1996">
        <v>0</v>
      </c>
      <c r="F237" s="1996">
        <v>0</v>
      </c>
      <c r="G237" s="1996">
        <v>0</v>
      </c>
      <c r="H237" s="1996">
        <v>0</v>
      </c>
      <c r="I237" s="1996">
        <v>0</v>
      </c>
      <c r="J237" s="1996">
        <v>0</v>
      </c>
      <c r="K237" s="1996">
        <v>0</v>
      </c>
      <c r="L237" s="1996">
        <v>0</v>
      </c>
      <c r="M237" s="1996">
        <v>0</v>
      </c>
      <c r="N237" s="1996">
        <v>0</v>
      </c>
      <c r="O237" s="1996">
        <v>0</v>
      </c>
      <c r="P237" s="1996">
        <v>0</v>
      </c>
      <c r="Q237" s="1996">
        <v>0</v>
      </c>
      <c r="R237" s="1997">
        <v>0</v>
      </c>
      <c r="S237" s="666" t="s">
        <v>2055</v>
      </c>
      <c r="T237" s="1998">
        <v>353293</v>
      </c>
      <c r="U237" s="1998">
        <v>60610</v>
      </c>
      <c r="V237" s="1998">
        <v>0</v>
      </c>
      <c r="W237" s="1998">
        <v>0</v>
      </c>
      <c r="X237" s="1998">
        <v>0</v>
      </c>
      <c r="Y237" s="1998">
        <v>0</v>
      </c>
      <c r="Z237" s="1998">
        <v>144115</v>
      </c>
      <c r="AA237" s="1998">
        <v>0</v>
      </c>
      <c r="AB237" s="1998">
        <v>0</v>
      </c>
      <c r="AC237" s="1998">
        <v>0</v>
      </c>
      <c r="AD237" s="1998">
        <v>0</v>
      </c>
      <c r="AE237" s="1998">
        <v>0</v>
      </c>
      <c r="AF237" s="1998">
        <v>0</v>
      </c>
      <c r="AG237" s="1999">
        <v>269788</v>
      </c>
    </row>
    <row r="238" spans="1:33" x14ac:dyDescent="0.2">
      <c r="A238" s="666" t="s">
        <v>2056</v>
      </c>
      <c r="B238" s="1997">
        <v>0</v>
      </c>
      <c r="C238" s="1997">
        <v>0</v>
      </c>
      <c r="D238" s="1997">
        <v>0</v>
      </c>
      <c r="E238" s="1998">
        <v>0</v>
      </c>
      <c r="F238" s="1997">
        <v>0</v>
      </c>
      <c r="G238" s="1997">
        <v>0</v>
      </c>
      <c r="H238" s="1997">
        <v>0</v>
      </c>
      <c r="I238" s="1997">
        <v>0</v>
      </c>
      <c r="J238" s="1996">
        <v>0</v>
      </c>
      <c r="K238" s="1996">
        <v>0</v>
      </c>
      <c r="L238" s="1997">
        <v>0</v>
      </c>
      <c r="M238" s="1996">
        <v>0</v>
      </c>
      <c r="N238" s="1996">
        <v>0</v>
      </c>
      <c r="O238" s="1997">
        <v>0</v>
      </c>
      <c r="P238" s="666" t="s">
        <v>816</v>
      </c>
      <c r="Q238" s="1998">
        <v>353293</v>
      </c>
      <c r="R238" s="1998">
        <v>60610</v>
      </c>
      <c r="S238" s="1998">
        <v>0</v>
      </c>
      <c r="T238" s="1998">
        <v>0</v>
      </c>
      <c r="U238" s="1998">
        <v>0</v>
      </c>
      <c r="V238" s="1998">
        <v>0</v>
      </c>
      <c r="W238" s="1998">
        <v>144115</v>
      </c>
      <c r="X238" s="1998">
        <v>0</v>
      </c>
      <c r="Y238" s="1998">
        <v>0</v>
      </c>
      <c r="Z238" s="1998">
        <v>0</v>
      </c>
      <c r="AA238" s="1998">
        <v>0</v>
      </c>
      <c r="AB238" s="1998">
        <v>0</v>
      </c>
      <c r="AC238" s="1998">
        <v>0</v>
      </c>
      <c r="AD238" s="1998">
        <v>269788</v>
      </c>
      <c r="AE238" s="666"/>
      <c r="AF238" s="666"/>
      <c r="AG238" s="666"/>
    </row>
    <row r="239" spans="1:33" x14ac:dyDescent="0.2">
      <c r="A239" s="666" t="s">
        <v>2057</v>
      </c>
      <c r="B239" s="666" t="s">
        <v>35</v>
      </c>
      <c r="C239" s="666"/>
      <c r="D239" s="666"/>
      <c r="E239" s="1996">
        <v>0</v>
      </c>
      <c r="F239" s="1996">
        <v>0</v>
      </c>
      <c r="G239" s="1996">
        <v>0</v>
      </c>
      <c r="H239" s="1996">
        <v>0</v>
      </c>
      <c r="I239" s="1996">
        <v>0</v>
      </c>
      <c r="J239" s="1996">
        <v>0</v>
      </c>
      <c r="K239" s="1996">
        <v>0</v>
      </c>
      <c r="L239" s="1996">
        <v>0</v>
      </c>
      <c r="M239" s="1996">
        <v>0</v>
      </c>
      <c r="N239" s="1996">
        <v>0</v>
      </c>
      <c r="O239" s="1996">
        <v>0</v>
      </c>
      <c r="P239" s="1996">
        <v>0</v>
      </c>
      <c r="Q239" s="1996">
        <v>0</v>
      </c>
      <c r="R239" s="1997">
        <v>0</v>
      </c>
      <c r="S239" s="666" t="s">
        <v>2058</v>
      </c>
      <c r="T239" s="1998">
        <v>138450</v>
      </c>
      <c r="U239" s="1998">
        <v>92160</v>
      </c>
      <c r="V239" s="1998">
        <v>0</v>
      </c>
      <c r="W239" s="1998">
        <v>0</v>
      </c>
      <c r="X239" s="1998">
        <v>0</v>
      </c>
      <c r="Y239" s="1998">
        <v>0</v>
      </c>
      <c r="Z239" s="1998">
        <v>98312</v>
      </c>
      <c r="AA239" s="1998">
        <v>0</v>
      </c>
      <c r="AB239" s="1998">
        <v>0</v>
      </c>
      <c r="AC239" s="1998">
        <v>0</v>
      </c>
      <c r="AD239" s="1998">
        <v>0</v>
      </c>
      <c r="AE239" s="1998">
        <v>0</v>
      </c>
      <c r="AF239" s="1998">
        <v>0</v>
      </c>
      <c r="AG239" s="1999">
        <v>132298</v>
      </c>
    </row>
    <row r="240" spans="1:33" s="1845" customFormat="1" x14ac:dyDescent="0.2">
      <c r="A240" s="666" t="s">
        <v>2059</v>
      </c>
      <c r="B240" s="1997">
        <v>0</v>
      </c>
      <c r="C240" s="1997">
        <v>0</v>
      </c>
      <c r="D240" s="1997">
        <v>0</v>
      </c>
      <c r="E240" s="1998">
        <v>0</v>
      </c>
      <c r="F240" s="1997">
        <v>0</v>
      </c>
      <c r="G240" s="1997">
        <v>0</v>
      </c>
      <c r="H240" s="1997">
        <v>0</v>
      </c>
      <c r="I240" s="1997">
        <v>0</v>
      </c>
      <c r="J240" s="1996">
        <v>0</v>
      </c>
      <c r="K240" s="1996">
        <v>0</v>
      </c>
      <c r="L240" s="1997">
        <v>0</v>
      </c>
      <c r="M240" s="1996">
        <v>0</v>
      </c>
      <c r="N240" s="1996">
        <v>0</v>
      </c>
      <c r="O240" s="1997">
        <v>0</v>
      </c>
      <c r="P240" s="666" t="s">
        <v>813</v>
      </c>
      <c r="Q240" s="1998">
        <v>138450</v>
      </c>
      <c r="R240" s="1998">
        <v>92160</v>
      </c>
      <c r="S240" s="1998">
        <v>0</v>
      </c>
      <c r="T240" s="1998">
        <v>0</v>
      </c>
      <c r="U240" s="1998">
        <v>0</v>
      </c>
      <c r="V240" s="1998">
        <v>0</v>
      </c>
      <c r="W240" s="1998">
        <v>98312</v>
      </c>
      <c r="X240" s="1998">
        <v>0</v>
      </c>
      <c r="Y240" s="1998">
        <v>0</v>
      </c>
      <c r="Z240" s="1998">
        <v>0</v>
      </c>
      <c r="AA240" s="1998">
        <v>0</v>
      </c>
      <c r="AB240" s="1998">
        <v>0</v>
      </c>
      <c r="AC240" s="1998">
        <v>0</v>
      </c>
      <c r="AD240" s="1998">
        <v>132298</v>
      </c>
      <c r="AE240" s="666"/>
      <c r="AF240" s="666"/>
      <c r="AG240" s="666"/>
    </row>
    <row r="241" spans="1:33" s="1845" customFormat="1" x14ac:dyDescent="0.2">
      <c r="A241" s="666" t="s">
        <v>2060</v>
      </c>
      <c r="B241" s="666" t="s">
        <v>35</v>
      </c>
      <c r="C241" s="666"/>
      <c r="D241" s="666"/>
      <c r="E241" s="1996">
        <v>0</v>
      </c>
      <c r="F241" s="1996">
        <v>0</v>
      </c>
      <c r="G241" s="1996">
        <v>0</v>
      </c>
      <c r="H241" s="1996">
        <v>0</v>
      </c>
      <c r="I241" s="1996">
        <v>0</v>
      </c>
      <c r="J241" s="1996">
        <v>0</v>
      </c>
      <c r="K241" s="1996">
        <v>0</v>
      </c>
      <c r="L241" s="1996">
        <v>0</v>
      </c>
      <c r="M241" s="1996">
        <v>0</v>
      </c>
      <c r="N241" s="1996">
        <v>0</v>
      </c>
      <c r="O241" s="1996">
        <v>0</v>
      </c>
      <c r="P241" s="1996">
        <v>0</v>
      </c>
      <c r="Q241" s="1996">
        <v>0</v>
      </c>
      <c r="R241" s="1997">
        <v>0</v>
      </c>
      <c r="S241" s="666" t="s">
        <v>884</v>
      </c>
      <c r="T241" s="1998">
        <v>1173302</v>
      </c>
      <c r="U241" s="1998">
        <v>0</v>
      </c>
      <c r="V241" s="1998">
        <v>0</v>
      </c>
      <c r="W241" s="1998">
        <v>0</v>
      </c>
      <c r="X241" s="1998">
        <v>0</v>
      </c>
      <c r="Y241" s="1998">
        <v>0</v>
      </c>
      <c r="Z241" s="1998">
        <v>597250</v>
      </c>
      <c r="AA241" s="1998">
        <v>0</v>
      </c>
      <c r="AB241" s="1998">
        <v>0</v>
      </c>
      <c r="AC241" s="1998">
        <v>0</v>
      </c>
      <c r="AD241" s="1998">
        <v>393080</v>
      </c>
      <c r="AE241" s="1998">
        <v>0</v>
      </c>
      <c r="AF241" s="1998">
        <v>0</v>
      </c>
      <c r="AG241" s="1999">
        <v>182972</v>
      </c>
    </row>
    <row r="242" spans="1:33" s="1845" customFormat="1" ht="12.75" customHeight="1" x14ac:dyDescent="0.2">
      <c r="A242" s="666" t="s">
        <v>2061</v>
      </c>
      <c r="B242" s="666" t="s">
        <v>35</v>
      </c>
      <c r="C242" s="666"/>
      <c r="D242" s="666"/>
      <c r="E242" s="1996">
        <v>0</v>
      </c>
      <c r="F242" s="1996">
        <v>0</v>
      </c>
      <c r="G242" s="1996">
        <v>0</v>
      </c>
      <c r="H242" s="1996">
        <v>0</v>
      </c>
      <c r="I242" s="1996">
        <v>0</v>
      </c>
      <c r="J242" s="1996">
        <v>0</v>
      </c>
      <c r="K242" s="1996">
        <v>0</v>
      </c>
      <c r="L242" s="1996">
        <v>0</v>
      </c>
      <c r="M242" s="1996">
        <v>0</v>
      </c>
      <c r="N242" s="1996">
        <v>0</v>
      </c>
      <c r="O242" s="1996">
        <v>0</v>
      </c>
      <c r="P242" s="1996">
        <v>0</v>
      </c>
      <c r="Q242" s="1996">
        <v>0</v>
      </c>
      <c r="R242" s="1997">
        <v>0</v>
      </c>
      <c r="S242" s="666" t="s">
        <v>1562</v>
      </c>
      <c r="T242" s="1998">
        <v>22110246</v>
      </c>
      <c r="U242" s="1998">
        <v>0</v>
      </c>
      <c r="V242" s="1998">
        <v>0</v>
      </c>
      <c r="W242" s="1998">
        <v>0</v>
      </c>
      <c r="X242" s="1998">
        <v>0</v>
      </c>
      <c r="Y242" s="1998">
        <v>0</v>
      </c>
      <c r="Z242" s="1998">
        <v>3893811</v>
      </c>
      <c r="AA242" s="1998">
        <v>0</v>
      </c>
      <c r="AB242" s="1998">
        <v>0</v>
      </c>
      <c r="AC242" s="1998">
        <v>0</v>
      </c>
      <c r="AD242" s="1998">
        <v>0</v>
      </c>
      <c r="AE242" s="1998">
        <v>0</v>
      </c>
      <c r="AF242" s="1998">
        <v>0</v>
      </c>
      <c r="AG242" s="1999">
        <v>18216435</v>
      </c>
    </row>
    <row r="243" spans="1:33" s="1845" customFormat="1" x14ac:dyDescent="0.2">
      <c r="A243" s="666" t="s">
        <v>2062</v>
      </c>
      <c r="B243" s="666" t="s">
        <v>35</v>
      </c>
      <c r="C243" s="666"/>
      <c r="D243" s="666"/>
      <c r="E243" s="1996">
        <v>0</v>
      </c>
      <c r="F243" s="1996">
        <v>0</v>
      </c>
      <c r="G243" s="1996">
        <v>0</v>
      </c>
      <c r="H243" s="1996">
        <v>0</v>
      </c>
      <c r="I243" s="1996">
        <v>0</v>
      </c>
      <c r="J243" s="1996">
        <v>0</v>
      </c>
      <c r="K243" s="1996">
        <v>0</v>
      </c>
      <c r="L243" s="1996">
        <v>0</v>
      </c>
      <c r="M243" s="1996">
        <v>0</v>
      </c>
      <c r="N243" s="1996">
        <v>0</v>
      </c>
      <c r="O243" s="1996">
        <v>0</v>
      </c>
      <c r="P243" s="1996">
        <v>0</v>
      </c>
      <c r="Q243" s="1996">
        <v>0</v>
      </c>
      <c r="R243" s="1997">
        <v>0</v>
      </c>
      <c r="S243" s="666" t="s">
        <v>1610</v>
      </c>
      <c r="T243" s="1998">
        <v>451083</v>
      </c>
      <c r="U243" s="1998">
        <v>0</v>
      </c>
      <c r="V243" s="1998">
        <v>0</v>
      </c>
      <c r="W243" s="1998">
        <v>0</v>
      </c>
      <c r="X243" s="1998">
        <v>0</v>
      </c>
      <c r="Y243" s="1998">
        <v>0</v>
      </c>
      <c r="Z243" s="1998">
        <v>0</v>
      </c>
      <c r="AA243" s="1998">
        <v>0</v>
      </c>
      <c r="AB243" s="1998">
        <v>0</v>
      </c>
      <c r="AC243" s="1998">
        <v>0</v>
      </c>
      <c r="AD243" s="1998">
        <v>0</v>
      </c>
      <c r="AE243" s="1998">
        <v>0</v>
      </c>
      <c r="AF243" s="1998">
        <v>0</v>
      </c>
      <c r="AG243" s="1999">
        <v>451083</v>
      </c>
    </row>
    <row r="244" spans="1:33" x14ac:dyDescent="0.2">
      <c r="A244" s="666" t="s">
        <v>2063</v>
      </c>
      <c r="B244" s="666" t="s">
        <v>35</v>
      </c>
      <c r="C244" s="666"/>
      <c r="D244" s="666"/>
      <c r="E244" s="1996">
        <v>0</v>
      </c>
      <c r="F244" s="1996">
        <v>0</v>
      </c>
      <c r="G244" s="1996">
        <v>0</v>
      </c>
      <c r="H244" s="1996">
        <v>0</v>
      </c>
      <c r="I244" s="1996">
        <v>0</v>
      </c>
      <c r="J244" s="1996">
        <v>0</v>
      </c>
      <c r="K244" s="1996">
        <v>0</v>
      </c>
      <c r="L244" s="1996">
        <v>0</v>
      </c>
      <c r="M244" s="1996">
        <v>0</v>
      </c>
      <c r="N244" s="1996">
        <v>0</v>
      </c>
      <c r="O244" s="1996">
        <v>0</v>
      </c>
      <c r="P244" s="1996">
        <v>0</v>
      </c>
      <c r="Q244" s="1996">
        <v>0</v>
      </c>
      <c r="R244" s="1997">
        <v>0</v>
      </c>
      <c r="S244" s="666" t="s">
        <v>84</v>
      </c>
      <c r="T244" s="1998">
        <v>137379</v>
      </c>
      <c r="U244" s="1998">
        <v>0</v>
      </c>
      <c r="V244" s="1998">
        <v>0</v>
      </c>
      <c r="W244" s="1998">
        <v>0</v>
      </c>
      <c r="X244" s="1998">
        <v>393080</v>
      </c>
      <c r="Y244" s="1998">
        <v>0</v>
      </c>
      <c r="Z244" s="1998">
        <v>287116</v>
      </c>
      <c r="AA244" s="1998">
        <v>0</v>
      </c>
      <c r="AB244" s="1998">
        <v>0</v>
      </c>
      <c r="AC244" s="1998">
        <v>0</v>
      </c>
      <c r="AD244" s="1998">
        <v>0</v>
      </c>
      <c r="AE244" s="1998">
        <v>0</v>
      </c>
      <c r="AF244" s="1998">
        <v>0</v>
      </c>
      <c r="AG244" s="1999">
        <v>243343</v>
      </c>
    </row>
    <row r="245" spans="1:33" x14ac:dyDescent="0.2">
      <c r="A245" s="666" t="s">
        <v>2064</v>
      </c>
      <c r="B245" s="1997">
        <v>0</v>
      </c>
      <c r="C245" s="1997">
        <v>0</v>
      </c>
      <c r="D245" s="1997">
        <v>0</v>
      </c>
      <c r="E245" s="1998">
        <v>0</v>
      </c>
      <c r="F245" s="1997">
        <v>0</v>
      </c>
      <c r="G245" s="1997">
        <v>0</v>
      </c>
      <c r="H245" s="1997">
        <v>0</v>
      </c>
      <c r="I245" s="1997">
        <v>0</v>
      </c>
      <c r="J245" s="1996">
        <v>0</v>
      </c>
      <c r="K245" s="1996">
        <v>0</v>
      </c>
      <c r="L245" s="1997">
        <v>0</v>
      </c>
      <c r="M245" s="1996">
        <v>0</v>
      </c>
      <c r="N245" s="1996">
        <v>0</v>
      </c>
      <c r="O245" s="1997">
        <v>0</v>
      </c>
      <c r="P245" s="666" t="s">
        <v>804</v>
      </c>
      <c r="Q245" s="1998">
        <v>23872010</v>
      </c>
      <c r="R245" s="1998">
        <v>0</v>
      </c>
      <c r="S245" s="1998">
        <v>0</v>
      </c>
      <c r="T245" s="1998">
        <v>0</v>
      </c>
      <c r="U245" s="1998">
        <v>393080</v>
      </c>
      <c r="V245" s="1998">
        <v>0</v>
      </c>
      <c r="W245" s="1998">
        <v>4778177</v>
      </c>
      <c r="X245" s="1998">
        <v>0</v>
      </c>
      <c r="Y245" s="1998">
        <v>0</v>
      </c>
      <c r="Z245" s="1998">
        <v>0</v>
      </c>
      <c r="AA245" s="1998">
        <v>393080</v>
      </c>
      <c r="AB245" s="1998">
        <v>0</v>
      </c>
      <c r="AC245" s="1998">
        <v>0</v>
      </c>
      <c r="AD245" s="1998">
        <v>19093833</v>
      </c>
      <c r="AE245" s="666"/>
      <c r="AF245" s="666"/>
      <c r="AG245" s="666"/>
    </row>
    <row r="246" spans="1:33" x14ac:dyDescent="0.2">
      <c r="A246" s="666" t="s">
        <v>2065</v>
      </c>
      <c r="B246" s="666" t="s">
        <v>35</v>
      </c>
      <c r="C246" s="666"/>
      <c r="D246" s="666"/>
      <c r="E246" s="1996">
        <v>0</v>
      </c>
      <c r="F246" s="1996">
        <v>0</v>
      </c>
      <c r="G246" s="1996">
        <v>0</v>
      </c>
      <c r="H246" s="1996">
        <v>0</v>
      </c>
      <c r="I246" s="1996">
        <v>0</v>
      </c>
      <c r="J246" s="1996">
        <v>0</v>
      </c>
      <c r="K246" s="1996">
        <v>0</v>
      </c>
      <c r="L246" s="1996">
        <v>0</v>
      </c>
      <c r="M246" s="1996">
        <v>0</v>
      </c>
      <c r="N246" s="1996">
        <v>0</v>
      </c>
      <c r="O246" s="1996">
        <v>0</v>
      </c>
      <c r="P246" s="1996">
        <v>0</v>
      </c>
      <c r="Q246" s="1996">
        <v>0</v>
      </c>
      <c r="R246" s="1997">
        <v>0</v>
      </c>
      <c r="S246" s="666" t="s">
        <v>2066</v>
      </c>
      <c r="T246" s="1998">
        <v>0</v>
      </c>
      <c r="U246" s="1998">
        <v>127940</v>
      </c>
      <c r="V246" s="1998">
        <v>0</v>
      </c>
      <c r="W246" s="1998">
        <v>0</v>
      </c>
      <c r="X246" s="1998">
        <v>0</v>
      </c>
      <c r="Y246" s="1998">
        <v>0</v>
      </c>
      <c r="Z246" s="1998">
        <v>0</v>
      </c>
      <c r="AA246" s="1998">
        <v>0</v>
      </c>
      <c r="AB246" s="1998">
        <v>0</v>
      </c>
      <c r="AC246" s="1998">
        <v>0</v>
      </c>
      <c r="AD246" s="1998">
        <v>94960</v>
      </c>
      <c r="AE246" s="1998">
        <v>0</v>
      </c>
      <c r="AF246" s="1998">
        <v>0</v>
      </c>
      <c r="AG246" s="1999">
        <v>32980</v>
      </c>
    </row>
    <row r="247" spans="1:33" ht="12.75" customHeight="1" x14ac:dyDescent="0.2">
      <c r="A247" s="666" t="s">
        <v>2067</v>
      </c>
      <c r="B247" s="666" t="s">
        <v>35</v>
      </c>
      <c r="C247" s="666"/>
      <c r="D247" s="666"/>
      <c r="E247" s="1996">
        <v>0</v>
      </c>
      <c r="F247" s="1996">
        <v>0</v>
      </c>
      <c r="G247" s="1996">
        <v>0</v>
      </c>
      <c r="H247" s="1996">
        <v>0</v>
      </c>
      <c r="I247" s="1996">
        <v>0</v>
      </c>
      <c r="J247" s="1996">
        <v>0</v>
      </c>
      <c r="K247" s="1996">
        <v>0</v>
      </c>
      <c r="L247" s="1996">
        <v>0</v>
      </c>
      <c r="M247" s="1996">
        <v>0</v>
      </c>
      <c r="N247" s="1996">
        <v>0</v>
      </c>
      <c r="O247" s="1996">
        <v>0</v>
      </c>
      <c r="P247" s="1996">
        <v>0</v>
      </c>
      <c r="Q247" s="1996">
        <v>0</v>
      </c>
      <c r="R247" s="1997">
        <v>0</v>
      </c>
      <c r="S247" s="666" t="s">
        <v>2068</v>
      </c>
      <c r="T247" s="1998">
        <v>89933</v>
      </c>
      <c r="U247" s="1998">
        <v>0</v>
      </c>
      <c r="V247" s="1998">
        <v>0</v>
      </c>
      <c r="W247" s="1998">
        <v>0</v>
      </c>
      <c r="X247" s="1998">
        <v>94960</v>
      </c>
      <c r="Y247" s="1998">
        <v>0</v>
      </c>
      <c r="Z247" s="1998">
        <v>83939</v>
      </c>
      <c r="AA247" s="1998">
        <v>0</v>
      </c>
      <c r="AB247" s="1998">
        <v>0</v>
      </c>
      <c r="AC247" s="1998">
        <v>0</v>
      </c>
      <c r="AD247" s="1998">
        <v>0</v>
      </c>
      <c r="AE247" s="1998">
        <v>0</v>
      </c>
      <c r="AF247" s="1998">
        <v>0</v>
      </c>
      <c r="AG247" s="1999">
        <v>100954</v>
      </c>
    </row>
    <row r="248" spans="1:33" x14ac:dyDescent="0.2">
      <c r="A248" s="666" t="s">
        <v>2069</v>
      </c>
      <c r="B248" s="1997">
        <v>0</v>
      </c>
      <c r="C248" s="1997">
        <v>0</v>
      </c>
      <c r="D248" s="1997">
        <v>0</v>
      </c>
      <c r="E248" s="1998">
        <v>0</v>
      </c>
      <c r="F248" s="1997">
        <v>0</v>
      </c>
      <c r="G248" s="1997">
        <v>0</v>
      </c>
      <c r="H248" s="1997">
        <v>0</v>
      </c>
      <c r="I248" s="1997">
        <v>0</v>
      </c>
      <c r="J248" s="1996">
        <v>0</v>
      </c>
      <c r="K248" s="1996">
        <v>0</v>
      </c>
      <c r="L248" s="1997">
        <v>0</v>
      </c>
      <c r="M248" s="1996">
        <v>0</v>
      </c>
      <c r="N248" s="1996">
        <v>0</v>
      </c>
      <c r="O248" s="1997">
        <v>0</v>
      </c>
      <c r="P248" s="666" t="s">
        <v>815</v>
      </c>
      <c r="Q248" s="1998">
        <v>89933</v>
      </c>
      <c r="R248" s="1998">
        <v>127940</v>
      </c>
      <c r="S248" s="1998">
        <v>0</v>
      </c>
      <c r="T248" s="1998">
        <v>0</v>
      </c>
      <c r="U248" s="1998">
        <v>94960</v>
      </c>
      <c r="V248" s="1998">
        <v>0</v>
      </c>
      <c r="W248" s="1998">
        <v>83939</v>
      </c>
      <c r="X248" s="1998">
        <v>0</v>
      </c>
      <c r="Y248" s="1998">
        <v>0</v>
      </c>
      <c r="Z248" s="1998">
        <v>0</v>
      </c>
      <c r="AA248" s="1998">
        <v>94960</v>
      </c>
      <c r="AB248" s="1998">
        <v>0</v>
      </c>
      <c r="AC248" s="1998">
        <v>0</v>
      </c>
      <c r="AD248" s="1998">
        <v>133934</v>
      </c>
      <c r="AE248" s="666"/>
      <c r="AF248" s="666"/>
      <c r="AG248" s="666"/>
    </row>
    <row r="249" spans="1:33" x14ac:dyDescent="0.2">
      <c r="A249" s="666" t="s">
        <v>2070</v>
      </c>
      <c r="B249" s="666" t="s">
        <v>35</v>
      </c>
      <c r="C249" s="666"/>
      <c r="D249" s="666"/>
      <c r="E249" s="1996">
        <v>0</v>
      </c>
      <c r="F249" s="1996">
        <v>0</v>
      </c>
      <c r="G249" s="1996">
        <v>0</v>
      </c>
      <c r="H249" s="1996">
        <v>0</v>
      </c>
      <c r="I249" s="1996">
        <v>0</v>
      </c>
      <c r="J249" s="1996">
        <v>0</v>
      </c>
      <c r="K249" s="1996">
        <v>0</v>
      </c>
      <c r="L249" s="1996">
        <v>0</v>
      </c>
      <c r="M249" s="1996">
        <v>0</v>
      </c>
      <c r="N249" s="1996">
        <v>0</v>
      </c>
      <c r="O249" s="1996">
        <v>0</v>
      </c>
      <c r="P249" s="1996">
        <v>0</v>
      </c>
      <c r="Q249" s="1996">
        <v>0</v>
      </c>
      <c r="R249" s="1997">
        <v>0</v>
      </c>
      <c r="S249" s="666" t="s">
        <v>2071</v>
      </c>
      <c r="T249" s="1998">
        <v>72655</v>
      </c>
      <c r="U249" s="1998">
        <v>0</v>
      </c>
      <c r="V249" s="1998">
        <v>0</v>
      </c>
      <c r="W249" s="1998">
        <v>0</v>
      </c>
      <c r="X249" s="1998">
        <v>0</v>
      </c>
      <c r="Y249" s="1998">
        <v>0</v>
      </c>
      <c r="Z249" s="1998">
        <v>10885</v>
      </c>
      <c r="AA249" s="1998">
        <v>0</v>
      </c>
      <c r="AB249" s="1998">
        <v>0</v>
      </c>
      <c r="AC249" s="1998">
        <v>0</v>
      </c>
      <c r="AD249" s="1998">
        <v>0</v>
      </c>
      <c r="AE249" s="1998">
        <v>0</v>
      </c>
      <c r="AF249" s="1998">
        <v>0</v>
      </c>
      <c r="AG249" s="1999">
        <v>61770</v>
      </c>
    </row>
    <row r="250" spans="1:33" x14ac:dyDescent="0.2">
      <c r="A250" s="666" t="s">
        <v>2072</v>
      </c>
      <c r="B250" s="1997">
        <v>0</v>
      </c>
      <c r="C250" s="1997">
        <v>0</v>
      </c>
      <c r="D250" s="1997">
        <v>0</v>
      </c>
      <c r="E250" s="1998">
        <v>0</v>
      </c>
      <c r="F250" s="1997">
        <v>0</v>
      </c>
      <c r="G250" s="1997">
        <v>0</v>
      </c>
      <c r="H250" s="1997">
        <v>0</v>
      </c>
      <c r="I250" s="1997">
        <v>0</v>
      </c>
      <c r="J250" s="1996">
        <v>0</v>
      </c>
      <c r="K250" s="1996">
        <v>0</v>
      </c>
      <c r="L250" s="1997">
        <v>0</v>
      </c>
      <c r="M250" s="1996">
        <v>0</v>
      </c>
      <c r="N250" s="1996">
        <v>0</v>
      </c>
      <c r="O250" s="1997">
        <v>0</v>
      </c>
      <c r="P250" s="666" t="s">
        <v>1437</v>
      </c>
      <c r="Q250" s="1998">
        <v>72655</v>
      </c>
      <c r="R250" s="1998">
        <v>0</v>
      </c>
      <c r="S250" s="1998">
        <v>0</v>
      </c>
      <c r="T250" s="1998">
        <v>0</v>
      </c>
      <c r="U250" s="1998">
        <v>0</v>
      </c>
      <c r="V250" s="1998">
        <v>0</v>
      </c>
      <c r="W250" s="1998">
        <v>10885</v>
      </c>
      <c r="X250" s="1998">
        <v>0</v>
      </c>
      <c r="Y250" s="1998">
        <v>0</v>
      </c>
      <c r="Z250" s="1998">
        <v>0</v>
      </c>
      <c r="AA250" s="1998">
        <v>0</v>
      </c>
      <c r="AB250" s="1998">
        <v>0</v>
      </c>
      <c r="AC250" s="1998">
        <v>0</v>
      </c>
      <c r="AD250" s="1998">
        <v>61770</v>
      </c>
      <c r="AE250" s="666"/>
      <c r="AF250" s="666"/>
      <c r="AG250" s="666"/>
    </row>
    <row r="251" spans="1:33" ht="12.75" customHeight="1" x14ac:dyDescent="0.2">
      <c r="A251" s="666" t="s">
        <v>2073</v>
      </c>
      <c r="B251" s="666" t="s">
        <v>35</v>
      </c>
      <c r="C251" s="666"/>
      <c r="D251" s="666"/>
      <c r="E251" s="1996">
        <v>0</v>
      </c>
      <c r="F251" s="1996">
        <v>0</v>
      </c>
      <c r="G251" s="1996">
        <v>0</v>
      </c>
      <c r="H251" s="1996">
        <v>0</v>
      </c>
      <c r="I251" s="1996">
        <v>0</v>
      </c>
      <c r="J251" s="1996">
        <v>0</v>
      </c>
      <c r="K251" s="1996">
        <v>0</v>
      </c>
      <c r="L251" s="1996">
        <v>0</v>
      </c>
      <c r="M251" s="1996">
        <v>0</v>
      </c>
      <c r="N251" s="1996">
        <v>0</v>
      </c>
      <c r="O251" s="1996">
        <v>0</v>
      </c>
      <c r="P251" s="1996">
        <v>0</v>
      </c>
      <c r="Q251" s="1996">
        <v>0</v>
      </c>
      <c r="R251" s="1997">
        <v>0</v>
      </c>
      <c r="S251" s="666" t="s">
        <v>2074</v>
      </c>
      <c r="T251" s="1998">
        <v>2212115</v>
      </c>
      <c r="U251" s="1998">
        <v>0</v>
      </c>
      <c r="V251" s="1998">
        <v>0</v>
      </c>
      <c r="W251" s="1998">
        <v>0</v>
      </c>
      <c r="X251" s="1998">
        <v>0</v>
      </c>
      <c r="Y251" s="1998">
        <v>0</v>
      </c>
      <c r="Z251" s="1998">
        <v>295462</v>
      </c>
      <c r="AA251" s="1998">
        <v>0</v>
      </c>
      <c r="AB251" s="1998">
        <v>0</v>
      </c>
      <c r="AC251" s="1998">
        <v>0</v>
      </c>
      <c r="AD251" s="1998">
        <v>0</v>
      </c>
      <c r="AE251" s="1998">
        <v>0</v>
      </c>
      <c r="AF251" s="1998">
        <v>0</v>
      </c>
      <c r="AG251" s="1999">
        <v>1916653</v>
      </c>
    </row>
    <row r="252" spans="1:33" ht="12.75" customHeight="1" x14ac:dyDescent="0.2">
      <c r="A252" s="666" t="s">
        <v>2075</v>
      </c>
      <c r="B252" s="1997">
        <v>0</v>
      </c>
      <c r="C252" s="1997">
        <v>0</v>
      </c>
      <c r="D252" s="1997">
        <v>0</v>
      </c>
      <c r="E252" s="1998">
        <v>0</v>
      </c>
      <c r="F252" s="1997">
        <v>0</v>
      </c>
      <c r="G252" s="1997">
        <v>0</v>
      </c>
      <c r="H252" s="1997">
        <v>0</v>
      </c>
      <c r="I252" s="1997">
        <v>0</v>
      </c>
      <c r="J252" s="1996">
        <v>0</v>
      </c>
      <c r="K252" s="1996">
        <v>0</v>
      </c>
      <c r="L252" s="1997">
        <v>0</v>
      </c>
      <c r="M252" s="1996">
        <v>0</v>
      </c>
      <c r="N252" s="1996">
        <v>0</v>
      </c>
      <c r="O252" s="1997">
        <v>0</v>
      </c>
      <c r="P252" s="666" t="s">
        <v>808</v>
      </c>
      <c r="Q252" s="1998">
        <v>2212115</v>
      </c>
      <c r="R252" s="1998">
        <v>0</v>
      </c>
      <c r="S252" s="1998">
        <v>0</v>
      </c>
      <c r="T252" s="1998">
        <v>0</v>
      </c>
      <c r="U252" s="1998">
        <v>0</v>
      </c>
      <c r="V252" s="1998">
        <v>0</v>
      </c>
      <c r="W252" s="1998">
        <v>295462</v>
      </c>
      <c r="X252" s="1998">
        <v>0</v>
      </c>
      <c r="Y252" s="1998">
        <v>0</v>
      </c>
      <c r="Z252" s="1998">
        <v>0</v>
      </c>
      <c r="AA252" s="1998">
        <v>0</v>
      </c>
      <c r="AB252" s="1998">
        <v>0</v>
      </c>
      <c r="AC252" s="1998">
        <v>0</v>
      </c>
      <c r="AD252" s="1998">
        <v>1916653</v>
      </c>
      <c r="AE252" s="666"/>
      <c r="AF252" s="666"/>
      <c r="AG252" s="666"/>
    </row>
    <row r="253" spans="1:33" x14ac:dyDescent="0.2">
      <c r="A253" s="666" t="s">
        <v>2076</v>
      </c>
      <c r="B253" s="666" t="s">
        <v>35</v>
      </c>
      <c r="C253" s="666"/>
      <c r="D253" s="666"/>
      <c r="E253" s="1996">
        <v>0</v>
      </c>
      <c r="F253" s="1996">
        <v>0</v>
      </c>
      <c r="G253" s="1996">
        <v>0</v>
      </c>
      <c r="H253" s="1996">
        <v>0</v>
      </c>
      <c r="I253" s="1996">
        <v>0</v>
      </c>
      <c r="J253" s="1996">
        <v>0</v>
      </c>
      <c r="K253" s="1996">
        <v>0</v>
      </c>
      <c r="L253" s="1996">
        <v>0</v>
      </c>
      <c r="M253" s="1996">
        <v>0</v>
      </c>
      <c r="N253" s="1996">
        <v>0</v>
      </c>
      <c r="O253" s="1996">
        <v>0</v>
      </c>
      <c r="P253" s="1996">
        <v>0</v>
      </c>
      <c r="Q253" s="1996">
        <v>0</v>
      </c>
      <c r="R253" s="1997">
        <v>0</v>
      </c>
      <c r="S253" s="666" t="s">
        <v>2077</v>
      </c>
      <c r="T253" s="1998">
        <v>520476</v>
      </c>
      <c r="U253" s="1998">
        <v>418228</v>
      </c>
      <c r="V253" s="1998">
        <v>0</v>
      </c>
      <c r="W253" s="1998">
        <v>0</v>
      </c>
      <c r="X253" s="1998">
        <v>0</v>
      </c>
      <c r="Y253" s="1998">
        <v>0</v>
      </c>
      <c r="Z253" s="1998">
        <v>433874</v>
      </c>
      <c r="AA253" s="1998">
        <v>0</v>
      </c>
      <c r="AB253" s="1998">
        <v>0</v>
      </c>
      <c r="AC253" s="1998">
        <v>0</v>
      </c>
      <c r="AD253" s="1998">
        <v>0</v>
      </c>
      <c r="AE253" s="1998">
        <v>0</v>
      </c>
      <c r="AF253" s="1998">
        <v>0</v>
      </c>
      <c r="AG253" s="1999">
        <v>504830</v>
      </c>
    </row>
    <row r="254" spans="1:33" x14ac:dyDescent="0.2">
      <c r="A254" s="666" t="s">
        <v>2078</v>
      </c>
      <c r="B254" s="1997">
        <v>0</v>
      </c>
      <c r="C254" s="1997">
        <v>0</v>
      </c>
      <c r="D254" s="1997">
        <v>0</v>
      </c>
      <c r="E254" s="1998">
        <v>0</v>
      </c>
      <c r="F254" s="1997">
        <v>0</v>
      </c>
      <c r="G254" s="1997">
        <v>0</v>
      </c>
      <c r="H254" s="1997">
        <v>0</v>
      </c>
      <c r="I254" s="1997">
        <v>0</v>
      </c>
      <c r="J254" s="1996">
        <v>0</v>
      </c>
      <c r="K254" s="1996">
        <v>0</v>
      </c>
      <c r="L254" s="1997">
        <v>0</v>
      </c>
      <c r="M254" s="1996">
        <v>0</v>
      </c>
      <c r="N254" s="1996">
        <v>0</v>
      </c>
      <c r="O254" s="1997">
        <v>0</v>
      </c>
      <c r="P254" s="666" t="s">
        <v>1379</v>
      </c>
      <c r="Q254" s="1998">
        <v>520476</v>
      </c>
      <c r="R254" s="1998">
        <v>418228</v>
      </c>
      <c r="S254" s="1998">
        <v>0</v>
      </c>
      <c r="T254" s="1998">
        <v>0</v>
      </c>
      <c r="U254" s="1998">
        <v>0</v>
      </c>
      <c r="V254" s="1998">
        <v>0</v>
      </c>
      <c r="W254" s="1998">
        <v>433874</v>
      </c>
      <c r="X254" s="1998">
        <v>0</v>
      </c>
      <c r="Y254" s="1998">
        <v>0</v>
      </c>
      <c r="Z254" s="1998">
        <v>0</v>
      </c>
      <c r="AA254" s="1998">
        <v>0</v>
      </c>
      <c r="AB254" s="1998">
        <v>0</v>
      </c>
      <c r="AC254" s="1998">
        <v>0</v>
      </c>
      <c r="AD254" s="1998">
        <v>504830</v>
      </c>
      <c r="AE254" s="666"/>
      <c r="AF254" s="666"/>
      <c r="AG254" s="666"/>
    </row>
    <row r="255" spans="1:33" x14ac:dyDescent="0.2">
      <c r="A255" s="666" t="s">
        <v>2079</v>
      </c>
      <c r="B255" s="666" t="s">
        <v>35</v>
      </c>
      <c r="C255" s="666"/>
      <c r="D255" s="666"/>
      <c r="E255" s="1996">
        <v>0</v>
      </c>
      <c r="F255" s="1996">
        <v>0</v>
      </c>
      <c r="G255" s="1996">
        <v>0</v>
      </c>
      <c r="H255" s="1996">
        <v>0</v>
      </c>
      <c r="I255" s="1996">
        <v>0</v>
      </c>
      <c r="J255" s="1996">
        <v>0</v>
      </c>
      <c r="K255" s="1996">
        <v>0</v>
      </c>
      <c r="L255" s="1996">
        <v>0</v>
      </c>
      <c r="M255" s="1996">
        <v>0</v>
      </c>
      <c r="N255" s="1996">
        <v>0</v>
      </c>
      <c r="O255" s="1996">
        <v>0</v>
      </c>
      <c r="P255" s="1996">
        <v>0</v>
      </c>
      <c r="Q255" s="1996">
        <v>0</v>
      </c>
      <c r="R255" s="1997">
        <v>0</v>
      </c>
      <c r="S255" s="666" t="s">
        <v>55</v>
      </c>
      <c r="T255" s="1998">
        <v>18924</v>
      </c>
      <c r="U255" s="1998">
        <v>0</v>
      </c>
      <c r="V255" s="1998">
        <v>0</v>
      </c>
      <c r="W255" s="1998">
        <v>0</v>
      </c>
      <c r="X255" s="1998">
        <v>0</v>
      </c>
      <c r="Y255" s="1998">
        <v>0</v>
      </c>
      <c r="Z255" s="1998">
        <v>6929</v>
      </c>
      <c r="AA255" s="1998">
        <v>0</v>
      </c>
      <c r="AB255" s="1998">
        <v>0</v>
      </c>
      <c r="AC255" s="1998">
        <v>0</v>
      </c>
      <c r="AD255" s="1998">
        <v>0</v>
      </c>
      <c r="AE255" s="1998">
        <v>0</v>
      </c>
      <c r="AF255" s="1998">
        <v>0</v>
      </c>
      <c r="AG255" s="1999">
        <v>11995</v>
      </c>
    </row>
    <row r="256" spans="1:33" x14ac:dyDescent="0.2">
      <c r="A256" s="666" t="s">
        <v>2080</v>
      </c>
      <c r="B256" s="1997">
        <v>0</v>
      </c>
      <c r="C256" s="1997">
        <v>0</v>
      </c>
      <c r="D256" s="1997">
        <v>0</v>
      </c>
      <c r="E256" s="1998">
        <v>0</v>
      </c>
      <c r="F256" s="1997">
        <v>0</v>
      </c>
      <c r="G256" s="1997">
        <v>0</v>
      </c>
      <c r="H256" s="1997">
        <v>0</v>
      </c>
      <c r="I256" s="1997">
        <v>0</v>
      </c>
      <c r="J256" s="1996">
        <v>0</v>
      </c>
      <c r="K256" s="1996">
        <v>0</v>
      </c>
      <c r="L256" s="1997">
        <v>0</v>
      </c>
      <c r="M256" s="1996">
        <v>0</v>
      </c>
      <c r="N256" s="1996">
        <v>0</v>
      </c>
      <c r="O256" s="1997">
        <v>0</v>
      </c>
      <c r="P256" s="666" t="s">
        <v>830</v>
      </c>
      <c r="Q256" s="1998">
        <v>18924</v>
      </c>
      <c r="R256" s="1998">
        <v>0</v>
      </c>
      <c r="S256" s="1998">
        <v>0</v>
      </c>
      <c r="T256" s="1998">
        <v>0</v>
      </c>
      <c r="U256" s="1998">
        <v>0</v>
      </c>
      <c r="V256" s="1998">
        <v>0</v>
      </c>
      <c r="W256" s="1998">
        <v>6929</v>
      </c>
      <c r="X256" s="1998">
        <v>0</v>
      </c>
      <c r="Y256" s="1998">
        <v>0</v>
      </c>
      <c r="Z256" s="1998">
        <v>0</v>
      </c>
      <c r="AA256" s="1998">
        <v>0</v>
      </c>
      <c r="AB256" s="1998">
        <v>0</v>
      </c>
      <c r="AC256" s="1998">
        <v>0</v>
      </c>
      <c r="AD256" s="1998">
        <v>11995</v>
      </c>
      <c r="AE256" s="666"/>
      <c r="AF256" s="666"/>
      <c r="AG256" s="666"/>
    </row>
    <row r="257" spans="1:33" ht="12.75" customHeight="1" x14ac:dyDescent="0.2">
      <c r="A257" s="666" t="s">
        <v>2081</v>
      </c>
      <c r="B257" s="666" t="s">
        <v>35</v>
      </c>
      <c r="C257" s="666"/>
      <c r="D257" s="666"/>
      <c r="E257" s="1996">
        <v>0</v>
      </c>
      <c r="F257" s="1996">
        <v>0</v>
      </c>
      <c r="G257" s="1996">
        <v>0</v>
      </c>
      <c r="H257" s="1996">
        <v>0</v>
      </c>
      <c r="I257" s="1996">
        <v>0</v>
      </c>
      <c r="J257" s="1996">
        <v>0</v>
      </c>
      <c r="K257" s="1996">
        <v>0</v>
      </c>
      <c r="L257" s="1996">
        <v>0</v>
      </c>
      <c r="M257" s="1996">
        <v>0</v>
      </c>
      <c r="N257" s="1996">
        <v>0</v>
      </c>
      <c r="O257" s="1996">
        <v>0</v>
      </c>
      <c r="P257" s="1996">
        <v>0</v>
      </c>
      <c r="Q257" s="1996">
        <v>0</v>
      </c>
      <c r="R257" s="1997">
        <v>0</v>
      </c>
      <c r="S257" s="666" t="s">
        <v>2082</v>
      </c>
      <c r="T257" s="1998">
        <v>243858</v>
      </c>
      <c r="U257" s="1998">
        <v>0</v>
      </c>
      <c r="V257" s="1998">
        <v>0</v>
      </c>
      <c r="W257" s="1998">
        <v>0</v>
      </c>
      <c r="X257" s="1998">
        <v>0</v>
      </c>
      <c r="Y257" s="1998">
        <v>0</v>
      </c>
      <c r="Z257" s="1998">
        <v>63577</v>
      </c>
      <c r="AA257" s="1998">
        <v>0</v>
      </c>
      <c r="AB257" s="1998">
        <v>0</v>
      </c>
      <c r="AC257" s="1998">
        <v>0</v>
      </c>
      <c r="AD257" s="1998">
        <v>0</v>
      </c>
      <c r="AE257" s="1998">
        <v>0</v>
      </c>
      <c r="AF257" s="1998">
        <v>0</v>
      </c>
      <c r="AG257" s="1999">
        <v>180281</v>
      </c>
    </row>
    <row r="258" spans="1:33" x14ac:dyDescent="0.2">
      <c r="A258" s="666" t="s">
        <v>2083</v>
      </c>
      <c r="B258" s="1997">
        <v>0</v>
      </c>
      <c r="C258" s="1997">
        <v>0</v>
      </c>
      <c r="D258" s="1997">
        <v>0</v>
      </c>
      <c r="E258" s="1998">
        <v>0</v>
      </c>
      <c r="F258" s="1997">
        <v>0</v>
      </c>
      <c r="G258" s="1997">
        <v>0</v>
      </c>
      <c r="H258" s="1997">
        <v>0</v>
      </c>
      <c r="I258" s="1997">
        <v>0</v>
      </c>
      <c r="J258" s="1996">
        <v>0</v>
      </c>
      <c r="K258" s="1996">
        <v>0</v>
      </c>
      <c r="L258" s="1997">
        <v>0</v>
      </c>
      <c r="M258" s="1996">
        <v>0</v>
      </c>
      <c r="N258" s="1996">
        <v>0</v>
      </c>
      <c r="O258" s="1997">
        <v>0</v>
      </c>
      <c r="P258" s="666" t="s">
        <v>810</v>
      </c>
      <c r="Q258" s="1998">
        <v>243858</v>
      </c>
      <c r="R258" s="1998">
        <v>0</v>
      </c>
      <c r="S258" s="1998">
        <v>0</v>
      </c>
      <c r="T258" s="1998">
        <v>0</v>
      </c>
      <c r="U258" s="1998">
        <v>0</v>
      </c>
      <c r="V258" s="1998">
        <v>0</v>
      </c>
      <c r="W258" s="1998">
        <v>63577</v>
      </c>
      <c r="X258" s="1998">
        <v>0</v>
      </c>
      <c r="Y258" s="1998">
        <v>0</v>
      </c>
      <c r="Z258" s="1998">
        <v>0</v>
      </c>
      <c r="AA258" s="1998">
        <v>0</v>
      </c>
      <c r="AB258" s="1998">
        <v>0</v>
      </c>
      <c r="AC258" s="1998">
        <v>0</v>
      </c>
      <c r="AD258" s="1998">
        <v>180281</v>
      </c>
      <c r="AE258" s="666"/>
      <c r="AF258" s="666"/>
      <c r="AG258" s="666"/>
    </row>
    <row r="259" spans="1:33" x14ac:dyDescent="0.2">
      <c r="A259" s="666" t="s">
        <v>2084</v>
      </c>
      <c r="B259" s="666" t="s">
        <v>35</v>
      </c>
      <c r="C259" s="666"/>
      <c r="D259" s="666"/>
      <c r="E259" s="1996">
        <v>0</v>
      </c>
      <c r="F259" s="1996">
        <v>0</v>
      </c>
      <c r="G259" s="1996">
        <v>0</v>
      </c>
      <c r="H259" s="1996">
        <v>0</v>
      </c>
      <c r="I259" s="1996">
        <v>0</v>
      </c>
      <c r="J259" s="1996">
        <v>0</v>
      </c>
      <c r="K259" s="1996">
        <v>0</v>
      </c>
      <c r="L259" s="1996">
        <v>0</v>
      </c>
      <c r="M259" s="1996">
        <v>0</v>
      </c>
      <c r="N259" s="1996">
        <v>0</v>
      </c>
      <c r="O259" s="1996">
        <v>0</v>
      </c>
      <c r="P259" s="1996">
        <v>0</v>
      </c>
      <c r="Q259" s="1996">
        <v>0</v>
      </c>
      <c r="R259" s="1997">
        <v>0</v>
      </c>
      <c r="S259" s="666" t="s">
        <v>2085</v>
      </c>
      <c r="T259" s="1998">
        <v>350955</v>
      </c>
      <c r="U259" s="1998">
        <v>173360</v>
      </c>
      <c r="V259" s="1998">
        <v>0</v>
      </c>
      <c r="W259" s="1998">
        <v>0</v>
      </c>
      <c r="X259" s="1998">
        <v>0</v>
      </c>
      <c r="Y259" s="1998">
        <v>0</v>
      </c>
      <c r="Z259" s="1998">
        <v>278932</v>
      </c>
      <c r="AA259" s="1998">
        <v>0</v>
      </c>
      <c r="AB259" s="1998">
        <v>0</v>
      </c>
      <c r="AC259" s="1998">
        <v>0</v>
      </c>
      <c r="AD259" s="1998">
        <v>0</v>
      </c>
      <c r="AE259" s="1998">
        <v>0</v>
      </c>
      <c r="AF259" s="1998">
        <v>0</v>
      </c>
      <c r="AG259" s="1999">
        <v>245383</v>
      </c>
    </row>
    <row r="260" spans="1:33" x14ac:dyDescent="0.2">
      <c r="A260" s="666" t="s">
        <v>2086</v>
      </c>
      <c r="B260" s="666" t="s">
        <v>35</v>
      </c>
      <c r="C260" s="666"/>
      <c r="D260" s="666"/>
      <c r="E260" s="1996">
        <v>0</v>
      </c>
      <c r="F260" s="1996">
        <v>0</v>
      </c>
      <c r="G260" s="1996">
        <v>0</v>
      </c>
      <c r="H260" s="1996">
        <v>0</v>
      </c>
      <c r="I260" s="1996">
        <v>0</v>
      </c>
      <c r="J260" s="1996">
        <v>0</v>
      </c>
      <c r="K260" s="1996">
        <v>0</v>
      </c>
      <c r="L260" s="1996">
        <v>0</v>
      </c>
      <c r="M260" s="1996">
        <v>0</v>
      </c>
      <c r="N260" s="1996">
        <v>0</v>
      </c>
      <c r="O260" s="1996">
        <v>0</v>
      </c>
      <c r="P260" s="1996">
        <v>0</v>
      </c>
      <c r="Q260" s="1996">
        <v>0</v>
      </c>
      <c r="R260" s="1997">
        <v>0</v>
      </c>
      <c r="S260" s="666" t="s">
        <v>2087</v>
      </c>
      <c r="T260" s="1998">
        <v>24768</v>
      </c>
      <c r="U260" s="1998">
        <v>183040</v>
      </c>
      <c r="V260" s="1998">
        <v>0</v>
      </c>
      <c r="W260" s="1998">
        <v>0</v>
      </c>
      <c r="X260" s="1998">
        <v>0</v>
      </c>
      <c r="Y260" s="1998">
        <v>0</v>
      </c>
      <c r="Z260" s="1998">
        <v>24768</v>
      </c>
      <c r="AA260" s="1998">
        <v>0</v>
      </c>
      <c r="AB260" s="1998">
        <v>0</v>
      </c>
      <c r="AC260" s="1998">
        <v>0</v>
      </c>
      <c r="AD260" s="1998">
        <v>0</v>
      </c>
      <c r="AE260" s="1998">
        <v>0</v>
      </c>
      <c r="AF260" s="1998">
        <v>0</v>
      </c>
      <c r="AG260" s="1999">
        <v>183040</v>
      </c>
    </row>
    <row r="261" spans="1:33" ht="12.75" customHeight="1" x14ac:dyDescent="0.2">
      <c r="A261" s="666" t="s">
        <v>2088</v>
      </c>
      <c r="B261" s="1997">
        <v>0</v>
      </c>
      <c r="C261" s="1997">
        <v>0</v>
      </c>
      <c r="D261" s="1997">
        <v>0</v>
      </c>
      <c r="E261" s="1998">
        <v>0</v>
      </c>
      <c r="F261" s="1997">
        <v>0</v>
      </c>
      <c r="G261" s="1997">
        <v>0</v>
      </c>
      <c r="H261" s="1997">
        <v>0</v>
      </c>
      <c r="I261" s="1997">
        <v>0</v>
      </c>
      <c r="J261" s="1996">
        <v>0</v>
      </c>
      <c r="K261" s="1996">
        <v>0</v>
      </c>
      <c r="L261" s="1997">
        <v>0</v>
      </c>
      <c r="M261" s="1996">
        <v>0</v>
      </c>
      <c r="N261" s="1996">
        <v>0</v>
      </c>
      <c r="O261" s="1997">
        <v>0</v>
      </c>
      <c r="P261" s="666" t="s">
        <v>809</v>
      </c>
      <c r="Q261" s="1998">
        <v>375723</v>
      </c>
      <c r="R261" s="1998">
        <v>356400</v>
      </c>
      <c r="S261" s="1998">
        <v>0</v>
      </c>
      <c r="T261" s="1998">
        <v>0</v>
      </c>
      <c r="U261" s="1998">
        <v>0</v>
      </c>
      <c r="V261" s="1998">
        <v>0</v>
      </c>
      <c r="W261" s="1998">
        <v>303700</v>
      </c>
      <c r="X261" s="1998">
        <v>0</v>
      </c>
      <c r="Y261" s="1998">
        <v>0</v>
      </c>
      <c r="Z261" s="1998">
        <v>0</v>
      </c>
      <c r="AA261" s="1998">
        <v>0</v>
      </c>
      <c r="AB261" s="1998">
        <v>0</v>
      </c>
      <c r="AC261" s="1998">
        <v>0</v>
      </c>
      <c r="AD261" s="1998">
        <v>428423</v>
      </c>
      <c r="AE261" s="666"/>
      <c r="AF261" s="666"/>
      <c r="AG261" s="666"/>
    </row>
    <row r="262" spans="1:33" ht="12.75" customHeight="1" x14ac:dyDescent="0.2">
      <c r="A262" s="666" t="s">
        <v>2089</v>
      </c>
      <c r="B262" s="666" t="s">
        <v>35</v>
      </c>
      <c r="C262" s="666"/>
      <c r="D262" s="666"/>
      <c r="E262" s="1996">
        <v>0</v>
      </c>
      <c r="F262" s="1996">
        <v>0</v>
      </c>
      <c r="G262" s="1996">
        <v>0</v>
      </c>
      <c r="H262" s="1996">
        <v>0</v>
      </c>
      <c r="I262" s="1996">
        <v>0</v>
      </c>
      <c r="J262" s="1996">
        <v>0</v>
      </c>
      <c r="K262" s="1996">
        <v>0</v>
      </c>
      <c r="L262" s="1996">
        <v>0</v>
      </c>
      <c r="M262" s="1996">
        <v>0</v>
      </c>
      <c r="N262" s="1996">
        <v>0</v>
      </c>
      <c r="O262" s="1996">
        <v>0</v>
      </c>
      <c r="P262" s="1996">
        <v>0</v>
      </c>
      <c r="Q262" s="1996">
        <v>0</v>
      </c>
      <c r="R262" s="1997">
        <v>0</v>
      </c>
      <c r="S262" s="666" t="s">
        <v>2090</v>
      </c>
      <c r="T262" s="1998">
        <v>85733</v>
      </c>
      <c r="U262" s="1998">
        <v>62990</v>
      </c>
      <c r="V262" s="1998">
        <v>0</v>
      </c>
      <c r="W262" s="1998">
        <v>0</v>
      </c>
      <c r="X262" s="1998">
        <v>0</v>
      </c>
      <c r="Y262" s="1998">
        <v>0</v>
      </c>
      <c r="Z262" s="1998">
        <v>46733</v>
      </c>
      <c r="AA262" s="1998">
        <v>0</v>
      </c>
      <c r="AB262" s="1998">
        <v>0</v>
      </c>
      <c r="AC262" s="1998">
        <v>0</v>
      </c>
      <c r="AD262" s="1998">
        <v>0</v>
      </c>
      <c r="AE262" s="1998">
        <v>0</v>
      </c>
      <c r="AF262" s="1998">
        <v>0</v>
      </c>
      <c r="AG262" s="1999">
        <v>101990</v>
      </c>
    </row>
    <row r="263" spans="1:33" x14ac:dyDescent="0.2">
      <c r="A263" s="666" t="s">
        <v>2091</v>
      </c>
      <c r="B263" s="1997">
        <v>0</v>
      </c>
      <c r="C263" s="1997">
        <v>0</v>
      </c>
      <c r="D263" s="1997">
        <v>0</v>
      </c>
      <c r="E263" s="1998">
        <v>0</v>
      </c>
      <c r="F263" s="1997">
        <v>0</v>
      </c>
      <c r="G263" s="1997">
        <v>0</v>
      </c>
      <c r="H263" s="1997">
        <v>0</v>
      </c>
      <c r="I263" s="1997">
        <v>0</v>
      </c>
      <c r="J263" s="1996">
        <v>0</v>
      </c>
      <c r="K263" s="1996">
        <v>0</v>
      </c>
      <c r="L263" s="1997">
        <v>0</v>
      </c>
      <c r="M263" s="1996">
        <v>0</v>
      </c>
      <c r="N263" s="1996">
        <v>0</v>
      </c>
      <c r="O263" s="1997">
        <v>0</v>
      </c>
      <c r="P263" s="666" t="s">
        <v>814</v>
      </c>
      <c r="Q263" s="1998">
        <v>85733</v>
      </c>
      <c r="R263" s="1998">
        <v>62990</v>
      </c>
      <c r="S263" s="1998">
        <v>0</v>
      </c>
      <c r="T263" s="1998">
        <v>0</v>
      </c>
      <c r="U263" s="1998">
        <v>0</v>
      </c>
      <c r="V263" s="1998">
        <v>0</v>
      </c>
      <c r="W263" s="1998">
        <v>46733</v>
      </c>
      <c r="X263" s="1998">
        <v>0</v>
      </c>
      <c r="Y263" s="1998">
        <v>0</v>
      </c>
      <c r="Z263" s="1998">
        <v>0</v>
      </c>
      <c r="AA263" s="1998">
        <v>0</v>
      </c>
      <c r="AB263" s="1998">
        <v>0</v>
      </c>
      <c r="AC263" s="1998">
        <v>0</v>
      </c>
      <c r="AD263" s="1998">
        <v>101990</v>
      </c>
      <c r="AE263" s="666"/>
      <c r="AF263" s="666"/>
      <c r="AG263" s="666"/>
    </row>
    <row r="264" spans="1:33" x14ac:dyDescent="0.2">
      <c r="A264" s="666" t="s">
        <v>2092</v>
      </c>
      <c r="B264" s="666" t="s">
        <v>35</v>
      </c>
      <c r="C264" s="666"/>
      <c r="D264" s="666"/>
      <c r="E264" s="1996">
        <v>0</v>
      </c>
      <c r="F264" s="1996">
        <v>0</v>
      </c>
      <c r="G264" s="1996">
        <v>0</v>
      </c>
      <c r="H264" s="1996">
        <v>0</v>
      </c>
      <c r="I264" s="1996">
        <v>0</v>
      </c>
      <c r="J264" s="1996">
        <v>0</v>
      </c>
      <c r="K264" s="1996">
        <v>0</v>
      </c>
      <c r="L264" s="1996">
        <v>0</v>
      </c>
      <c r="M264" s="1996">
        <v>0</v>
      </c>
      <c r="N264" s="1996">
        <v>0</v>
      </c>
      <c r="O264" s="1996">
        <v>0</v>
      </c>
      <c r="P264" s="1996">
        <v>0</v>
      </c>
      <c r="Q264" s="1996">
        <v>0</v>
      </c>
      <c r="R264" s="1997">
        <v>0</v>
      </c>
      <c r="S264" s="666" t="s">
        <v>2093</v>
      </c>
      <c r="T264" s="1998">
        <v>433757</v>
      </c>
      <c r="U264" s="1998">
        <v>379110</v>
      </c>
      <c r="V264" s="1998">
        <v>63480</v>
      </c>
      <c r="W264" s="1998">
        <v>0</v>
      </c>
      <c r="X264" s="1998">
        <v>0</v>
      </c>
      <c r="Y264" s="1998">
        <v>0</v>
      </c>
      <c r="Z264" s="1998">
        <v>470086</v>
      </c>
      <c r="AA264" s="1998">
        <v>0</v>
      </c>
      <c r="AB264" s="1998">
        <v>0</v>
      </c>
      <c r="AC264" s="1998">
        <v>0</v>
      </c>
      <c r="AD264" s="1998">
        <v>0</v>
      </c>
      <c r="AE264" s="1998">
        <v>0</v>
      </c>
      <c r="AF264" s="1998">
        <v>0</v>
      </c>
      <c r="AG264" s="1999">
        <v>406261</v>
      </c>
    </row>
    <row r="265" spans="1:33" x14ac:dyDescent="0.2">
      <c r="A265" s="666" t="s">
        <v>2094</v>
      </c>
      <c r="B265" s="1997">
        <v>0</v>
      </c>
      <c r="C265" s="1997">
        <v>0</v>
      </c>
      <c r="D265" s="1997">
        <v>0</v>
      </c>
      <c r="E265" s="1998">
        <v>0</v>
      </c>
      <c r="F265" s="1997">
        <v>0</v>
      </c>
      <c r="G265" s="1997">
        <v>0</v>
      </c>
      <c r="H265" s="1997">
        <v>0</v>
      </c>
      <c r="I265" s="1997">
        <v>0</v>
      </c>
      <c r="J265" s="1996">
        <v>0</v>
      </c>
      <c r="K265" s="1996">
        <v>0</v>
      </c>
      <c r="L265" s="1997">
        <v>0</v>
      </c>
      <c r="M265" s="1996">
        <v>0</v>
      </c>
      <c r="N265" s="1996">
        <v>0</v>
      </c>
      <c r="O265" s="1997">
        <v>0</v>
      </c>
      <c r="P265" s="666" t="s">
        <v>807</v>
      </c>
      <c r="Q265" s="1998">
        <v>433757</v>
      </c>
      <c r="R265" s="1998">
        <v>379110</v>
      </c>
      <c r="S265" s="1998">
        <v>63480</v>
      </c>
      <c r="T265" s="1998">
        <v>0</v>
      </c>
      <c r="U265" s="1998">
        <v>0</v>
      </c>
      <c r="V265" s="1998">
        <v>0</v>
      </c>
      <c r="W265" s="1998">
        <v>470086</v>
      </c>
      <c r="X265" s="1998">
        <v>0</v>
      </c>
      <c r="Y265" s="1998">
        <v>0</v>
      </c>
      <c r="Z265" s="1998">
        <v>0</v>
      </c>
      <c r="AA265" s="1998">
        <v>0</v>
      </c>
      <c r="AB265" s="1998">
        <v>0</v>
      </c>
      <c r="AC265" s="1998">
        <v>0</v>
      </c>
      <c r="AD265" s="1998">
        <v>406261</v>
      </c>
      <c r="AE265" s="666"/>
      <c r="AF265" s="666"/>
      <c r="AG265" s="666"/>
    </row>
    <row r="266" spans="1:33" x14ac:dyDescent="0.2">
      <c r="A266" s="666" t="s">
        <v>2095</v>
      </c>
      <c r="B266" s="666" t="s">
        <v>35</v>
      </c>
      <c r="C266" s="666"/>
      <c r="D266" s="666"/>
      <c r="E266" s="1996">
        <v>112</v>
      </c>
      <c r="F266" s="1996">
        <v>0</v>
      </c>
      <c r="G266" s="1996">
        <v>0</v>
      </c>
      <c r="H266" s="1996">
        <v>0</v>
      </c>
      <c r="I266" s="1996">
        <v>0</v>
      </c>
      <c r="J266" s="1996">
        <v>0</v>
      </c>
      <c r="K266" s="1996">
        <v>112</v>
      </c>
      <c r="L266" s="1996">
        <v>0</v>
      </c>
      <c r="M266" s="1996">
        <v>0</v>
      </c>
      <c r="N266" s="1996">
        <v>0</v>
      </c>
      <c r="O266" s="1996">
        <v>0</v>
      </c>
      <c r="P266" s="1996">
        <v>0</v>
      </c>
      <c r="Q266" s="1996">
        <v>0</v>
      </c>
      <c r="R266" s="1997">
        <v>0</v>
      </c>
      <c r="S266" s="666" t="s">
        <v>1782</v>
      </c>
      <c r="T266" s="1998">
        <v>23432</v>
      </c>
      <c r="U266" s="1998">
        <v>0</v>
      </c>
      <c r="V266" s="1998">
        <v>0</v>
      </c>
      <c r="W266" s="1998">
        <v>0</v>
      </c>
      <c r="X266" s="1998">
        <v>0</v>
      </c>
      <c r="Y266" s="1998">
        <v>0</v>
      </c>
      <c r="Z266" s="1998">
        <v>8428</v>
      </c>
      <c r="AA266" s="1998">
        <v>0</v>
      </c>
      <c r="AB266" s="1998">
        <v>0</v>
      </c>
      <c r="AC266" s="1998">
        <v>0</v>
      </c>
      <c r="AD266" s="1998">
        <v>0</v>
      </c>
      <c r="AE266" s="1998">
        <v>0</v>
      </c>
      <c r="AF266" s="1998">
        <v>0</v>
      </c>
      <c r="AG266" s="1999">
        <v>15004</v>
      </c>
    </row>
    <row r="267" spans="1:33" ht="12.75" customHeight="1" x14ac:dyDescent="0.2">
      <c r="A267" s="666" t="s">
        <v>2096</v>
      </c>
      <c r="B267" s="1997">
        <v>112</v>
      </c>
      <c r="C267" s="1997">
        <v>0</v>
      </c>
      <c r="D267" s="1997">
        <v>0</v>
      </c>
      <c r="E267" s="1998">
        <v>0</v>
      </c>
      <c r="F267" s="1997">
        <v>0</v>
      </c>
      <c r="G267" s="1997">
        <v>0</v>
      </c>
      <c r="H267" s="1997">
        <v>112</v>
      </c>
      <c r="I267" s="1997">
        <v>0</v>
      </c>
      <c r="J267" s="1996">
        <v>0</v>
      </c>
      <c r="K267" s="1996">
        <v>0</v>
      </c>
      <c r="L267" s="1997">
        <v>0</v>
      </c>
      <c r="M267" s="1996">
        <v>0</v>
      </c>
      <c r="N267" s="1996">
        <v>0</v>
      </c>
      <c r="O267" s="1997">
        <v>0</v>
      </c>
      <c r="P267" s="666" t="s">
        <v>1788</v>
      </c>
      <c r="Q267" s="1998">
        <v>23432</v>
      </c>
      <c r="R267" s="1998">
        <v>0</v>
      </c>
      <c r="S267" s="1998">
        <v>0</v>
      </c>
      <c r="T267" s="1998">
        <v>0</v>
      </c>
      <c r="U267" s="1998">
        <v>0</v>
      </c>
      <c r="V267" s="1998">
        <v>0</v>
      </c>
      <c r="W267" s="1998">
        <v>8428</v>
      </c>
      <c r="X267" s="1998">
        <v>0</v>
      </c>
      <c r="Y267" s="1998">
        <v>0</v>
      </c>
      <c r="Z267" s="1998">
        <v>0</v>
      </c>
      <c r="AA267" s="1998">
        <v>0</v>
      </c>
      <c r="AB267" s="1998">
        <v>0</v>
      </c>
      <c r="AC267" s="1998">
        <v>0</v>
      </c>
      <c r="AD267" s="1998">
        <v>15004</v>
      </c>
      <c r="AE267" s="666"/>
      <c r="AF267" s="666"/>
      <c r="AG267" s="666"/>
    </row>
    <row r="268" spans="1:33" x14ac:dyDescent="0.2">
      <c r="A268" s="666" t="s">
        <v>2097</v>
      </c>
      <c r="B268" s="666" t="s">
        <v>35</v>
      </c>
      <c r="C268" s="666"/>
      <c r="D268" s="666"/>
      <c r="E268" s="1996">
        <v>0</v>
      </c>
      <c r="F268" s="1996">
        <v>0</v>
      </c>
      <c r="G268" s="1996">
        <v>0</v>
      </c>
      <c r="H268" s="1996">
        <v>0</v>
      </c>
      <c r="I268" s="1996">
        <v>0</v>
      </c>
      <c r="J268" s="1996">
        <v>0</v>
      </c>
      <c r="K268" s="1996">
        <v>0</v>
      </c>
      <c r="L268" s="1996">
        <v>0</v>
      </c>
      <c r="M268" s="1996">
        <v>0</v>
      </c>
      <c r="N268" s="1996">
        <v>0</v>
      </c>
      <c r="O268" s="1996">
        <v>0</v>
      </c>
      <c r="P268" s="1996">
        <v>0</v>
      </c>
      <c r="Q268" s="1996">
        <v>0</v>
      </c>
      <c r="R268" s="1997">
        <v>0</v>
      </c>
      <c r="S268" s="666" t="s">
        <v>841</v>
      </c>
      <c r="T268" s="1998">
        <v>3020820</v>
      </c>
      <c r="U268" s="1998">
        <v>0</v>
      </c>
      <c r="V268" s="1998">
        <v>0</v>
      </c>
      <c r="W268" s="1998">
        <v>0</v>
      </c>
      <c r="X268" s="1998">
        <v>0</v>
      </c>
      <c r="Y268" s="1998">
        <v>0</v>
      </c>
      <c r="Z268" s="1998">
        <v>0</v>
      </c>
      <c r="AA268" s="1998">
        <v>0</v>
      </c>
      <c r="AB268" s="1998">
        <v>0</v>
      </c>
      <c r="AC268" s="1998">
        <v>0</v>
      </c>
      <c r="AD268" s="1998">
        <v>0</v>
      </c>
      <c r="AE268" s="1998">
        <v>0</v>
      </c>
      <c r="AF268" s="1998">
        <v>0</v>
      </c>
      <c r="AG268" s="1999">
        <v>3020820</v>
      </c>
    </row>
    <row r="269" spans="1:33" x14ac:dyDescent="0.2">
      <c r="A269" s="666" t="s">
        <v>2098</v>
      </c>
      <c r="B269" s="666" t="s">
        <v>35</v>
      </c>
      <c r="C269" s="666"/>
      <c r="D269" s="666"/>
      <c r="E269" s="1996">
        <v>0</v>
      </c>
      <c r="F269" s="1996">
        <v>0</v>
      </c>
      <c r="G269" s="1996">
        <v>0</v>
      </c>
      <c r="H269" s="1996">
        <v>0</v>
      </c>
      <c r="I269" s="1996">
        <v>0</v>
      </c>
      <c r="J269" s="1996">
        <v>0</v>
      </c>
      <c r="K269" s="1996">
        <v>0</v>
      </c>
      <c r="L269" s="1996">
        <v>0</v>
      </c>
      <c r="M269" s="1996">
        <v>0</v>
      </c>
      <c r="N269" s="1996">
        <v>0</v>
      </c>
      <c r="O269" s="1996">
        <v>0</v>
      </c>
      <c r="P269" s="1996">
        <v>0</v>
      </c>
      <c r="Q269" s="1996">
        <v>0</v>
      </c>
      <c r="R269" s="1997">
        <v>0</v>
      </c>
      <c r="S269" s="666" t="s">
        <v>1706</v>
      </c>
      <c r="T269" s="1998">
        <v>2149352</v>
      </c>
      <c r="U269" s="1998">
        <v>669680</v>
      </c>
      <c r="V269" s="1998">
        <v>0</v>
      </c>
      <c r="W269" s="1998">
        <v>0</v>
      </c>
      <c r="X269" s="1998">
        <v>0</v>
      </c>
      <c r="Y269" s="1998">
        <v>0</v>
      </c>
      <c r="Z269" s="1998">
        <v>1516519</v>
      </c>
      <c r="AA269" s="1998">
        <v>0</v>
      </c>
      <c r="AB269" s="1998">
        <v>0</v>
      </c>
      <c r="AC269" s="1998">
        <v>0</v>
      </c>
      <c r="AD269" s="1998">
        <v>0</v>
      </c>
      <c r="AE269" s="1998">
        <v>0</v>
      </c>
      <c r="AF269" s="1998">
        <v>0</v>
      </c>
      <c r="AG269" s="1999">
        <v>1302513</v>
      </c>
    </row>
    <row r="270" spans="1:33" x14ac:dyDescent="0.2">
      <c r="A270" s="666" t="s">
        <v>2099</v>
      </c>
      <c r="B270" s="1997">
        <v>0</v>
      </c>
      <c r="C270" s="1997">
        <v>0</v>
      </c>
      <c r="D270" s="1997">
        <v>0</v>
      </c>
      <c r="E270" s="1998">
        <v>0</v>
      </c>
      <c r="F270" s="1997">
        <v>0</v>
      </c>
      <c r="G270" s="1997">
        <v>0</v>
      </c>
      <c r="H270" s="1997">
        <v>0</v>
      </c>
      <c r="I270" s="1997">
        <v>0</v>
      </c>
      <c r="J270" s="1996">
        <v>0</v>
      </c>
      <c r="K270" s="1996">
        <v>0</v>
      </c>
      <c r="L270" s="1997">
        <v>0</v>
      </c>
      <c r="M270" s="1996">
        <v>0</v>
      </c>
      <c r="N270" s="1996">
        <v>0</v>
      </c>
      <c r="O270" s="1997">
        <v>0</v>
      </c>
      <c r="P270" s="666" t="s">
        <v>842</v>
      </c>
      <c r="Q270" s="1998">
        <v>5170172</v>
      </c>
      <c r="R270" s="1998">
        <v>669680</v>
      </c>
      <c r="S270" s="1998">
        <v>0</v>
      </c>
      <c r="T270" s="1998">
        <v>0</v>
      </c>
      <c r="U270" s="1998">
        <v>0</v>
      </c>
      <c r="V270" s="1998">
        <v>0</v>
      </c>
      <c r="W270" s="1998">
        <v>1516519</v>
      </c>
      <c r="X270" s="1998">
        <v>0</v>
      </c>
      <c r="Y270" s="1998">
        <v>0</v>
      </c>
      <c r="Z270" s="1998">
        <v>0</v>
      </c>
      <c r="AA270" s="1998">
        <v>0</v>
      </c>
      <c r="AB270" s="1998">
        <v>0</v>
      </c>
      <c r="AC270" s="1998">
        <v>0</v>
      </c>
      <c r="AD270" s="1998">
        <v>4323333</v>
      </c>
      <c r="AE270" s="666"/>
      <c r="AF270" s="666"/>
      <c r="AG270" s="666"/>
    </row>
    <row r="271" spans="1:33" ht="12.75" customHeight="1" x14ac:dyDescent="0.2">
      <c r="A271" s="666" t="s">
        <v>2100</v>
      </c>
      <c r="B271" s="666" t="s">
        <v>35</v>
      </c>
      <c r="C271" s="666"/>
      <c r="D271" s="666"/>
      <c r="E271" s="1996">
        <v>0</v>
      </c>
      <c r="F271" s="1996">
        <v>0</v>
      </c>
      <c r="G271" s="1996">
        <v>0</v>
      </c>
      <c r="H271" s="1996">
        <v>0</v>
      </c>
      <c r="I271" s="1996">
        <v>0</v>
      </c>
      <c r="J271" s="1996">
        <v>0</v>
      </c>
      <c r="K271" s="1996">
        <v>0</v>
      </c>
      <c r="L271" s="1996">
        <v>0</v>
      </c>
      <c r="M271" s="1996">
        <v>0</v>
      </c>
      <c r="N271" s="1996">
        <v>0</v>
      </c>
      <c r="O271" s="1996">
        <v>0</v>
      </c>
      <c r="P271" s="1996">
        <v>0</v>
      </c>
      <c r="Q271" s="1996">
        <v>0</v>
      </c>
      <c r="R271" s="1997">
        <v>0</v>
      </c>
      <c r="S271" s="666" t="s">
        <v>2101</v>
      </c>
      <c r="T271" s="1998">
        <v>297130</v>
      </c>
      <c r="U271" s="1998">
        <v>0</v>
      </c>
      <c r="V271" s="1998">
        <v>0</v>
      </c>
      <c r="W271" s="1998">
        <v>0</v>
      </c>
      <c r="X271" s="1998">
        <v>0</v>
      </c>
      <c r="Y271" s="1998">
        <v>0</v>
      </c>
      <c r="Z271" s="1998">
        <v>0</v>
      </c>
      <c r="AA271" s="1998">
        <v>0</v>
      </c>
      <c r="AB271" s="1998">
        <v>0</v>
      </c>
      <c r="AC271" s="1998">
        <v>0</v>
      </c>
      <c r="AD271" s="1998">
        <v>128550</v>
      </c>
      <c r="AE271" s="1998">
        <v>0</v>
      </c>
      <c r="AF271" s="1998">
        <v>0</v>
      </c>
      <c r="AG271" s="1999">
        <v>168580</v>
      </c>
    </row>
    <row r="272" spans="1:33" ht="12.75" customHeight="1" x14ac:dyDescent="0.2">
      <c r="A272" s="666" t="s">
        <v>2102</v>
      </c>
      <c r="B272" s="666" t="s">
        <v>35</v>
      </c>
      <c r="C272" s="666"/>
      <c r="D272" s="666"/>
      <c r="E272" s="1996">
        <v>0</v>
      </c>
      <c r="F272" s="1996">
        <v>0</v>
      </c>
      <c r="G272" s="1996">
        <v>0</v>
      </c>
      <c r="H272" s="1996">
        <v>0</v>
      </c>
      <c r="I272" s="1996">
        <v>0</v>
      </c>
      <c r="J272" s="1996">
        <v>0</v>
      </c>
      <c r="K272" s="1996">
        <v>0</v>
      </c>
      <c r="L272" s="1996">
        <v>0</v>
      </c>
      <c r="M272" s="1996">
        <v>0</v>
      </c>
      <c r="N272" s="1996">
        <v>0</v>
      </c>
      <c r="O272" s="1996">
        <v>0</v>
      </c>
      <c r="P272" s="1996">
        <v>0</v>
      </c>
      <c r="Q272" s="1996">
        <v>0</v>
      </c>
      <c r="R272" s="1997">
        <v>0</v>
      </c>
      <c r="S272" s="666" t="s">
        <v>2103</v>
      </c>
      <c r="T272" s="1998">
        <v>61013</v>
      </c>
      <c r="U272" s="1998">
        <v>0</v>
      </c>
      <c r="V272" s="1998">
        <v>0</v>
      </c>
      <c r="W272" s="1998">
        <v>0</v>
      </c>
      <c r="X272" s="1998">
        <v>128550</v>
      </c>
      <c r="Y272" s="1998">
        <v>0</v>
      </c>
      <c r="Z272" s="1998">
        <v>103511</v>
      </c>
      <c r="AA272" s="1998">
        <v>0</v>
      </c>
      <c r="AB272" s="1998">
        <v>0</v>
      </c>
      <c r="AC272" s="1998">
        <v>0</v>
      </c>
      <c r="AD272" s="1998">
        <v>0</v>
      </c>
      <c r="AE272" s="1998">
        <v>0</v>
      </c>
      <c r="AF272" s="1998">
        <v>0</v>
      </c>
      <c r="AG272" s="1999">
        <v>86052</v>
      </c>
    </row>
    <row r="273" spans="1:33" x14ac:dyDescent="0.2">
      <c r="A273" s="666" t="s">
        <v>2104</v>
      </c>
      <c r="B273" s="1997">
        <v>0</v>
      </c>
      <c r="C273" s="1997">
        <v>0</v>
      </c>
      <c r="D273" s="1997">
        <v>0</v>
      </c>
      <c r="E273" s="1998">
        <v>0</v>
      </c>
      <c r="F273" s="1997">
        <v>0</v>
      </c>
      <c r="G273" s="1997">
        <v>0</v>
      </c>
      <c r="H273" s="1997">
        <v>0</v>
      </c>
      <c r="I273" s="1997">
        <v>0</v>
      </c>
      <c r="J273" s="1996">
        <v>0</v>
      </c>
      <c r="K273" s="1996">
        <v>0</v>
      </c>
      <c r="L273" s="1997">
        <v>0</v>
      </c>
      <c r="M273" s="1996">
        <v>0</v>
      </c>
      <c r="N273" s="1996">
        <v>0</v>
      </c>
      <c r="O273" s="1997">
        <v>0</v>
      </c>
      <c r="P273" s="666" t="s">
        <v>812</v>
      </c>
      <c r="Q273" s="1998">
        <v>358143</v>
      </c>
      <c r="R273" s="1998">
        <v>0</v>
      </c>
      <c r="S273" s="1998">
        <v>0</v>
      </c>
      <c r="T273" s="1998">
        <v>0</v>
      </c>
      <c r="U273" s="1998">
        <v>128550</v>
      </c>
      <c r="V273" s="1998">
        <v>0</v>
      </c>
      <c r="W273" s="1998">
        <v>103511</v>
      </c>
      <c r="X273" s="1998">
        <v>0</v>
      </c>
      <c r="Y273" s="1998">
        <v>0</v>
      </c>
      <c r="Z273" s="1998">
        <v>0</v>
      </c>
      <c r="AA273" s="1998">
        <v>128550</v>
      </c>
      <c r="AB273" s="1998">
        <v>0</v>
      </c>
      <c r="AC273" s="1998">
        <v>0</v>
      </c>
      <c r="AD273" s="1998">
        <v>254632</v>
      </c>
      <c r="AE273" s="666"/>
      <c r="AF273" s="666"/>
      <c r="AG273" s="666"/>
    </row>
    <row r="274" spans="1:33" x14ac:dyDescent="0.2">
      <c r="A274" s="666" t="s">
        <v>2105</v>
      </c>
      <c r="B274" s="666" t="s">
        <v>35</v>
      </c>
      <c r="C274" s="666"/>
      <c r="D274" s="666"/>
      <c r="E274" s="1996">
        <v>0</v>
      </c>
      <c r="F274" s="1996">
        <v>0</v>
      </c>
      <c r="G274" s="1996">
        <v>0</v>
      </c>
      <c r="H274" s="1996">
        <v>0</v>
      </c>
      <c r="I274" s="1996">
        <v>0</v>
      </c>
      <c r="J274" s="1996">
        <v>0</v>
      </c>
      <c r="K274" s="1996">
        <v>0</v>
      </c>
      <c r="L274" s="1996">
        <v>0</v>
      </c>
      <c r="M274" s="1996">
        <v>0</v>
      </c>
      <c r="N274" s="1996">
        <v>0</v>
      </c>
      <c r="O274" s="1996">
        <v>0</v>
      </c>
      <c r="P274" s="1996">
        <v>0</v>
      </c>
      <c r="Q274" s="1996">
        <v>0</v>
      </c>
      <c r="R274" s="1997">
        <v>0</v>
      </c>
      <c r="S274" s="666" t="s">
        <v>2106</v>
      </c>
      <c r="T274" s="1998">
        <v>72749</v>
      </c>
      <c r="U274" s="1998">
        <v>33650</v>
      </c>
      <c r="V274" s="1998">
        <v>0</v>
      </c>
      <c r="W274" s="1998">
        <v>0</v>
      </c>
      <c r="X274" s="1998">
        <v>0</v>
      </c>
      <c r="Y274" s="1998">
        <v>0</v>
      </c>
      <c r="Z274" s="1998">
        <v>25175</v>
      </c>
      <c r="AA274" s="1998">
        <v>0</v>
      </c>
      <c r="AB274" s="1998">
        <v>0</v>
      </c>
      <c r="AC274" s="1998">
        <v>0</v>
      </c>
      <c r="AD274" s="1998">
        <v>0</v>
      </c>
      <c r="AE274" s="1998">
        <v>0</v>
      </c>
      <c r="AF274" s="1998">
        <v>0</v>
      </c>
      <c r="AG274" s="1999">
        <v>81224</v>
      </c>
    </row>
    <row r="275" spans="1:33" x14ac:dyDescent="0.2">
      <c r="A275" s="666" t="s">
        <v>2107</v>
      </c>
      <c r="B275" s="1997">
        <v>0</v>
      </c>
      <c r="C275" s="1997">
        <v>0</v>
      </c>
      <c r="D275" s="1997">
        <v>0</v>
      </c>
      <c r="E275" s="1998">
        <v>0</v>
      </c>
      <c r="F275" s="1997">
        <v>0</v>
      </c>
      <c r="G275" s="1997">
        <v>0</v>
      </c>
      <c r="H275" s="1997">
        <v>0</v>
      </c>
      <c r="I275" s="1997">
        <v>0</v>
      </c>
      <c r="J275" s="1996">
        <v>0</v>
      </c>
      <c r="K275" s="1996">
        <v>0</v>
      </c>
      <c r="L275" s="1997">
        <v>0</v>
      </c>
      <c r="M275" s="1996">
        <v>0</v>
      </c>
      <c r="N275" s="1996">
        <v>0</v>
      </c>
      <c r="O275" s="1997">
        <v>0</v>
      </c>
      <c r="P275" s="666" t="s">
        <v>1652</v>
      </c>
      <c r="Q275" s="1998">
        <v>72749</v>
      </c>
      <c r="R275" s="1998">
        <v>33650</v>
      </c>
      <c r="S275" s="1998">
        <v>0</v>
      </c>
      <c r="T275" s="1998">
        <v>0</v>
      </c>
      <c r="U275" s="1998">
        <v>0</v>
      </c>
      <c r="V275" s="1998">
        <v>0</v>
      </c>
      <c r="W275" s="1998">
        <v>25175</v>
      </c>
      <c r="X275" s="1998">
        <v>0</v>
      </c>
      <c r="Y275" s="1998">
        <v>0</v>
      </c>
      <c r="Z275" s="1998">
        <v>0</v>
      </c>
      <c r="AA275" s="1998">
        <v>0</v>
      </c>
      <c r="AB275" s="1998">
        <v>0</v>
      </c>
      <c r="AC275" s="1998">
        <v>0</v>
      </c>
      <c r="AD275" s="1998">
        <v>81224</v>
      </c>
      <c r="AE275" s="666"/>
      <c r="AF275" s="666"/>
      <c r="AG275" s="666"/>
    </row>
    <row r="276" spans="1:33" x14ac:dyDescent="0.2">
      <c r="A276" s="666" t="s">
        <v>2108</v>
      </c>
      <c r="B276" s="666" t="s">
        <v>35</v>
      </c>
      <c r="C276" s="666"/>
      <c r="D276" s="666"/>
      <c r="E276" s="1996">
        <v>10800</v>
      </c>
      <c r="F276" s="1996">
        <v>0</v>
      </c>
      <c r="G276" s="1996">
        <v>0</v>
      </c>
      <c r="H276" s="1996">
        <v>0</v>
      </c>
      <c r="I276" s="1996">
        <v>0</v>
      </c>
      <c r="J276" s="1996">
        <v>0</v>
      </c>
      <c r="K276" s="1996">
        <v>2000</v>
      </c>
      <c r="L276" s="1996">
        <v>0</v>
      </c>
      <c r="M276" s="1996">
        <v>0</v>
      </c>
      <c r="N276" s="1996">
        <v>0</v>
      </c>
      <c r="O276" s="1996">
        <v>0</v>
      </c>
      <c r="P276" s="1996">
        <v>0</v>
      </c>
      <c r="Q276" s="1996">
        <v>0</v>
      </c>
      <c r="R276" s="1997">
        <v>8800</v>
      </c>
      <c r="S276" s="666" t="s">
        <v>1234</v>
      </c>
      <c r="T276" s="1998">
        <v>272053</v>
      </c>
      <c r="U276" s="1998">
        <v>0</v>
      </c>
      <c r="V276" s="1998">
        <v>0</v>
      </c>
      <c r="W276" s="1998">
        <v>0</v>
      </c>
      <c r="X276" s="1998">
        <v>0</v>
      </c>
      <c r="Y276" s="1998">
        <v>0</v>
      </c>
      <c r="Z276" s="1998">
        <v>43960</v>
      </c>
      <c r="AA276" s="1998">
        <v>0</v>
      </c>
      <c r="AB276" s="1998">
        <v>0</v>
      </c>
      <c r="AC276" s="1998">
        <v>0</v>
      </c>
      <c r="AD276" s="1998">
        <v>0</v>
      </c>
      <c r="AE276" s="1998">
        <v>0</v>
      </c>
      <c r="AF276" s="1998">
        <v>0</v>
      </c>
      <c r="AG276" s="1999">
        <v>228093</v>
      </c>
    </row>
    <row r="277" spans="1:33" x14ac:dyDescent="0.2">
      <c r="A277" s="666" t="s">
        <v>2109</v>
      </c>
      <c r="B277" s="666" t="s">
        <v>35</v>
      </c>
      <c r="C277" s="666"/>
      <c r="D277" s="666"/>
      <c r="E277" s="1996">
        <v>2400</v>
      </c>
      <c r="F277" s="1996">
        <v>0</v>
      </c>
      <c r="G277" s="1996">
        <v>0</v>
      </c>
      <c r="H277" s="1996">
        <v>0</v>
      </c>
      <c r="I277" s="1996">
        <v>0</v>
      </c>
      <c r="J277" s="1996">
        <v>0</v>
      </c>
      <c r="K277" s="1996">
        <v>1200</v>
      </c>
      <c r="L277" s="1996">
        <v>0</v>
      </c>
      <c r="M277" s="1996">
        <v>0</v>
      </c>
      <c r="N277" s="1996">
        <v>0</v>
      </c>
      <c r="O277" s="1996">
        <v>0</v>
      </c>
      <c r="P277" s="1996">
        <v>0</v>
      </c>
      <c r="Q277" s="1996">
        <v>0</v>
      </c>
      <c r="R277" s="1997">
        <v>1200</v>
      </c>
      <c r="S277" s="666" t="s">
        <v>1964</v>
      </c>
      <c r="T277" s="1998">
        <v>60020</v>
      </c>
      <c r="U277" s="1998">
        <v>0</v>
      </c>
      <c r="V277" s="1998">
        <v>0</v>
      </c>
      <c r="W277" s="1998">
        <v>0</v>
      </c>
      <c r="X277" s="1998">
        <v>0</v>
      </c>
      <c r="Y277" s="1998">
        <v>0</v>
      </c>
      <c r="Z277" s="1998">
        <v>6427</v>
      </c>
      <c r="AA277" s="1998">
        <v>0</v>
      </c>
      <c r="AB277" s="1998">
        <v>0</v>
      </c>
      <c r="AC277" s="1998">
        <v>0</v>
      </c>
      <c r="AD277" s="1998">
        <v>0</v>
      </c>
      <c r="AE277" s="1998">
        <v>0</v>
      </c>
      <c r="AF277" s="1998">
        <v>20</v>
      </c>
      <c r="AG277" s="1999">
        <v>53573</v>
      </c>
    </row>
    <row r="278" spans="1:33" ht="12.75" customHeight="1" x14ac:dyDescent="0.2">
      <c r="A278" s="666" t="s">
        <v>2110</v>
      </c>
      <c r="B278" s="1997">
        <v>13200</v>
      </c>
      <c r="C278" s="1997">
        <v>0</v>
      </c>
      <c r="D278" s="1997">
        <v>0</v>
      </c>
      <c r="E278" s="1998">
        <v>0</v>
      </c>
      <c r="F278" s="1997">
        <v>0</v>
      </c>
      <c r="G278" s="1997">
        <v>0</v>
      </c>
      <c r="H278" s="1997">
        <v>3200</v>
      </c>
      <c r="I278" s="1997">
        <v>0</v>
      </c>
      <c r="J278" s="1996">
        <v>0</v>
      </c>
      <c r="K278" s="1996">
        <v>0</v>
      </c>
      <c r="L278" s="1997">
        <v>0</v>
      </c>
      <c r="M278" s="1996">
        <v>0</v>
      </c>
      <c r="N278" s="1996">
        <v>0</v>
      </c>
      <c r="O278" s="1997">
        <v>10000</v>
      </c>
      <c r="P278" s="666" t="s">
        <v>1244</v>
      </c>
      <c r="Q278" s="1998">
        <v>332073</v>
      </c>
      <c r="R278" s="1998">
        <v>0</v>
      </c>
      <c r="S278" s="1998">
        <v>0</v>
      </c>
      <c r="T278" s="1998">
        <v>0</v>
      </c>
      <c r="U278" s="1998">
        <v>0</v>
      </c>
      <c r="V278" s="1998">
        <v>0</v>
      </c>
      <c r="W278" s="1998">
        <v>50387</v>
      </c>
      <c r="X278" s="1998">
        <v>0</v>
      </c>
      <c r="Y278" s="1998">
        <v>0</v>
      </c>
      <c r="Z278" s="1998">
        <v>0</v>
      </c>
      <c r="AA278" s="1998">
        <v>0</v>
      </c>
      <c r="AB278" s="1998">
        <v>0</v>
      </c>
      <c r="AC278" s="1998">
        <v>20</v>
      </c>
      <c r="AD278" s="1998">
        <v>281666</v>
      </c>
      <c r="AE278" s="666"/>
      <c r="AF278" s="666"/>
      <c r="AG278" s="666"/>
    </row>
    <row r="279" spans="1:33" ht="12.75" customHeight="1" x14ac:dyDescent="0.2">
      <c r="A279" s="666" t="s">
        <v>2111</v>
      </c>
      <c r="B279" s="666" t="s">
        <v>35</v>
      </c>
      <c r="C279" s="666"/>
      <c r="D279" s="666"/>
      <c r="E279" s="1996">
        <v>18</v>
      </c>
      <c r="F279" s="1996">
        <v>39</v>
      </c>
      <c r="G279" s="1996">
        <v>0</v>
      </c>
      <c r="H279" s="1996">
        <v>0</v>
      </c>
      <c r="I279" s="1996">
        <v>0</v>
      </c>
      <c r="J279" s="1996">
        <v>0</v>
      </c>
      <c r="K279" s="1996">
        <v>0</v>
      </c>
      <c r="L279" s="1996">
        <v>0</v>
      </c>
      <c r="M279" s="1996">
        <v>0</v>
      </c>
      <c r="N279" s="1996">
        <v>0</v>
      </c>
      <c r="O279" s="1996">
        <v>18</v>
      </c>
      <c r="P279" s="1996">
        <v>0</v>
      </c>
      <c r="Q279" s="1996">
        <v>0</v>
      </c>
      <c r="R279" s="1997">
        <v>39</v>
      </c>
      <c r="S279" s="666" t="s">
        <v>2112</v>
      </c>
      <c r="T279" s="1998">
        <v>22086</v>
      </c>
      <c r="U279" s="1998">
        <v>49153</v>
      </c>
      <c r="V279" s="1998">
        <v>0</v>
      </c>
      <c r="W279" s="1998">
        <v>0</v>
      </c>
      <c r="X279" s="1998">
        <v>0</v>
      </c>
      <c r="Y279" s="1998">
        <v>0</v>
      </c>
      <c r="Z279" s="1998">
        <v>0</v>
      </c>
      <c r="AA279" s="1998">
        <v>0</v>
      </c>
      <c r="AB279" s="1998">
        <v>0</v>
      </c>
      <c r="AC279" s="1998">
        <v>0</v>
      </c>
      <c r="AD279" s="1998">
        <v>22086</v>
      </c>
      <c r="AE279" s="1998">
        <v>0</v>
      </c>
      <c r="AF279" s="1998">
        <v>0</v>
      </c>
      <c r="AG279" s="1999">
        <v>49153</v>
      </c>
    </row>
    <row r="280" spans="1:33" ht="12.75" customHeight="1" x14ac:dyDescent="0.2">
      <c r="A280" s="666" t="s">
        <v>2113</v>
      </c>
      <c r="B280" s="666" t="s">
        <v>35</v>
      </c>
      <c r="C280" s="666"/>
      <c r="D280" s="666"/>
      <c r="E280" s="1996">
        <v>7</v>
      </c>
      <c r="F280" s="1996">
        <v>0</v>
      </c>
      <c r="G280" s="1996">
        <v>0</v>
      </c>
      <c r="H280" s="1996">
        <v>0</v>
      </c>
      <c r="I280" s="1996">
        <v>18</v>
      </c>
      <c r="J280" s="1996">
        <v>0</v>
      </c>
      <c r="K280" s="1996">
        <v>13</v>
      </c>
      <c r="L280" s="1996">
        <v>0</v>
      </c>
      <c r="M280" s="1996">
        <v>0</v>
      </c>
      <c r="N280" s="1996">
        <v>0</v>
      </c>
      <c r="O280" s="1996">
        <v>0</v>
      </c>
      <c r="P280" s="1996">
        <v>0</v>
      </c>
      <c r="Q280" s="1996">
        <v>0</v>
      </c>
      <c r="R280" s="1997">
        <v>12</v>
      </c>
      <c r="S280" s="666" t="s">
        <v>1653</v>
      </c>
      <c r="T280" s="1998">
        <v>27807</v>
      </c>
      <c r="U280" s="1998">
        <v>0</v>
      </c>
      <c r="V280" s="1998">
        <v>0</v>
      </c>
      <c r="W280" s="1998">
        <v>0</v>
      </c>
      <c r="X280" s="1998">
        <v>22086</v>
      </c>
      <c r="Y280" s="1998">
        <v>0</v>
      </c>
      <c r="Z280" s="1998">
        <v>15111</v>
      </c>
      <c r="AA280" s="1998">
        <v>0</v>
      </c>
      <c r="AB280" s="1998">
        <v>0</v>
      </c>
      <c r="AC280" s="1998">
        <v>0</v>
      </c>
      <c r="AD280" s="1998">
        <v>0</v>
      </c>
      <c r="AE280" s="1998">
        <v>0</v>
      </c>
      <c r="AF280" s="1998">
        <v>0</v>
      </c>
      <c r="AG280" s="1999">
        <v>34782</v>
      </c>
    </row>
    <row r="281" spans="1:33" x14ac:dyDescent="0.2">
      <c r="A281" s="666" t="s">
        <v>2114</v>
      </c>
      <c r="B281" s="1997">
        <v>25</v>
      </c>
      <c r="C281" s="1997">
        <v>39</v>
      </c>
      <c r="D281" s="1997">
        <v>0</v>
      </c>
      <c r="E281" s="1998">
        <v>0</v>
      </c>
      <c r="F281" s="1997">
        <v>18</v>
      </c>
      <c r="G281" s="1997">
        <v>0</v>
      </c>
      <c r="H281" s="1997">
        <v>13</v>
      </c>
      <c r="I281" s="1997">
        <v>0</v>
      </c>
      <c r="J281" s="1996">
        <v>0</v>
      </c>
      <c r="K281" s="1996">
        <v>0</v>
      </c>
      <c r="L281" s="1997">
        <v>18</v>
      </c>
      <c r="M281" s="1996">
        <v>0</v>
      </c>
      <c r="N281" s="1996">
        <v>0</v>
      </c>
      <c r="O281" s="1997">
        <v>51</v>
      </c>
      <c r="P281" s="666" t="s">
        <v>820</v>
      </c>
      <c r="Q281" s="1998">
        <v>49893</v>
      </c>
      <c r="R281" s="1998">
        <v>49153</v>
      </c>
      <c r="S281" s="1998">
        <v>0</v>
      </c>
      <c r="T281" s="1998">
        <v>0</v>
      </c>
      <c r="U281" s="1998">
        <v>22086</v>
      </c>
      <c r="V281" s="1998">
        <v>0</v>
      </c>
      <c r="W281" s="1998">
        <v>15111</v>
      </c>
      <c r="X281" s="1998">
        <v>0</v>
      </c>
      <c r="Y281" s="1998">
        <v>0</v>
      </c>
      <c r="Z281" s="1998">
        <v>0</v>
      </c>
      <c r="AA281" s="1998">
        <v>22086</v>
      </c>
      <c r="AB281" s="1998">
        <v>0</v>
      </c>
      <c r="AC281" s="1998">
        <v>0</v>
      </c>
      <c r="AD281" s="1998">
        <v>83935</v>
      </c>
      <c r="AE281" s="666"/>
      <c r="AF281" s="666"/>
      <c r="AG281" s="666"/>
    </row>
    <row r="282" spans="1:33" x14ac:dyDescent="0.2">
      <c r="A282" s="666" t="s">
        <v>2115</v>
      </c>
      <c r="B282" s="666" t="s">
        <v>35</v>
      </c>
      <c r="C282" s="666"/>
      <c r="D282" s="666"/>
      <c r="E282" s="1996">
        <v>360</v>
      </c>
      <c r="F282" s="1996">
        <v>0</v>
      </c>
      <c r="G282" s="1996">
        <v>1620</v>
      </c>
      <c r="H282" s="1996">
        <v>0</v>
      </c>
      <c r="I282" s="1996">
        <v>0</v>
      </c>
      <c r="J282" s="1996">
        <v>0</v>
      </c>
      <c r="K282" s="1996">
        <v>0</v>
      </c>
      <c r="L282" s="1996">
        <v>0</v>
      </c>
      <c r="M282" s="1996">
        <v>0</v>
      </c>
      <c r="N282" s="1996">
        <v>0</v>
      </c>
      <c r="O282" s="1996">
        <v>0</v>
      </c>
      <c r="P282" s="1996">
        <v>0</v>
      </c>
      <c r="Q282" s="1996">
        <v>0</v>
      </c>
      <c r="R282" s="1997">
        <v>1980</v>
      </c>
      <c r="S282" s="666" t="s">
        <v>1887</v>
      </c>
      <c r="T282" s="1998">
        <v>14143</v>
      </c>
      <c r="U282" s="1998">
        <v>0</v>
      </c>
      <c r="V282" s="1998">
        <v>40500</v>
      </c>
      <c r="W282" s="1998">
        <v>0</v>
      </c>
      <c r="X282" s="1998">
        <v>0</v>
      </c>
      <c r="Y282" s="1998">
        <v>0</v>
      </c>
      <c r="Z282" s="1998">
        <v>5143</v>
      </c>
      <c r="AA282" s="1998">
        <v>0</v>
      </c>
      <c r="AB282" s="1998">
        <v>0</v>
      </c>
      <c r="AC282" s="1998">
        <v>0</v>
      </c>
      <c r="AD282" s="1998">
        <v>0</v>
      </c>
      <c r="AE282" s="1998">
        <v>0</v>
      </c>
      <c r="AF282" s="1998">
        <v>0</v>
      </c>
      <c r="AG282" s="1999">
        <v>49500</v>
      </c>
    </row>
    <row r="283" spans="1:33" x14ac:dyDescent="0.2">
      <c r="A283" s="666" t="s">
        <v>2116</v>
      </c>
      <c r="B283" s="666" t="s">
        <v>35</v>
      </c>
      <c r="C283" s="666"/>
      <c r="D283" s="666"/>
      <c r="E283" s="1996">
        <v>5610</v>
      </c>
      <c r="F283" s="1996">
        <v>0</v>
      </c>
      <c r="G283" s="1996">
        <v>0</v>
      </c>
      <c r="H283" s="1996">
        <v>0</v>
      </c>
      <c r="I283" s="1996">
        <v>0</v>
      </c>
      <c r="J283" s="1996">
        <v>0</v>
      </c>
      <c r="K283" s="1996">
        <v>1770</v>
      </c>
      <c r="L283" s="1996">
        <v>0</v>
      </c>
      <c r="M283" s="1996">
        <v>0</v>
      </c>
      <c r="N283" s="1996">
        <v>0</v>
      </c>
      <c r="O283" s="1996">
        <v>0</v>
      </c>
      <c r="P283" s="1996">
        <v>0</v>
      </c>
      <c r="Q283" s="1996">
        <v>0</v>
      </c>
      <c r="R283" s="1997">
        <v>3840</v>
      </c>
      <c r="S283" s="666" t="s">
        <v>1697</v>
      </c>
      <c r="T283" s="1998">
        <v>147750</v>
      </c>
      <c r="U283" s="1998">
        <v>0</v>
      </c>
      <c r="V283" s="1998">
        <v>0</v>
      </c>
      <c r="W283" s="1998">
        <v>0</v>
      </c>
      <c r="X283" s="1998">
        <v>0</v>
      </c>
      <c r="Y283" s="1998">
        <v>0</v>
      </c>
      <c r="Z283" s="1998">
        <v>51750</v>
      </c>
      <c r="AA283" s="1998">
        <v>0</v>
      </c>
      <c r="AB283" s="1998">
        <v>0</v>
      </c>
      <c r="AC283" s="1998">
        <v>0</v>
      </c>
      <c r="AD283" s="1998">
        <v>0</v>
      </c>
      <c r="AE283" s="1998">
        <v>0</v>
      </c>
      <c r="AF283" s="1998">
        <v>0</v>
      </c>
      <c r="AG283" s="1999">
        <v>96000</v>
      </c>
    </row>
    <row r="284" spans="1:33" x14ac:dyDescent="0.2">
      <c r="A284" s="666" t="s">
        <v>2117</v>
      </c>
      <c r="B284" s="666" t="s">
        <v>35</v>
      </c>
      <c r="C284" s="666"/>
      <c r="D284" s="666"/>
      <c r="E284" s="1996">
        <v>0</v>
      </c>
      <c r="F284" s="1996">
        <v>0</v>
      </c>
      <c r="G284" s="1996">
        <v>0</v>
      </c>
      <c r="H284" s="1996">
        <v>0</v>
      </c>
      <c r="I284" s="1996">
        <v>0</v>
      </c>
      <c r="J284" s="1996">
        <v>0</v>
      </c>
      <c r="K284" s="1996">
        <v>0</v>
      </c>
      <c r="L284" s="1996">
        <v>0</v>
      </c>
      <c r="M284" s="1996">
        <v>0</v>
      </c>
      <c r="N284" s="1996">
        <v>0</v>
      </c>
      <c r="O284" s="1996">
        <v>0</v>
      </c>
      <c r="P284" s="1996">
        <v>0</v>
      </c>
      <c r="Q284" s="1996">
        <v>0</v>
      </c>
      <c r="R284" s="1997">
        <v>0</v>
      </c>
      <c r="S284" s="666" t="s">
        <v>1588</v>
      </c>
      <c r="T284" s="1998">
        <v>700</v>
      </c>
      <c r="U284" s="1998">
        <v>0</v>
      </c>
      <c r="V284" s="1998">
        <v>0</v>
      </c>
      <c r="W284" s="1998">
        <v>0</v>
      </c>
      <c r="X284" s="1998">
        <v>0</v>
      </c>
      <c r="Y284" s="1998">
        <v>0</v>
      </c>
      <c r="Z284" s="1998">
        <v>700</v>
      </c>
      <c r="AA284" s="1998">
        <v>0</v>
      </c>
      <c r="AB284" s="1998">
        <v>0</v>
      </c>
      <c r="AC284" s="1998">
        <v>0</v>
      </c>
      <c r="AD284" s="1998">
        <v>0</v>
      </c>
      <c r="AE284" s="1998">
        <v>0</v>
      </c>
      <c r="AF284" s="1998">
        <v>0</v>
      </c>
      <c r="AG284" s="1999">
        <v>0</v>
      </c>
    </row>
    <row r="285" spans="1:33" x14ac:dyDescent="0.2">
      <c r="A285" s="666" t="s">
        <v>2118</v>
      </c>
      <c r="B285" s="666" t="s">
        <v>35</v>
      </c>
      <c r="C285" s="666"/>
      <c r="D285" s="666"/>
      <c r="E285" s="1996">
        <v>5994</v>
      </c>
      <c r="F285" s="1996">
        <v>0</v>
      </c>
      <c r="G285" s="1996">
        <v>0</v>
      </c>
      <c r="H285" s="1996">
        <v>0</v>
      </c>
      <c r="I285" s="1996">
        <v>0</v>
      </c>
      <c r="J285" s="1996">
        <v>0</v>
      </c>
      <c r="K285" s="1996">
        <v>640</v>
      </c>
      <c r="L285" s="1996">
        <v>0</v>
      </c>
      <c r="M285" s="1996">
        <v>0</v>
      </c>
      <c r="N285" s="1996">
        <v>0</v>
      </c>
      <c r="O285" s="1996">
        <v>0</v>
      </c>
      <c r="P285" s="1996">
        <v>0</v>
      </c>
      <c r="Q285" s="1996">
        <v>0</v>
      </c>
      <c r="R285" s="1997">
        <v>5354</v>
      </c>
      <c r="S285" s="666" t="s">
        <v>1781</v>
      </c>
      <c r="T285" s="1998">
        <v>149850</v>
      </c>
      <c r="U285" s="1998">
        <v>0</v>
      </c>
      <c r="V285" s="1998">
        <v>0</v>
      </c>
      <c r="W285" s="1998">
        <v>0</v>
      </c>
      <c r="X285" s="1998">
        <v>0</v>
      </c>
      <c r="Y285" s="1998">
        <v>0</v>
      </c>
      <c r="Z285" s="1998">
        <v>7145</v>
      </c>
      <c r="AA285" s="1998">
        <v>0</v>
      </c>
      <c r="AB285" s="1998">
        <v>0</v>
      </c>
      <c r="AC285" s="1998">
        <v>0</v>
      </c>
      <c r="AD285" s="1998">
        <v>0</v>
      </c>
      <c r="AE285" s="1998">
        <v>0</v>
      </c>
      <c r="AF285" s="1998">
        <v>0</v>
      </c>
      <c r="AG285" s="1999">
        <v>142705</v>
      </c>
    </row>
    <row r="286" spans="1:33" ht="12.75" customHeight="1" x14ac:dyDescent="0.2">
      <c r="A286" s="666" t="s">
        <v>2119</v>
      </c>
      <c r="B286" s="666" t="s">
        <v>35</v>
      </c>
      <c r="C286" s="666"/>
      <c r="D286" s="666"/>
      <c r="E286" s="1996">
        <v>8200</v>
      </c>
      <c r="F286" s="1996">
        <v>0</v>
      </c>
      <c r="G286" s="1996">
        <v>0</v>
      </c>
      <c r="H286" s="1996">
        <v>0</v>
      </c>
      <c r="I286" s="1996">
        <v>0</v>
      </c>
      <c r="J286" s="1996">
        <v>0</v>
      </c>
      <c r="K286" s="1996">
        <v>2200</v>
      </c>
      <c r="L286" s="1996">
        <v>0</v>
      </c>
      <c r="M286" s="1996">
        <v>0</v>
      </c>
      <c r="N286" s="1996">
        <v>0</v>
      </c>
      <c r="O286" s="1996">
        <v>0</v>
      </c>
      <c r="P286" s="1996">
        <v>0</v>
      </c>
      <c r="Q286" s="1996">
        <v>0</v>
      </c>
      <c r="R286" s="1997">
        <v>6000</v>
      </c>
      <c r="S286" s="666" t="s">
        <v>39</v>
      </c>
      <c r="T286" s="1998">
        <v>230533</v>
      </c>
      <c r="U286" s="1998">
        <v>0</v>
      </c>
      <c r="V286" s="1998">
        <v>0</v>
      </c>
      <c r="W286" s="1998">
        <v>0</v>
      </c>
      <c r="X286" s="1998">
        <v>0</v>
      </c>
      <c r="Y286" s="1998">
        <v>0</v>
      </c>
      <c r="Z286" s="1998">
        <v>38839</v>
      </c>
      <c r="AA286" s="1998">
        <v>0</v>
      </c>
      <c r="AB286" s="1998">
        <v>0</v>
      </c>
      <c r="AC286" s="1998">
        <v>0</v>
      </c>
      <c r="AD286" s="1998">
        <v>0</v>
      </c>
      <c r="AE286" s="1998">
        <v>0</v>
      </c>
      <c r="AF286" s="1998">
        <v>0</v>
      </c>
      <c r="AG286" s="1999">
        <v>191694</v>
      </c>
    </row>
    <row r="287" spans="1:33" ht="12.75" customHeight="1" x14ac:dyDescent="0.2">
      <c r="A287" s="666" t="s">
        <v>2120</v>
      </c>
      <c r="B287" s="1997">
        <v>20164</v>
      </c>
      <c r="C287" s="1997">
        <v>0</v>
      </c>
      <c r="D287" s="1997">
        <v>1620</v>
      </c>
      <c r="E287" s="1998">
        <v>0</v>
      </c>
      <c r="F287" s="1997">
        <v>0</v>
      </c>
      <c r="G287" s="1997">
        <v>0</v>
      </c>
      <c r="H287" s="1997">
        <v>4610</v>
      </c>
      <c r="I287" s="1997">
        <v>0</v>
      </c>
      <c r="J287" s="1996">
        <v>0</v>
      </c>
      <c r="K287" s="1996">
        <v>0</v>
      </c>
      <c r="L287" s="1997">
        <v>0</v>
      </c>
      <c r="M287" s="1996">
        <v>0</v>
      </c>
      <c r="N287" s="1996">
        <v>0</v>
      </c>
      <c r="O287" s="1997">
        <v>17174</v>
      </c>
      <c r="P287" s="666" t="s">
        <v>826</v>
      </c>
      <c r="Q287" s="1998">
        <v>542976</v>
      </c>
      <c r="R287" s="1998">
        <v>0</v>
      </c>
      <c r="S287" s="1998">
        <v>40500</v>
      </c>
      <c r="T287" s="1998">
        <v>0</v>
      </c>
      <c r="U287" s="1998">
        <v>0</v>
      </c>
      <c r="V287" s="1998">
        <v>0</v>
      </c>
      <c r="W287" s="1998">
        <v>103577</v>
      </c>
      <c r="X287" s="1998">
        <v>0</v>
      </c>
      <c r="Y287" s="1998">
        <v>0</v>
      </c>
      <c r="Z287" s="1998">
        <v>0</v>
      </c>
      <c r="AA287" s="1998">
        <v>0</v>
      </c>
      <c r="AB287" s="1998">
        <v>0</v>
      </c>
      <c r="AC287" s="1998">
        <v>0</v>
      </c>
      <c r="AD287" s="1998">
        <v>479899</v>
      </c>
      <c r="AE287" s="666"/>
      <c r="AF287" s="666"/>
      <c r="AG287" s="666"/>
    </row>
    <row r="288" spans="1:33" ht="12.75" customHeight="1" x14ac:dyDescent="0.2">
      <c r="A288" s="666" t="s">
        <v>2121</v>
      </c>
      <c r="B288" s="666" t="s">
        <v>35</v>
      </c>
      <c r="C288" s="666"/>
      <c r="D288" s="666"/>
      <c r="E288" s="1996">
        <v>20</v>
      </c>
      <c r="F288" s="1996">
        <v>0</v>
      </c>
      <c r="G288" s="1996">
        <v>0</v>
      </c>
      <c r="H288" s="1996">
        <v>0</v>
      </c>
      <c r="I288" s="1996">
        <v>0</v>
      </c>
      <c r="J288" s="1996">
        <v>0</v>
      </c>
      <c r="K288" s="1996">
        <v>0</v>
      </c>
      <c r="L288" s="1996">
        <v>0</v>
      </c>
      <c r="M288" s="1996">
        <v>0</v>
      </c>
      <c r="N288" s="1996">
        <v>0</v>
      </c>
      <c r="O288" s="1996">
        <v>20</v>
      </c>
      <c r="P288" s="1996">
        <v>0</v>
      </c>
      <c r="Q288" s="1996">
        <v>0</v>
      </c>
      <c r="R288" s="1997">
        <v>0</v>
      </c>
      <c r="S288" s="666" t="s">
        <v>2122</v>
      </c>
      <c r="T288" s="1998">
        <v>33160</v>
      </c>
      <c r="U288" s="1998">
        <v>0</v>
      </c>
      <c r="V288" s="1998">
        <v>0</v>
      </c>
      <c r="W288" s="1998">
        <v>0</v>
      </c>
      <c r="X288" s="1998">
        <v>0</v>
      </c>
      <c r="Y288" s="1998">
        <v>0</v>
      </c>
      <c r="Z288" s="1998">
        <v>0</v>
      </c>
      <c r="AA288" s="1998">
        <v>0</v>
      </c>
      <c r="AB288" s="1998">
        <v>0</v>
      </c>
      <c r="AC288" s="1998">
        <v>0</v>
      </c>
      <c r="AD288" s="1998">
        <v>33160</v>
      </c>
      <c r="AE288" s="1998">
        <v>0</v>
      </c>
      <c r="AF288" s="1998">
        <v>0</v>
      </c>
      <c r="AG288" s="1999">
        <v>0</v>
      </c>
    </row>
    <row r="289" spans="1:35" x14ac:dyDescent="0.2">
      <c r="A289" s="666" t="s">
        <v>2123</v>
      </c>
      <c r="B289" s="666" t="s">
        <v>35</v>
      </c>
      <c r="C289" s="666"/>
      <c r="D289" s="666"/>
      <c r="E289" s="1996">
        <v>64</v>
      </c>
      <c r="F289" s="1996">
        <v>0</v>
      </c>
      <c r="G289" s="1996">
        <v>0</v>
      </c>
      <c r="H289" s="1996">
        <v>0</v>
      </c>
      <c r="I289" s="1996">
        <v>20</v>
      </c>
      <c r="J289" s="1996">
        <v>0</v>
      </c>
      <c r="K289" s="1996">
        <v>49</v>
      </c>
      <c r="L289" s="1996">
        <v>0</v>
      </c>
      <c r="M289" s="1996">
        <v>0</v>
      </c>
      <c r="N289" s="1996">
        <v>0</v>
      </c>
      <c r="O289" s="1996">
        <v>0</v>
      </c>
      <c r="P289" s="1996">
        <v>0</v>
      </c>
      <c r="Q289" s="1996">
        <v>0</v>
      </c>
      <c r="R289" s="1997">
        <v>35</v>
      </c>
      <c r="S289" s="666" t="s">
        <v>1589</v>
      </c>
      <c r="T289" s="1998">
        <v>99744</v>
      </c>
      <c r="U289" s="1998">
        <v>0</v>
      </c>
      <c r="V289" s="1998">
        <v>0</v>
      </c>
      <c r="W289" s="1998">
        <v>0</v>
      </c>
      <c r="X289" s="1998">
        <v>33160</v>
      </c>
      <c r="Y289" s="1998">
        <v>0</v>
      </c>
      <c r="Z289" s="1998">
        <v>64280</v>
      </c>
      <c r="AA289" s="1998">
        <v>0</v>
      </c>
      <c r="AB289" s="1998">
        <v>0</v>
      </c>
      <c r="AC289" s="1998">
        <v>0</v>
      </c>
      <c r="AD289" s="1998">
        <v>0</v>
      </c>
      <c r="AE289" s="1998">
        <v>0</v>
      </c>
      <c r="AF289" s="1998">
        <v>0</v>
      </c>
      <c r="AG289" s="1999">
        <v>68624</v>
      </c>
    </row>
    <row r="290" spans="1:35" x14ac:dyDescent="0.2">
      <c r="A290" s="666" t="s">
        <v>2124</v>
      </c>
      <c r="B290" s="1997">
        <v>84</v>
      </c>
      <c r="C290" s="1997">
        <v>0</v>
      </c>
      <c r="D290" s="1997">
        <v>0</v>
      </c>
      <c r="E290" s="1998">
        <v>0</v>
      </c>
      <c r="F290" s="1997">
        <v>20</v>
      </c>
      <c r="G290" s="1997">
        <v>0</v>
      </c>
      <c r="H290" s="1997">
        <v>49</v>
      </c>
      <c r="I290" s="1997">
        <v>0</v>
      </c>
      <c r="J290" s="1996">
        <v>0</v>
      </c>
      <c r="K290" s="1996">
        <v>0</v>
      </c>
      <c r="L290" s="1997">
        <v>20</v>
      </c>
      <c r="M290" s="1996">
        <v>0</v>
      </c>
      <c r="N290" s="1996">
        <v>0</v>
      </c>
      <c r="O290" s="1997">
        <v>35</v>
      </c>
      <c r="P290" s="666" t="s">
        <v>1202</v>
      </c>
      <c r="Q290" s="1998">
        <v>132904</v>
      </c>
      <c r="R290" s="1998">
        <v>0</v>
      </c>
      <c r="S290" s="1998">
        <v>0</v>
      </c>
      <c r="T290" s="1998">
        <v>0</v>
      </c>
      <c r="U290" s="1998">
        <v>33160</v>
      </c>
      <c r="V290" s="1998">
        <v>0</v>
      </c>
      <c r="W290" s="1998">
        <v>64280</v>
      </c>
      <c r="X290" s="1998">
        <v>0</v>
      </c>
      <c r="Y290" s="1998">
        <v>0</v>
      </c>
      <c r="Z290" s="1998">
        <v>0</v>
      </c>
      <c r="AA290" s="1998">
        <v>33160</v>
      </c>
      <c r="AB290" s="1998">
        <v>0</v>
      </c>
      <c r="AC290" s="1998">
        <v>0</v>
      </c>
      <c r="AD290" s="1998">
        <v>68624</v>
      </c>
      <c r="AE290" s="666"/>
      <c r="AF290" s="666"/>
      <c r="AG290" s="666"/>
    </row>
    <row r="291" spans="1:35" x14ac:dyDescent="0.2">
      <c r="A291" s="1996">
        <v>35673</v>
      </c>
      <c r="B291" s="1996">
        <v>679</v>
      </c>
      <c r="C291" s="1996">
        <v>1654</v>
      </c>
      <c r="D291" s="1996">
        <v>0</v>
      </c>
      <c r="E291" s="1996">
        <v>38</v>
      </c>
      <c r="F291" s="1996">
        <v>0</v>
      </c>
      <c r="G291" s="1996">
        <v>9274</v>
      </c>
      <c r="H291" s="1996">
        <v>0</v>
      </c>
      <c r="I291" s="1996">
        <v>0</v>
      </c>
      <c r="J291" s="1996">
        <v>0</v>
      </c>
      <c r="K291" s="1996">
        <v>38</v>
      </c>
      <c r="L291" s="1996">
        <v>0</v>
      </c>
      <c r="M291" s="1996">
        <v>0</v>
      </c>
      <c r="N291" s="1997">
        <v>28732</v>
      </c>
      <c r="O291" s="666" t="s">
        <v>2034</v>
      </c>
      <c r="P291" s="1998">
        <v>36037445</v>
      </c>
      <c r="Q291" s="1998">
        <v>2766491</v>
      </c>
      <c r="R291" s="1998">
        <v>137980</v>
      </c>
      <c r="S291" s="1998">
        <v>0</v>
      </c>
      <c r="T291" s="1998">
        <v>671836</v>
      </c>
      <c r="U291" s="1998">
        <v>0</v>
      </c>
      <c r="V291" s="1998">
        <v>9141212</v>
      </c>
      <c r="W291" s="1998">
        <v>0</v>
      </c>
      <c r="X291" s="1998">
        <v>0</v>
      </c>
      <c r="Y291" s="1998">
        <v>0</v>
      </c>
      <c r="Z291" s="1998">
        <v>671836</v>
      </c>
      <c r="AA291" s="1998">
        <v>0</v>
      </c>
      <c r="AB291" s="1998">
        <v>20</v>
      </c>
      <c r="AC291" s="1998">
        <v>29800684</v>
      </c>
      <c r="AD291" s="666"/>
      <c r="AE291" s="666"/>
      <c r="AF291" s="666"/>
      <c r="AG291" s="666"/>
      <c r="AI291" s="544"/>
    </row>
    <row r="292" spans="1:35" x14ac:dyDescent="0.2">
      <c r="A292" s="666"/>
      <c r="B292" s="666"/>
      <c r="C292" s="666"/>
      <c r="D292" s="666"/>
      <c r="E292" s="666"/>
      <c r="F292" s="666"/>
      <c r="G292" s="666"/>
      <c r="H292" s="666"/>
      <c r="I292" s="666"/>
      <c r="J292" s="666"/>
      <c r="K292" s="666"/>
      <c r="L292" s="666"/>
      <c r="M292" s="666"/>
      <c r="N292" s="666"/>
      <c r="O292" s="666"/>
      <c r="P292" s="666"/>
      <c r="Q292" s="666"/>
      <c r="R292" s="666"/>
      <c r="S292" s="666"/>
      <c r="T292" s="666"/>
      <c r="U292" s="666"/>
      <c r="V292" s="666"/>
      <c r="W292" s="666"/>
      <c r="X292" s="666"/>
      <c r="Y292" s="666"/>
      <c r="Z292" s="666"/>
      <c r="AA292" s="666"/>
      <c r="AB292" s="666"/>
      <c r="AC292" s="666"/>
      <c r="AD292" s="666"/>
      <c r="AE292" s="666"/>
      <c r="AF292" s="666"/>
      <c r="AG292" s="666"/>
    </row>
    <row r="293" spans="1:35" ht="12.75" customHeight="1" x14ac:dyDescent="0.2">
      <c r="A293" s="666"/>
      <c r="B293" s="666"/>
      <c r="C293" s="666"/>
      <c r="D293" s="666"/>
      <c r="E293" s="666"/>
      <c r="F293" s="666"/>
      <c r="G293" s="666"/>
      <c r="H293" s="666"/>
      <c r="I293" s="666"/>
      <c r="J293" s="666"/>
      <c r="K293" s="666"/>
      <c r="L293" s="666"/>
      <c r="M293" s="666"/>
      <c r="N293" s="666"/>
      <c r="O293" s="666"/>
      <c r="P293" s="666"/>
      <c r="Q293" s="666"/>
      <c r="R293" s="666"/>
      <c r="S293" s="666"/>
      <c r="T293" s="666"/>
      <c r="U293" s="666"/>
      <c r="V293" s="666"/>
      <c r="W293" s="666"/>
      <c r="X293" s="666"/>
      <c r="Y293" s="666"/>
      <c r="Z293" s="666"/>
      <c r="AA293" s="666"/>
      <c r="AB293" s="666"/>
      <c r="AC293" s="666"/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1593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1445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1445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1690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1593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9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1445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1381</v>
      </c>
      <c r="C326" s="1067" t="s">
        <v>811</v>
      </c>
    </row>
    <row r="327" spans="2:3" x14ac:dyDescent="0.2">
      <c r="B327" s="667" t="s">
        <v>1380</v>
      </c>
      <c r="C327" s="1067" t="s">
        <v>1282</v>
      </c>
    </row>
    <row r="328" spans="2:3" x14ac:dyDescent="0.2">
      <c r="B328" s="667" t="s">
        <v>1387</v>
      </c>
      <c r="C328" s="1067" t="s">
        <v>1370</v>
      </c>
    </row>
    <row r="329" spans="2:3" x14ac:dyDescent="0.2">
      <c r="B329" s="667" t="s">
        <v>1388</v>
      </c>
      <c r="C329" s="1067" t="s">
        <v>234</v>
      </c>
    </row>
    <row r="330" spans="2:3" x14ac:dyDescent="0.2">
      <c r="B330" s="667" t="s">
        <v>1389</v>
      </c>
      <c r="C330" s="1067" t="s">
        <v>823</v>
      </c>
    </row>
    <row r="331" spans="2:3" x14ac:dyDescent="0.2">
      <c r="B331" s="667" t="s">
        <v>1398</v>
      </c>
      <c r="C331" s="666" t="s">
        <v>1394</v>
      </c>
    </row>
    <row r="332" spans="2:3" x14ac:dyDescent="0.2">
      <c r="B332" s="667" t="s">
        <v>1401</v>
      </c>
      <c r="C332" s="666" t="s">
        <v>1402</v>
      </c>
    </row>
    <row r="333" spans="2:3" x14ac:dyDescent="0.2">
      <c r="B333" s="1204" t="s">
        <v>1013</v>
      </c>
      <c r="C333" s="666" t="s">
        <v>1445</v>
      </c>
    </row>
    <row r="334" spans="2:3" x14ac:dyDescent="0.2">
      <c r="B334" s="667" t="s">
        <v>1407</v>
      </c>
      <c r="C334" s="666" t="s">
        <v>1403</v>
      </c>
    </row>
    <row r="335" spans="2:3" x14ac:dyDescent="0.2">
      <c r="B335" s="1204" t="s">
        <v>1414</v>
      </c>
      <c r="C335" s="1067" t="s">
        <v>804</v>
      </c>
    </row>
    <row r="336" spans="2:3" x14ac:dyDescent="0.2">
      <c r="B336" s="1204" t="s">
        <v>1416</v>
      </c>
      <c r="C336" s="1067" t="s">
        <v>804</v>
      </c>
    </row>
    <row r="337" spans="2:3" ht="15.75" x14ac:dyDescent="0.25">
      <c r="B337" s="667" t="s">
        <v>1427</v>
      </c>
      <c r="C337" s="795" t="s">
        <v>805</v>
      </c>
    </row>
    <row r="338" spans="2:3" x14ac:dyDescent="0.2">
      <c r="B338" s="667" t="s">
        <v>1433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1434</v>
      </c>
      <c r="C340" s="814" t="s">
        <v>1429</v>
      </c>
    </row>
    <row r="341" spans="2:3" ht="15.75" x14ac:dyDescent="0.25">
      <c r="B341" s="1204" t="s">
        <v>1442</v>
      </c>
      <c r="C341" s="795" t="s">
        <v>1439</v>
      </c>
    </row>
    <row r="342" spans="2:3" x14ac:dyDescent="0.2">
      <c r="B342" s="1204" t="s">
        <v>1443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1445</v>
      </c>
    </row>
    <row r="345" spans="2:3" x14ac:dyDescent="0.2">
      <c r="B345" s="1204" t="s">
        <v>1490</v>
      </c>
      <c r="C345" s="1204" t="s">
        <v>673</v>
      </c>
    </row>
    <row r="346" spans="2:3" x14ac:dyDescent="0.2">
      <c r="B346" s="1204" t="s">
        <v>1489</v>
      </c>
      <c r="C346" s="1222" t="s">
        <v>1172</v>
      </c>
    </row>
    <row r="347" spans="2:3" x14ac:dyDescent="0.2">
      <c r="B347" s="667" t="s">
        <v>1492</v>
      </c>
      <c r="C347" s="1067" t="s">
        <v>814</v>
      </c>
    </row>
    <row r="348" spans="2:3" x14ac:dyDescent="0.2">
      <c r="B348" s="1204" t="s">
        <v>1498</v>
      </c>
      <c r="C348" s="1067" t="s">
        <v>1198</v>
      </c>
    </row>
    <row r="349" spans="2:3" x14ac:dyDescent="0.2">
      <c r="B349" s="1722" t="s">
        <v>1497</v>
      </c>
      <c r="C349" s="666" t="s">
        <v>1499</v>
      </c>
    </row>
    <row r="350" spans="2:3" x14ac:dyDescent="0.2">
      <c r="B350" s="1204" t="s">
        <v>1500</v>
      </c>
      <c r="C350" s="1067" t="s">
        <v>809</v>
      </c>
    </row>
    <row r="351" spans="2:3" x14ac:dyDescent="0.2">
      <c r="B351" s="667" t="s">
        <v>1515</v>
      </c>
      <c r="C351" s="1067" t="s">
        <v>1516</v>
      </c>
    </row>
    <row r="352" spans="2:3" x14ac:dyDescent="0.2">
      <c r="B352" s="667" t="s">
        <v>1523</v>
      </c>
      <c r="C352" s="1067" t="s">
        <v>1521</v>
      </c>
    </row>
    <row r="353" spans="2:3" x14ac:dyDescent="0.2">
      <c r="B353" s="667" t="s">
        <v>1524</v>
      </c>
      <c r="C353" s="1067" t="s">
        <v>1507</v>
      </c>
    </row>
    <row r="354" spans="2:3" x14ac:dyDescent="0.2">
      <c r="B354" s="667" t="s">
        <v>1525</v>
      </c>
      <c r="C354" s="1067" t="s">
        <v>1506</v>
      </c>
    </row>
    <row r="355" spans="2:3" x14ac:dyDescent="0.2">
      <c r="B355" s="667" t="s">
        <v>1529</v>
      </c>
      <c r="C355" s="1067" t="s">
        <v>809</v>
      </c>
    </row>
    <row r="356" spans="2:3" x14ac:dyDescent="0.2">
      <c r="B356" s="667" t="s">
        <v>1530</v>
      </c>
      <c r="C356" s="1067" t="s">
        <v>1512</v>
      </c>
    </row>
    <row r="357" spans="2:3" x14ac:dyDescent="0.2">
      <c r="B357" s="667" t="s">
        <v>1531</v>
      </c>
      <c r="C357" s="666" t="s">
        <v>1535</v>
      </c>
    </row>
    <row r="358" spans="2:3" x14ac:dyDescent="0.2">
      <c r="B358" s="667" t="s">
        <v>1537</v>
      </c>
      <c r="C358" s="1067" t="s">
        <v>1516</v>
      </c>
    </row>
    <row r="359" spans="2:3" x14ac:dyDescent="0.2">
      <c r="B359" s="667" t="s">
        <v>1539</v>
      </c>
      <c r="C359" s="666" t="s">
        <v>1403</v>
      </c>
    </row>
    <row r="360" spans="2:3" x14ac:dyDescent="0.2">
      <c r="B360" s="667" t="s">
        <v>1546</v>
      </c>
      <c r="C360" s="1067" t="s">
        <v>810</v>
      </c>
    </row>
    <row r="361" spans="2:3" x14ac:dyDescent="0.2">
      <c r="B361" s="667" t="s">
        <v>1547</v>
      </c>
      <c r="C361" s="1067" t="s">
        <v>810</v>
      </c>
    </row>
    <row r="362" spans="2:3" x14ac:dyDescent="0.2">
      <c r="B362" s="667" t="s">
        <v>1552</v>
      </c>
      <c r="C362" s="1067" t="s">
        <v>807</v>
      </c>
    </row>
    <row r="363" spans="2:3" x14ac:dyDescent="0.2">
      <c r="B363" s="667" t="s">
        <v>1553</v>
      </c>
      <c r="C363" s="1067" t="s">
        <v>262</v>
      </c>
    </row>
    <row r="364" spans="2:3" x14ac:dyDescent="0.2">
      <c r="B364" s="1788" t="s">
        <v>1220</v>
      </c>
      <c r="C364" s="1070" t="s">
        <v>841</v>
      </c>
    </row>
    <row r="365" spans="2:3" x14ac:dyDescent="0.2">
      <c r="B365" s="667" t="s">
        <v>1565</v>
      </c>
      <c r="C365" s="1070" t="s">
        <v>841</v>
      </c>
    </row>
    <row r="366" spans="2:3" x14ac:dyDescent="0.2">
      <c r="B366" s="667" t="s">
        <v>1566</v>
      </c>
      <c r="C366" s="1070" t="s">
        <v>841</v>
      </c>
    </row>
    <row r="367" spans="2:3" ht="15.75" x14ac:dyDescent="0.25">
      <c r="B367" s="1204" t="s">
        <v>1569</v>
      </c>
      <c r="C367" s="795" t="s">
        <v>1562</v>
      </c>
    </row>
    <row r="368" spans="2:3" ht="15.75" x14ac:dyDescent="0.25">
      <c r="B368" s="1204" t="s">
        <v>1568</v>
      </c>
      <c r="C368" s="795" t="s">
        <v>1562</v>
      </c>
    </row>
    <row r="369" spans="2:3" x14ac:dyDescent="0.2">
      <c r="B369" s="1067" t="s">
        <v>1570</v>
      </c>
      <c r="C369" s="1067" t="s">
        <v>545</v>
      </c>
    </row>
    <row r="370" spans="2:3" x14ac:dyDescent="0.2">
      <c r="B370" s="667" t="s">
        <v>1571</v>
      </c>
      <c r="C370" s="1067" t="s">
        <v>808</v>
      </c>
    </row>
    <row r="371" spans="2:3" x14ac:dyDescent="0.2">
      <c r="B371" s="667" t="s">
        <v>1596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1577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1615</v>
      </c>
      <c r="C375" s="666" t="s">
        <v>1595</v>
      </c>
    </row>
    <row r="376" spans="2:3" ht="15.75" x14ac:dyDescent="0.25">
      <c r="B376" s="667" t="s">
        <v>1616</v>
      </c>
      <c r="C376" s="809" t="s">
        <v>1600</v>
      </c>
    </row>
    <row r="377" spans="2:3" x14ac:dyDescent="0.2">
      <c r="B377" s="667" t="s">
        <v>1617</v>
      </c>
      <c r="C377" s="1067" t="s">
        <v>1521</v>
      </c>
    </row>
    <row r="378" spans="2:3" x14ac:dyDescent="0.2">
      <c r="B378" s="667" t="s">
        <v>1618</v>
      </c>
      <c r="C378" s="1067" t="s">
        <v>545</v>
      </c>
    </row>
    <row r="379" spans="2:3" x14ac:dyDescent="0.2">
      <c r="B379" s="1204" t="s">
        <v>1620</v>
      </c>
      <c r="C379" s="1067" t="s">
        <v>807</v>
      </c>
    </row>
    <row r="380" spans="2:3" x14ac:dyDescent="0.2">
      <c r="B380" s="1204" t="s">
        <v>1629</v>
      </c>
      <c r="C380" s="1067" t="s">
        <v>808</v>
      </c>
    </row>
    <row r="381" spans="2:3" ht="15.75" x14ac:dyDescent="0.25">
      <c r="B381" s="1204" t="s">
        <v>1630</v>
      </c>
      <c r="C381" s="809" t="s">
        <v>1192</v>
      </c>
    </row>
    <row r="382" spans="2:3" x14ac:dyDescent="0.2">
      <c r="B382" s="667" t="s">
        <v>1662</v>
      </c>
      <c r="C382" s="666" t="s">
        <v>1654</v>
      </c>
    </row>
    <row r="383" spans="2:3" ht="15.75" x14ac:dyDescent="0.25">
      <c r="B383" s="667" t="s">
        <v>1671</v>
      </c>
      <c r="C383" s="809" t="s">
        <v>1659</v>
      </c>
    </row>
    <row r="384" spans="2:3" x14ac:dyDescent="0.2">
      <c r="B384" s="667" t="s">
        <v>1672</v>
      </c>
      <c r="C384" s="666" t="s">
        <v>1667</v>
      </c>
    </row>
    <row r="385" spans="2:3" x14ac:dyDescent="0.2">
      <c r="B385" s="667" t="s">
        <v>1673</v>
      </c>
      <c r="C385" s="1067" t="s">
        <v>1346</v>
      </c>
    </row>
    <row r="386" spans="2:3" ht="15.75" x14ac:dyDescent="0.25">
      <c r="B386" s="667" t="s">
        <v>1676</v>
      </c>
      <c r="C386" s="795" t="s">
        <v>805</v>
      </c>
    </row>
    <row r="387" spans="2:3" x14ac:dyDescent="0.2">
      <c r="B387" s="667" t="s">
        <v>1677</v>
      </c>
      <c r="C387" s="666" t="s">
        <v>1681</v>
      </c>
    </row>
    <row r="388" spans="2:3" ht="15.75" x14ac:dyDescent="0.25">
      <c r="B388" s="667" t="s">
        <v>1680</v>
      </c>
      <c r="C388" s="784" t="s">
        <v>1674</v>
      </c>
    </row>
    <row r="389" spans="2:3" ht="15.75" x14ac:dyDescent="0.2">
      <c r="B389" s="667" t="s">
        <v>1682</v>
      </c>
      <c r="C389" s="814" t="s">
        <v>659</v>
      </c>
    </row>
    <row r="390" spans="2:3" ht="15.75" x14ac:dyDescent="0.25">
      <c r="B390" s="667" t="s">
        <v>1689</v>
      </c>
      <c r="C390" s="809" t="s">
        <v>1683</v>
      </c>
    </row>
    <row r="391" spans="2:3" x14ac:dyDescent="0.2">
      <c r="B391" s="667" t="s">
        <v>1693</v>
      </c>
      <c r="C391" s="666" t="s">
        <v>1652</v>
      </c>
    </row>
    <row r="392" spans="2:3" ht="15.75" x14ac:dyDescent="0.25">
      <c r="B392" s="667" t="s">
        <v>1695</v>
      </c>
      <c r="C392" s="795" t="s">
        <v>813</v>
      </c>
    </row>
    <row r="393" spans="2:3" ht="15.75" x14ac:dyDescent="0.25">
      <c r="B393" s="667" t="s">
        <v>1700</v>
      </c>
      <c r="C393" s="809" t="s">
        <v>1685</v>
      </c>
    </row>
    <row r="394" spans="2:3" x14ac:dyDescent="0.2">
      <c r="B394" s="667" t="s">
        <v>1699</v>
      </c>
      <c r="C394" s="1067" t="s">
        <v>804</v>
      </c>
    </row>
    <row r="395" spans="2:3" ht="15.75" x14ac:dyDescent="0.25">
      <c r="B395" s="667" t="s">
        <v>1709</v>
      </c>
      <c r="C395" s="809" t="s">
        <v>1705</v>
      </c>
    </row>
    <row r="396" spans="2:3" x14ac:dyDescent="0.2">
      <c r="B396" s="667" t="s">
        <v>1723</v>
      </c>
      <c r="C396" s="1067" t="s">
        <v>1714</v>
      </c>
    </row>
    <row r="397" spans="2:3" x14ac:dyDescent="0.2">
      <c r="B397" s="667" t="s">
        <v>1724</v>
      </c>
      <c r="C397" s="666" t="s">
        <v>1718</v>
      </c>
    </row>
    <row r="398" spans="2:3" ht="15.75" x14ac:dyDescent="0.25">
      <c r="B398" s="667" t="s">
        <v>1725</v>
      </c>
      <c r="C398" s="795" t="s">
        <v>323</v>
      </c>
    </row>
    <row r="399" spans="2:3" ht="15.75" x14ac:dyDescent="0.25">
      <c r="B399" s="667" t="s">
        <v>1739</v>
      </c>
      <c r="C399" s="809" t="s">
        <v>1705</v>
      </c>
    </row>
    <row r="400" spans="2:3" x14ac:dyDescent="0.2">
      <c r="B400" s="667" t="s">
        <v>1751</v>
      </c>
      <c r="C400" s="1067" t="s">
        <v>804</v>
      </c>
    </row>
    <row r="401" spans="2:3" ht="15.75" x14ac:dyDescent="0.25">
      <c r="B401" s="667" t="s">
        <v>1770</v>
      </c>
      <c r="C401" s="795" t="s">
        <v>846</v>
      </c>
    </row>
    <row r="402" spans="2:3" ht="15.75" x14ac:dyDescent="0.25">
      <c r="B402" s="667" t="s">
        <v>1769</v>
      </c>
      <c r="C402" s="809" t="s">
        <v>1637</v>
      </c>
    </row>
    <row r="403" spans="2:3" x14ac:dyDescent="0.2">
      <c r="B403" s="667" t="s">
        <v>1768</v>
      </c>
      <c r="C403" s="666" t="s">
        <v>1729</v>
      </c>
    </row>
    <row r="404" spans="2:3" ht="15.75" x14ac:dyDescent="0.25">
      <c r="B404" s="667" t="s">
        <v>1767</v>
      </c>
      <c r="C404" s="809" t="s">
        <v>1636</v>
      </c>
    </row>
    <row r="405" spans="2:3" x14ac:dyDescent="0.2">
      <c r="B405" s="667" t="s">
        <v>1766</v>
      </c>
      <c r="C405" s="666" t="s">
        <v>1737</v>
      </c>
    </row>
    <row r="406" spans="2:3" ht="15.75" x14ac:dyDescent="0.25">
      <c r="B406" s="667" t="s">
        <v>1765</v>
      </c>
      <c r="C406" s="809" t="s">
        <v>1641</v>
      </c>
    </row>
    <row r="407" spans="2:3" ht="15.75" x14ac:dyDescent="0.25">
      <c r="B407" s="667" t="s">
        <v>1764</v>
      </c>
      <c r="C407" s="809" t="s">
        <v>808</v>
      </c>
    </row>
    <row r="408" spans="2:3" ht="15.75" x14ac:dyDescent="0.25">
      <c r="B408" s="667" t="s">
        <v>1763</v>
      </c>
      <c r="C408" s="809" t="s">
        <v>1643</v>
      </c>
    </row>
    <row r="409" spans="2:3" ht="15.75" x14ac:dyDescent="0.25">
      <c r="B409" s="667" t="s">
        <v>1771</v>
      </c>
      <c r="C409" s="809" t="s">
        <v>1733</v>
      </c>
    </row>
    <row r="410" spans="2:3" x14ac:dyDescent="0.2">
      <c r="B410" s="667" t="s">
        <v>1777</v>
      </c>
      <c r="C410" s="666" t="s">
        <v>1788</v>
      </c>
    </row>
    <row r="411" spans="2:3" ht="15.75" x14ac:dyDescent="0.25">
      <c r="B411" s="667" t="s">
        <v>1776</v>
      </c>
      <c r="C411" s="795" t="s">
        <v>1244</v>
      </c>
    </row>
    <row r="412" spans="2:3" ht="15.75" x14ac:dyDescent="0.25">
      <c r="B412" s="667" t="s">
        <v>1778</v>
      </c>
      <c r="C412" s="809" t="s">
        <v>808</v>
      </c>
    </row>
    <row r="413" spans="2:3" ht="15.75" x14ac:dyDescent="0.25">
      <c r="B413" s="667" t="s">
        <v>1779</v>
      </c>
      <c r="C413" s="809" t="s">
        <v>1632</v>
      </c>
    </row>
    <row r="414" spans="2:3" ht="15.75" x14ac:dyDescent="0.25">
      <c r="B414" s="667" t="s">
        <v>1780</v>
      </c>
      <c r="C414" s="809" t="s">
        <v>1757</v>
      </c>
    </row>
    <row r="415" spans="2:3" ht="15.75" x14ac:dyDescent="0.25">
      <c r="B415" s="667" t="s">
        <v>1785</v>
      </c>
      <c r="C415" s="795" t="s">
        <v>1202</v>
      </c>
    </row>
    <row r="416" spans="2:3" x14ac:dyDescent="0.2">
      <c r="B416" s="667" t="s">
        <v>1786</v>
      </c>
      <c r="C416" s="666" t="s">
        <v>1740</v>
      </c>
    </row>
    <row r="417" spans="2:3" x14ac:dyDescent="0.2">
      <c r="B417" s="667" t="s">
        <v>1787</v>
      </c>
      <c r="C417" s="666" t="s">
        <v>1731</v>
      </c>
    </row>
    <row r="418" spans="2:3" x14ac:dyDescent="0.2">
      <c r="B418" s="667" t="s">
        <v>1807</v>
      </c>
      <c r="C418" s="1067" t="s">
        <v>804</v>
      </c>
    </row>
    <row r="419" spans="2:3" ht="15.75" x14ac:dyDescent="0.25">
      <c r="B419" s="667" t="s">
        <v>1815</v>
      </c>
      <c r="C419" s="795" t="s">
        <v>323</v>
      </c>
    </row>
    <row r="420" spans="2:3" ht="15.75" x14ac:dyDescent="0.2">
      <c r="B420" s="667" t="s">
        <v>1814</v>
      </c>
      <c r="C420" s="814" t="s">
        <v>1803</v>
      </c>
    </row>
    <row r="421" spans="2:3" ht="15.75" x14ac:dyDescent="0.2">
      <c r="B421" s="667" t="s">
        <v>1827</v>
      </c>
      <c r="C421" s="814" t="s">
        <v>1818</v>
      </c>
    </row>
    <row r="422" spans="2:3" x14ac:dyDescent="0.2">
      <c r="B422" s="667" t="s">
        <v>1857</v>
      </c>
      <c r="C422" s="1163" t="s">
        <v>1792</v>
      </c>
    </row>
    <row r="423" spans="2:3" x14ac:dyDescent="0.2">
      <c r="B423" s="667" t="s">
        <v>1867</v>
      </c>
      <c r="C423" s="1163" t="s">
        <v>1844</v>
      </c>
    </row>
    <row r="424" spans="2:3" ht="15.75" x14ac:dyDescent="0.25">
      <c r="B424" s="667" t="s">
        <v>1868</v>
      </c>
      <c r="C424" s="809" t="s">
        <v>1639</v>
      </c>
    </row>
    <row r="425" spans="2:3" x14ac:dyDescent="0.2">
      <c r="B425" s="667" t="s">
        <v>1869</v>
      </c>
      <c r="C425" s="1163" t="s">
        <v>1846</v>
      </c>
    </row>
    <row r="426" spans="2:3" x14ac:dyDescent="0.2">
      <c r="B426" s="667" t="s">
        <v>1873</v>
      </c>
      <c r="C426" s="666" t="s">
        <v>1788</v>
      </c>
    </row>
    <row r="427" spans="2:3" x14ac:dyDescent="0.2">
      <c r="B427" s="667" t="s">
        <v>1885</v>
      </c>
      <c r="C427" s="1067" t="s">
        <v>813</v>
      </c>
    </row>
    <row r="428" spans="2:3" ht="15.75" x14ac:dyDescent="0.25">
      <c r="B428" s="667" t="s">
        <v>1886</v>
      </c>
      <c r="C428" s="818" t="s">
        <v>834</v>
      </c>
    </row>
    <row r="429" spans="2:3" ht="15.75" x14ac:dyDescent="0.2">
      <c r="B429" s="667" t="s">
        <v>1899</v>
      </c>
      <c r="C429" s="814" t="s">
        <v>1871</v>
      </c>
    </row>
    <row r="430" spans="2:3" x14ac:dyDescent="0.2">
      <c r="B430" s="667" t="s">
        <v>1932</v>
      </c>
      <c r="C430" s="1067" t="s">
        <v>807</v>
      </c>
    </row>
    <row r="431" spans="2:3" ht="15.75" x14ac:dyDescent="0.25">
      <c r="B431" s="667" t="s">
        <v>1931</v>
      </c>
      <c r="C431" s="795" t="s">
        <v>1964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2026-09-12T03:11:09Z</dcterms:modified>
</cp:coreProperties>
</file>