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0588ADB9-082D-4A41-8ACA-A4CAAF33534E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97" i="2" l="1"/>
  <c r="F1796" i="2"/>
  <c r="F1726" i="2"/>
  <c r="F1725" i="2"/>
  <c r="F1101" i="2"/>
  <c r="F880" i="2"/>
  <c r="F879" i="2"/>
  <c r="F872" i="2"/>
  <c r="F871" i="2"/>
  <c r="F772" i="2"/>
  <c r="I153" i="2"/>
  <c r="I1965" i="2"/>
  <c r="I1317" i="2"/>
  <c r="F552" i="2"/>
  <c r="F551" i="2"/>
  <c r="F550" i="2"/>
  <c r="F549" i="2"/>
  <c r="F548" i="2"/>
  <c r="F547" i="2"/>
  <c r="F546" i="2"/>
  <c r="F545" i="2"/>
  <c r="F544" i="2"/>
  <c r="F1378" i="2"/>
  <c r="F1377" i="2"/>
  <c r="F1379" i="2"/>
  <c r="K502" i="2"/>
  <c r="F482" i="2"/>
  <c r="F481" i="2"/>
  <c r="F480" i="2"/>
  <c r="F479" i="2"/>
  <c r="F478" i="2"/>
  <c r="F477" i="2"/>
  <c r="F476" i="2"/>
  <c r="F475" i="2"/>
  <c r="F425" i="2"/>
  <c r="F424" i="2"/>
  <c r="F408" i="2"/>
  <c r="F407" i="2"/>
  <c r="J18" i="8"/>
  <c r="G1600" i="2"/>
  <c r="G615" i="2"/>
  <c r="G614" i="2"/>
  <c r="G378" i="2"/>
  <c r="G194" i="2"/>
  <c r="T553" i="2"/>
  <c r="F1884" i="2"/>
  <c r="F575" i="2"/>
  <c r="F409" i="2"/>
  <c r="F344" i="2"/>
  <c r="F343" i="2"/>
  <c r="F342" i="2"/>
  <c r="F302" i="2"/>
  <c r="F1947" i="2"/>
  <c r="F1946" i="2"/>
  <c r="F1945" i="2"/>
  <c r="F1944" i="2"/>
  <c r="F1943" i="2"/>
  <c r="F1942" i="2"/>
  <c r="F655" i="2"/>
  <c r="F654" i="2"/>
  <c r="F1769" i="2"/>
  <c r="F1922" i="2"/>
  <c r="F1921" i="2"/>
  <c r="F1920" i="2"/>
  <c r="F1198" i="2"/>
  <c r="F473" i="2"/>
  <c r="F474" i="2"/>
  <c r="F836" i="2"/>
  <c r="F835" i="2"/>
  <c r="T552" i="2"/>
  <c r="F1948" i="2"/>
  <c r="T622" i="2"/>
  <c r="F1220" i="2"/>
  <c r="F1219" i="2"/>
  <c r="F1218" i="2"/>
  <c r="F1199" i="2"/>
  <c r="F1037" i="2"/>
  <c r="F695" i="2"/>
  <c r="F694" i="2"/>
  <c r="F693" i="2"/>
  <c r="F692" i="2"/>
  <c r="F691" i="2"/>
  <c r="F690" i="2"/>
  <c r="F684" i="2"/>
  <c r="F683" i="2"/>
  <c r="F682" i="2"/>
  <c r="F410" i="2"/>
  <c r="O38" i="2"/>
  <c r="O80" i="2"/>
  <c r="O224" i="2"/>
  <c r="O218" i="2"/>
  <c r="O209" i="2"/>
  <c r="F1012" i="2"/>
  <c r="F1011" i="2"/>
  <c r="F873" i="2"/>
  <c r="F145" i="2"/>
  <c r="F144" i="2"/>
  <c r="T1536" i="2"/>
  <c r="T1537" i="2"/>
  <c r="T1538" i="2"/>
  <c r="T1539" i="2"/>
  <c r="T1432" i="2"/>
  <c r="F1923" i="2"/>
  <c r="F1618" i="2"/>
  <c r="F1617" i="2"/>
  <c r="F1616" i="2"/>
  <c r="F1499" i="2"/>
  <c r="F1498" i="2"/>
  <c r="F1358" i="2"/>
  <c r="F1357" i="2"/>
  <c r="F1315" i="2"/>
  <c r="F1314" i="2"/>
  <c r="F1313" i="2"/>
  <c r="F1312" i="2"/>
  <c r="F1289" i="2"/>
  <c r="F1288" i="2"/>
  <c r="F807" i="2"/>
  <c r="F505" i="2"/>
  <c r="F504" i="2"/>
  <c r="F503" i="2"/>
  <c r="F502" i="2"/>
  <c r="F501" i="2"/>
  <c r="F461" i="2"/>
  <c r="F460" i="2"/>
  <c r="F459" i="2"/>
  <c r="F458" i="2"/>
  <c r="F143" i="2"/>
  <c r="F469" i="2"/>
  <c r="F470" i="2"/>
  <c r="F471" i="2"/>
  <c r="F472" i="2"/>
  <c r="F1949" i="2"/>
  <c r="W1315" i="2"/>
  <c r="X1315" i="2" s="1"/>
  <c r="T1315" i="2"/>
  <c r="R1315" i="2"/>
  <c r="W1510" i="2"/>
  <c r="X1510" i="2" s="1"/>
  <c r="T1510" i="2"/>
  <c r="R1510" i="2"/>
  <c r="F1510" i="2"/>
  <c r="W1562" i="2"/>
  <c r="X1562" i="2" s="1"/>
  <c r="T1562" i="2"/>
  <c r="R1562" i="2"/>
  <c r="F1562" i="2"/>
  <c r="W1557" i="2"/>
  <c r="X1557" i="2" s="1"/>
  <c r="T1557" i="2"/>
  <c r="R1557" i="2"/>
  <c r="F1557" i="2"/>
  <c r="W1537" i="2"/>
  <c r="X1537" i="2" s="1"/>
  <c r="R1537" i="2"/>
  <c r="F1537" i="2"/>
  <c r="F1863" i="2" l="1"/>
  <c r="F1294" i="2"/>
  <c r="F1847" i="2"/>
  <c r="W1314" i="2"/>
  <c r="X1314" i="2" s="1"/>
  <c r="T1314" i="2"/>
  <c r="R1314" i="2"/>
  <c r="F1306" i="2"/>
  <c r="F1305" i="2"/>
  <c r="F1304" i="2"/>
  <c r="F725" i="2"/>
  <c r="F406" i="2"/>
  <c r="F405" i="2"/>
  <c r="F404" i="2"/>
  <c r="F403" i="2"/>
  <c r="F1885" i="2"/>
  <c r="F1727" i="2"/>
  <c r="F1707" i="2"/>
  <c r="F1706" i="2"/>
  <c r="F1705" i="2"/>
  <c r="F1704" i="2"/>
  <c r="F1703" i="2"/>
  <c r="F1685" i="2"/>
  <c r="F1670" i="2"/>
  <c r="F1631" i="2"/>
  <c r="F914" i="2"/>
  <c r="F913" i="2"/>
  <c r="T1561" i="2"/>
  <c r="F1426" i="2"/>
  <c r="F1193" i="2"/>
  <c r="F1192" i="2"/>
  <c r="F1834" i="2"/>
  <c r="F1818" i="2"/>
  <c r="F1855" i="2"/>
  <c r="T302" i="2"/>
  <c r="F1924" i="2"/>
  <c r="F1601" i="2"/>
  <c r="F1615" i="2"/>
  <c r="F1551" i="2"/>
  <c r="F1550" i="2"/>
  <c r="F1206" i="2"/>
  <c r="F1205" i="2"/>
  <c r="F939" i="2"/>
  <c r="F938" i="2"/>
  <c r="F908" i="2"/>
  <c r="F907" i="2"/>
  <c r="F906" i="2"/>
  <c r="F905" i="2"/>
  <c r="F904" i="2"/>
  <c r="F903" i="2"/>
  <c r="F881" i="2"/>
  <c r="F771" i="2"/>
  <c r="F770" i="2"/>
  <c r="F685" i="2"/>
  <c r="F617" i="2"/>
  <c r="F616" i="2"/>
  <c r="F1783" i="2"/>
  <c r="F1782" i="2"/>
  <c r="F1054" i="2"/>
  <c r="F674" i="2"/>
  <c r="F673" i="2"/>
  <c r="F630" i="2"/>
  <c r="T470" i="2"/>
  <c r="T471" i="2"/>
  <c r="T472" i="2"/>
  <c r="T473" i="2"/>
  <c r="T474" i="2"/>
  <c r="T469" i="2"/>
  <c r="F1864" i="2"/>
  <c r="F978" i="2"/>
  <c r="F1819" i="2"/>
  <c r="F1798" i="2"/>
  <c r="F1708" i="2"/>
  <c r="I79" i="2"/>
  <c r="F444" i="2"/>
  <c r="F1872" i="2"/>
  <c r="F1871" i="2"/>
  <c r="F1556" i="2"/>
  <c r="F1200" i="2"/>
  <c r="F1728" i="2"/>
  <c r="F1504" i="2"/>
  <c r="F1503" i="2"/>
  <c r="F452" i="2"/>
  <c r="K571" i="2"/>
  <c r="F998" i="2"/>
  <c r="F1207" i="2"/>
  <c r="F985" i="2"/>
  <c r="F656" i="2"/>
  <c r="F345" i="2"/>
  <c r="G1957" i="2"/>
  <c r="F1579" i="2"/>
  <c r="F1526" i="2"/>
  <c r="F1525" i="2"/>
  <c r="W1515" i="2"/>
  <c r="X1515" i="2" s="1"/>
  <c r="T1515" i="2"/>
  <c r="R1515" i="2"/>
  <c r="F1515" i="2"/>
  <c r="W1536" i="2"/>
  <c r="X1536" i="2" s="1"/>
  <c r="R1536" i="2"/>
  <c r="F1536" i="2"/>
  <c r="F506" i="2"/>
  <c r="F1878" i="2"/>
  <c r="F1842" i="2"/>
  <c r="F1762" i="2"/>
  <c r="F762" i="2"/>
  <c r="F1545" i="2"/>
  <c r="T815" i="2"/>
  <c r="T814" i="2"/>
  <c r="F303" i="2"/>
  <c r="J52" i="7"/>
  <c r="I52" i="7"/>
  <c r="H52" i="7"/>
  <c r="G52" i="7"/>
  <c r="E52" i="7"/>
  <c r="C52" i="7"/>
  <c r="F961" i="2"/>
  <c r="L78" i="2"/>
  <c r="W1313" i="2"/>
  <c r="X1313" i="2" s="1"/>
  <c r="T1313" i="2"/>
  <c r="R1313" i="2"/>
  <c r="W1509" i="2"/>
  <c r="X1509" i="2" s="1"/>
  <c r="T1509" i="2"/>
  <c r="R1509" i="2"/>
  <c r="F1509" i="2"/>
  <c r="F1472" i="2"/>
  <c r="W78" i="2"/>
  <c r="F78" i="2"/>
  <c r="I134" i="2"/>
  <c r="F1660" i="2"/>
  <c r="F696" i="2"/>
  <c r="F426" i="2"/>
  <c r="T360" i="2"/>
  <c r="I259" i="2"/>
  <c r="F1398" i="2"/>
  <c r="F1097" i="2"/>
  <c r="F1096" i="2"/>
  <c r="F894" i="2"/>
  <c r="W949" i="2"/>
  <c r="X949" i="2" s="1"/>
  <c r="T949" i="2"/>
  <c r="R949" i="2"/>
  <c r="F949" i="2"/>
  <c r="F52" i="7" s="1"/>
  <c r="F1271" i="2"/>
  <c r="F427" i="2"/>
  <c r="I37" i="2"/>
  <c r="F1431" i="2"/>
  <c r="F840" i="2"/>
  <c r="F1234" i="2"/>
  <c r="F513" i="2"/>
  <c r="F1632" i="2"/>
  <c r="F1253" i="2"/>
  <c r="F1143" i="2"/>
  <c r="F1142" i="2"/>
  <c r="F219" i="2"/>
  <c r="F841" i="2"/>
  <c r="F781" i="2"/>
  <c r="F780" i="2"/>
  <c r="F1799" i="2"/>
  <c r="F1671" i="2"/>
  <c r="F514" i="2"/>
  <c r="F462" i="2"/>
  <c r="F69" i="2"/>
  <c r="F70" i="2"/>
  <c r="F71" i="2"/>
  <c r="W1527" i="2"/>
  <c r="X1527" i="2" s="1"/>
  <c r="T1527" i="2"/>
  <c r="R1527" i="2"/>
  <c r="F1527" i="2"/>
  <c r="F1950" i="2"/>
  <c r="F360" i="2"/>
  <c r="F1602" i="2"/>
  <c r="F1340" i="2"/>
  <c r="F76" i="2"/>
  <c r="F515" i="2"/>
  <c r="F346" i="2"/>
  <c r="F1951" i="2"/>
  <c r="F992" i="2"/>
  <c r="F991" i="2"/>
  <c r="F657" i="2"/>
  <c r="F948" i="2"/>
  <c r="F947" i="2"/>
  <c r="F946" i="2"/>
  <c r="F945" i="2"/>
  <c r="F944" i="2"/>
  <c r="F347" i="2"/>
  <c r="F1729" i="2"/>
  <c r="F1521" i="2"/>
  <c r="F1520" i="2"/>
  <c r="K30" i="8"/>
  <c r="F1952" i="2"/>
  <c r="F1800" i="2"/>
  <c r="F1633" i="2"/>
  <c r="F1307" i="2"/>
  <c r="F1730" i="2"/>
  <c r="I208" i="2"/>
  <c r="F1953" i="2"/>
  <c r="I89" i="2"/>
  <c r="T514" i="2"/>
  <c r="T515" i="2"/>
  <c r="T516" i="2"/>
  <c r="T513" i="2"/>
  <c r="W1953" i="2"/>
  <c r="X1953" i="2" s="1"/>
  <c r="T1953" i="2"/>
  <c r="R1953" i="2"/>
  <c r="W1952" i="2"/>
  <c r="X1952" i="2" s="1"/>
  <c r="T1952" i="2"/>
  <c r="R1952" i="2"/>
  <c r="F1208" i="2" l="1"/>
  <c r="F895" i="2"/>
  <c r="F1552" i="2"/>
  <c r="W685" i="2"/>
  <c r="X685" i="2" s="1"/>
  <c r="T685" i="2"/>
  <c r="R685" i="2"/>
  <c r="F1561" i="2"/>
  <c r="W1552" i="2"/>
  <c r="X1552" i="2" s="1"/>
  <c r="T1552" i="2"/>
  <c r="R1552" i="2"/>
  <c r="F631" i="2"/>
  <c r="F428" i="2"/>
  <c r="F1763" i="2"/>
  <c r="H391" i="2"/>
  <c r="F1125" i="2"/>
  <c r="F658" i="2"/>
  <c r="F1519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675" i="2" l="1"/>
  <c r="F632" i="2"/>
  <c r="F1500" i="2" l="1"/>
  <c r="L1500" i="2"/>
  <c r="F1535" i="2"/>
  <c r="F1508" i="2"/>
  <c r="F1493" i="2"/>
  <c r="F844" i="2"/>
  <c r="F843" i="2"/>
  <c r="F842" i="2"/>
  <c r="F650" i="2" l="1"/>
  <c r="F1925" i="2" l="1"/>
  <c r="F1546" i="2"/>
  <c r="F1494" i="2"/>
  <c r="F1298" i="2"/>
  <c r="F107" i="2"/>
  <c r="F453" i="2"/>
  <c r="F1126" i="2"/>
  <c r="F1879" i="2"/>
  <c r="F348" i="2"/>
  <c r="F845" i="2"/>
  <c r="F507" i="2"/>
  <c r="F1541" i="2"/>
  <c r="F1770" i="2"/>
  <c r="F1661" i="2"/>
  <c r="T1072" i="2"/>
  <c r="F1308" i="2"/>
  <c r="F951" i="2"/>
  <c r="F454" i="2"/>
  <c r="F75" i="2"/>
  <c r="F1329" i="2"/>
  <c r="W1521" i="2"/>
  <c r="X1521" i="2" s="1"/>
  <c r="T1521" i="2"/>
  <c r="R1521" i="2"/>
  <c r="W1551" i="2"/>
  <c r="X1551" i="2" s="1"/>
  <c r="T1551" i="2"/>
  <c r="R1551" i="2"/>
  <c r="W845" i="2"/>
  <c r="X845" i="2" s="1"/>
  <c r="T845" i="2"/>
  <c r="R845" i="2"/>
  <c r="F207" i="2"/>
  <c r="W1520" i="2"/>
  <c r="X1520" i="2" s="1"/>
  <c r="T1520" i="2"/>
  <c r="R1520" i="2"/>
  <c r="T551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3" i="2"/>
  <c r="T1563" i="2"/>
  <c r="T1564" i="2"/>
  <c r="W1565" i="2"/>
  <c r="X1565" i="2" s="1"/>
  <c r="R1565" i="2"/>
  <c r="M1565" i="2" s="1"/>
  <c r="H1565" i="2"/>
  <c r="W1564" i="2"/>
  <c r="X1564" i="2" s="1"/>
  <c r="R1564" i="2"/>
  <c r="F1564" i="2"/>
  <c r="W1563" i="2"/>
  <c r="X1563" i="2" s="1"/>
  <c r="R1563" i="2"/>
  <c r="F1563" i="2"/>
  <c r="W1561" i="2"/>
  <c r="X1561" i="2" s="1"/>
  <c r="R1561" i="2"/>
  <c r="T1558" i="2"/>
  <c r="T1559" i="2"/>
  <c r="T1556" i="2"/>
  <c r="W1560" i="2"/>
  <c r="X1560" i="2" s="1"/>
  <c r="R1560" i="2"/>
  <c r="M1560" i="2" s="1"/>
  <c r="H1560" i="2"/>
  <c r="W1559" i="2"/>
  <c r="X1559" i="2" s="1"/>
  <c r="R1559" i="2"/>
  <c r="F1559" i="2"/>
  <c r="W1558" i="2"/>
  <c r="X1558" i="2" s="1"/>
  <c r="R1558" i="2"/>
  <c r="F1558" i="2"/>
  <c r="W1556" i="2"/>
  <c r="X1556" i="2" s="1"/>
  <c r="R1556" i="2"/>
  <c r="W1546" i="2"/>
  <c r="X1546" i="2" s="1"/>
  <c r="T1546" i="2"/>
  <c r="R1546" i="2"/>
  <c r="W1504" i="2"/>
  <c r="X1504" i="2" s="1"/>
  <c r="T1504" i="2"/>
  <c r="R1504" i="2"/>
  <c r="F626" i="2"/>
  <c r="F90" i="7" s="1"/>
  <c r="T480" i="2"/>
  <c r="T481" i="2"/>
  <c r="T482" i="2"/>
  <c r="T483" i="2"/>
  <c r="T484" i="2"/>
  <c r="T485" i="2"/>
  <c r="T486" i="2"/>
  <c r="T487" i="2"/>
  <c r="T488" i="2"/>
  <c r="T489" i="2"/>
  <c r="T490" i="2"/>
  <c r="T1508" i="2"/>
  <c r="F659" i="2"/>
  <c r="F349" i="2"/>
  <c r="F676" i="2"/>
  <c r="F806" i="2"/>
  <c r="F1124" i="2"/>
  <c r="T479" i="2"/>
  <c r="F350" i="2"/>
  <c r="F1038" i="2"/>
  <c r="F1022" i="2"/>
  <c r="F968" i="2"/>
  <c r="F1127" i="2"/>
  <c r="T475" i="2"/>
  <c r="T476" i="2"/>
  <c r="T477" i="2"/>
  <c r="F30" i="2"/>
  <c r="F31" i="2"/>
  <c r="F36" i="2"/>
  <c r="F206" i="2"/>
  <c r="F508" i="2"/>
  <c r="F500" i="2"/>
  <c r="F1662" i="2"/>
  <c r="W1494" i="2"/>
  <c r="T1494" i="2"/>
  <c r="R1494" i="2"/>
  <c r="T509" i="2"/>
  <c r="F1873" i="2"/>
  <c r="W1951" i="2"/>
  <c r="T1951" i="2"/>
  <c r="R1951" i="2"/>
  <c r="R665" i="2"/>
  <c r="F27" i="2"/>
  <c r="F17" i="2"/>
  <c r="F18" i="2"/>
  <c r="F19" i="2"/>
  <c r="F20" i="2"/>
  <c r="F21" i="2"/>
  <c r="F22" i="2"/>
  <c r="F23" i="2"/>
  <c r="F24" i="2"/>
  <c r="F25" i="2"/>
  <c r="F26" i="2"/>
  <c r="F660" i="2"/>
  <c r="I232" i="2"/>
  <c r="I299" i="2"/>
  <c r="T1511" i="2"/>
  <c r="F351" i="2"/>
  <c r="F1784" i="2"/>
  <c r="F1328" i="2"/>
  <c r="F782" i="2"/>
  <c r="F553" i="2"/>
  <c r="W1512" i="2"/>
  <c r="F352" i="2"/>
  <c r="T546" i="2"/>
  <c r="T547" i="2"/>
  <c r="T548" i="2"/>
  <c r="T549" i="2"/>
  <c r="T550" i="2"/>
  <c r="F445" i="2"/>
  <c r="F353" i="2"/>
  <c r="I118" i="2"/>
  <c r="W660" i="2"/>
  <c r="T660" i="2"/>
  <c r="R660" i="2"/>
  <c r="T508" i="2"/>
  <c r="H93" i="7" l="1"/>
  <c r="G93" i="7"/>
  <c r="X1494" i="2"/>
  <c r="X1951" i="2"/>
  <c r="X660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592" i="2"/>
  <c r="F1886" i="2" l="1"/>
  <c r="F1887" i="2" l="1"/>
  <c r="T783" i="2" l="1"/>
  <c r="F763" i="2" l="1"/>
  <c r="F1270" i="2" l="1"/>
  <c r="F1233" i="2"/>
  <c r="F1144" i="2"/>
  <c r="F1888" i="2" l="1"/>
  <c r="F1303" i="2" l="1"/>
  <c r="L7" i="7" l="1"/>
  <c r="F1709" i="2"/>
  <c r="F1473" i="2"/>
  <c r="F295" i="2"/>
  <c r="F1890" i="2" l="1"/>
  <c r="F1889" i="2"/>
  <c r="F1865" i="2"/>
  <c r="F1835" i="2"/>
  <c r="F1820" i="2" l="1"/>
  <c r="F1710" i="2"/>
  <c r="F301" i="2" l="1"/>
  <c r="F769" i="2" l="1"/>
  <c r="T849" i="2" l="1"/>
  <c r="W1144" i="2" l="1"/>
  <c r="X1144" i="2" s="1"/>
  <c r="T1144" i="2"/>
  <c r="R1144" i="2"/>
  <c r="F129" i="2" l="1"/>
  <c r="F131" i="2"/>
  <c r="F130" i="2"/>
  <c r="F1580" i="2" l="1"/>
  <c r="F1327" i="2"/>
  <c r="F499" i="2" l="1"/>
  <c r="F498" i="2"/>
  <c r="T627" i="2" l="1"/>
  <c r="T628" i="2"/>
  <c r="T626" i="2"/>
  <c r="W629" i="2"/>
  <c r="R629" i="2"/>
  <c r="M629" i="2" s="1"/>
  <c r="M93" i="7" s="1"/>
  <c r="H629" i="2"/>
  <c r="Z628" i="2"/>
  <c r="W628" i="2"/>
  <c r="X628" i="2" s="1"/>
  <c r="R628" i="2"/>
  <c r="F628" i="2"/>
  <c r="F92" i="7" s="1"/>
  <c r="Z627" i="2"/>
  <c r="W627" i="2"/>
  <c r="X627" i="2" s="1"/>
  <c r="R627" i="2"/>
  <c r="F627" i="2"/>
  <c r="F91" i="7" s="1"/>
  <c r="Z626" i="2"/>
  <c r="W626" i="2"/>
  <c r="X626" i="2" s="1"/>
  <c r="R626" i="2"/>
  <c r="T288" i="2"/>
  <c r="X629" i="2" l="1"/>
  <c r="Y627" i="2"/>
  <c r="F1856" i="2" l="1"/>
  <c r="F937" i="2" l="1"/>
  <c r="W1580" i="2"/>
  <c r="X1580" i="2" s="1"/>
  <c r="T1580" i="2"/>
  <c r="R1580" i="2"/>
  <c r="F1204" i="2"/>
  <c r="R1433" i="2" l="1"/>
  <c r="F354" i="2" l="1"/>
  <c r="F355" i="2" l="1"/>
  <c r="G221" i="4" l="1"/>
  <c r="I60" i="2"/>
  <c r="F497" i="2" l="1"/>
  <c r="F47" i="2"/>
  <c r="F757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5" i="2"/>
  <c r="R817" i="2"/>
  <c r="R816" i="2"/>
  <c r="T813" i="2"/>
  <c r="S817" i="2" l="1"/>
  <c r="M817" i="2" s="1"/>
  <c r="F1849" i="2"/>
  <c r="F1848" i="2"/>
  <c r="F1619" i="2"/>
  <c r="F1339" i="2"/>
  <c r="F1248" i="2"/>
  <c r="F672" i="2"/>
  <c r="F304" i="2"/>
  <c r="F768" i="2" l="1"/>
  <c r="T334" i="2"/>
  <c r="T576" i="2" l="1"/>
  <c r="F205" i="2" l="1"/>
  <c r="T1431" i="2"/>
  <c r="F633" i="2" l="1"/>
  <c r="F813" i="2"/>
  <c r="F211" i="2" l="1"/>
  <c r="F212" i="2"/>
  <c r="F152" i="2" l="1"/>
  <c r="F210" i="2"/>
  <c r="T1143" i="2"/>
  <c r="T1145" i="2"/>
  <c r="T1146" i="2"/>
  <c r="T1142" i="2"/>
  <c r="W1147" i="2"/>
  <c r="R1147" i="2"/>
  <c r="M1147" i="2" s="1"/>
  <c r="H1147" i="2"/>
  <c r="W1146" i="2"/>
  <c r="X1146" i="2" s="1"/>
  <c r="R1146" i="2"/>
  <c r="F1146" i="2"/>
  <c r="W1145" i="2"/>
  <c r="X1145" i="2" s="1"/>
  <c r="R1145" i="2"/>
  <c r="F1145" i="2"/>
  <c r="W1143" i="2"/>
  <c r="X1143" i="2" s="1"/>
  <c r="R1143" i="2"/>
  <c r="W1142" i="2"/>
  <c r="X1142" i="2" s="1"/>
  <c r="R1142" i="2"/>
  <c r="F1686" i="2" l="1"/>
  <c r="F543" i="2"/>
  <c r="F600" i="2" l="1"/>
  <c r="F1376" i="2" l="1"/>
  <c r="T1553" i="2" l="1"/>
  <c r="T1554" i="2"/>
  <c r="T1550" i="2"/>
  <c r="T342" i="2" l="1"/>
  <c r="T344" i="2" l="1"/>
  <c r="F1425" i="2"/>
  <c r="F724" i="2"/>
  <c r="F402" i="2" l="1"/>
  <c r="F332" i="2"/>
  <c r="F333" i="2"/>
  <c r="T333" i="2" l="1"/>
  <c r="W1850" i="2" l="1"/>
  <c r="X1850" i="2" s="1"/>
  <c r="T1850" i="2"/>
  <c r="R1850" i="2"/>
  <c r="F1850" i="2"/>
  <c r="F214" i="6"/>
  <c r="T332" i="2" l="1"/>
  <c r="F574" i="2"/>
  <c r="F334" i="2"/>
  <c r="F463" i="2" l="1"/>
  <c r="F1836" i="2" l="1"/>
  <c r="F820" i="2"/>
  <c r="F464" i="2"/>
  <c r="W1526" i="2"/>
  <c r="X1526" i="2" s="1"/>
  <c r="T1526" i="2"/>
  <c r="R1526" i="2"/>
  <c r="W1555" i="2"/>
  <c r="X1555" i="2" s="1"/>
  <c r="R1555" i="2"/>
  <c r="M1555" i="2" s="1"/>
  <c r="H1555" i="2"/>
  <c r="W1554" i="2"/>
  <c r="X1554" i="2" s="1"/>
  <c r="R1554" i="2"/>
  <c r="F1554" i="2"/>
  <c r="W1553" i="2"/>
  <c r="X1553" i="2" s="1"/>
  <c r="R1553" i="2"/>
  <c r="F1553" i="2"/>
  <c r="W1550" i="2"/>
  <c r="X1550" i="2" s="1"/>
  <c r="R1550" i="2"/>
  <c r="F483" i="2" l="1"/>
  <c r="F997" i="2" l="1"/>
  <c r="R268" i="2" l="1"/>
  <c r="M268" i="2" s="1"/>
  <c r="F1061" i="2" l="1"/>
  <c r="F814" i="2" l="1"/>
  <c r="F484" i="2" l="1"/>
  <c r="F874" i="2" l="1"/>
  <c r="W304" i="2" l="1"/>
  <c r="X304" i="2" s="1"/>
  <c r="T304" i="2"/>
  <c r="R304" i="2"/>
  <c r="F44" i="2"/>
  <c r="F45" i="2"/>
  <c r="F46" i="2"/>
  <c r="F485" i="2" l="1"/>
  <c r="T287" i="2" l="1"/>
  <c r="R293" i="2"/>
  <c r="F248" i="2"/>
  <c r="H66" i="4" l="1"/>
  <c r="F486" i="2"/>
  <c r="I91" i="2" l="1"/>
  <c r="W206" i="2"/>
  <c r="X206" i="2" s="1"/>
  <c r="R206" i="2"/>
  <c r="L206" i="2"/>
  <c r="W874" i="2"/>
  <c r="X874" i="2" s="1"/>
  <c r="T874" i="2"/>
  <c r="R874" i="2"/>
  <c r="T279" i="2"/>
  <c r="T280" i="2"/>
  <c r="T281" i="2"/>
  <c r="T282" i="2"/>
  <c r="T283" i="2"/>
  <c r="T284" i="2"/>
  <c r="T285" i="2"/>
  <c r="T286" i="2"/>
  <c r="T289" i="2"/>
  <c r="T290" i="2"/>
  <c r="T291" i="2"/>
  <c r="W1308" i="2" l="1"/>
  <c r="X1308" i="2" s="1"/>
  <c r="T1308" i="2"/>
  <c r="R1308" i="2"/>
  <c r="F808" i="2"/>
  <c r="W489" i="2"/>
  <c r="X489" i="2" s="1"/>
  <c r="R489" i="2"/>
  <c r="F489" i="2"/>
  <c r="T429" i="2"/>
  <c r="T428" i="2"/>
  <c r="W485" i="2" l="1"/>
  <c r="X485" i="2" s="1"/>
  <c r="R485" i="2"/>
  <c r="W487" i="2"/>
  <c r="X487" i="2" s="1"/>
  <c r="R487" i="2"/>
  <c r="F487" i="2"/>
  <c r="W488" i="2"/>
  <c r="X488" i="2" s="1"/>
  <c r="R488" i="2"/>
  <c r="F488" i="2"/>
  <c r="W486" i="2"/>
  <c r="X486" i="2" s="1"/>
  <c r="R486" i="2"/>
  <c r="F1283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3" i="2"/>
  <c r="X483" i="2" s="1"/>
  <c r="R483" i="2"/>
  <c r="W484" i="2"/>
  <c r="X484" i="2" s="1"/>
  <c r="R484" i="2"/>
  <c r="W480" i="2"/>
  <c r="X480" i="2" s="1"/>
  <c r="R480" i="2"/>
  <c r="W479" i="2"/>
  <c r="X479" i="2" s="1"/>
  <c r="R479" i="2"/>
  <c r="T478" i="2"/>
  <c r="W481" i="2"/>
  <c r="X481" i="2" s="1"/>
  <c r="R481" i="2"/>
  <c r="W478" i="2"/>
  <c r="X478" i="2" s="1"/>
  <c r="R478" i="2"/>
  <c r="W477" i="2" l="1"/>
  <c r="X477" i="2" s="1"/>
  <c r="R477" i="2"/>
  <c r="W476" i="2"/>
  <c r="X476" i="2" s="1"/>
  <c r="R476" i="2"/>
  <c r="W482" i="2"/>
  <c r="X482" i="2" s="1"/>
  <c r="R482" i="2"/>
  <c r="W475" i="2"/>
  <c r="X475" i="2" s="1"/>
  <c r="R475" i="2"/>
  <c r="F1424" i="2" l="1"/>
  <c r="F1380" i="2"/>
  <c r="F65" i="2"/>
  <c r="F66" i="2"/>
  <c r="F67" i="2"/>
  <c r="F68" i="2"/>
  <c r="T1547" i="2" l="1"/>
  <c r="T1548" i="2"/>
  <c r="T1545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6" i="2"/>
  <c r="X1426" i="2" s="1"/>
  <c r="T1426" i="2"/>
  <c r="R1426" i="2"/>
  <c r="T830" i="2" l="1"/>
  <c r="T831" i="2"/>
  <c r="T832" i="2"/>
  <c r="T829" i="2"/>
  <c r="W833" i="2"/>
  <c r="X833" i="2" s="1"/>
  <c r="R833" i="2"/>
  <c r="M833" i="2" s="1"/>
  <c r="H833" i="2"/>
  <c r="W832" i="2"/>
  <c r="X832" i="2" s="1"/>
  <c r="R832" i="2"/>
  <c r="F832" i="2"/>
  <c r="W831" i="2"/>
  <c r="X831" i="2" s="1"/>
  <c r="R831" i="2"/>
  <c r="L831" i="2"/>
  <c r="F831" i="2"/>
  <c r="W830" i="2"/>
  <c r="X830" i="2" s="1"/>
  <c r="R830" i="2"/>
  <c r="L830" i="2"/>
  <c r="F830" i="2"/>
  <c r="W829" i="2"/>
  <c r="X829" i="2" s="1"/>
  <c r="R829" i="2"/>
  <c r="F829" i="2"/>
  <c r="F1010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4" i="2"/>
  <c r="T1535" i="2" l="1"/>
  <c r="T1532" i="2"/>
  <c r="T1533" i="2"/>
  <c r="T1531" i="2"/>
  <c r="F1269" i="2" l="1"/>
  <c r="T1542" i="2" l="1"/>
  <c r="T1543" i="2"/>
  <c r="T1541" i="2"/>
  <c r="T1512" i="2"/>
  <c r="T1316" i="2"/>
  <c r="T1317" i="2"/>
  <c r="T1312" i="2"/>
  <c r="F1791" i="2"/>
  <c r="F542" i="2"/>
  <c r="F429" i="2" l="1"/>
  <c r="F1926" i="2"/>
  <c r="F634" i="2"/>
  <c r="F1574" i="2" l="1"/>
  <c r="F867" i="2" l="1"/>
  <c r="F1927" i="2"/>
  <c r="F1474" i="2"/>
  <c r="T307" i="2"/>
  <c r="F356" i="2"/>
  <c r="F635" i="2"/>
  <c r="T356" i="2"/>
  <c r="L356" i="2"/>
  <c r="F430" i="2" l="1"/>
  <c r="F357" i="2"/>
  <c r="F331" i="2" l="1"/>
  <c r="T355" i="2"/>
  <c r="L355" i="2"/>
  <c r="T357" i="2"/>
  <c r="L357" i="2"/>
  <c r="F896" i="2" l="1"/>
  <c r="F996" i="2" l="1"/>
  <c r="F490" i="2"/>
  <c r="R474" i="2"/>
  <c r="W474" i="2"/>
  <c r="X474" i="2" s="1"/>
  <c r="R490" i="2"/>
  <c r="W490" i="2"/>
  <c r="X490" i="2" s="1"/>
  <c r="T353" i="2"/>
  <c r="L353" i="2"/>
  <c r="F723" i="2"/>
  <c r="F1418" i="2" l="1"/>
  <c r="F1397" i="2"/>
  <c r="T991" i="2" l="1"/>
  <c r="F465" i="2"/>
  <c r="W1950" i="2" l="1"/>
  <c r="X1950" i="2" s="1"/>
  <c r="T1950" i="2"/>
  <c r="R1950" i="2"/>
  <c r="F1191" i="2"/>
  <c r="F1149" i="2"/>
  <c r="W465" i="2"/>
  <c r="X465" i="2" s="1"/>
  <c r="T465" i="2"/>
  <c r="R465" i="2"/>
  <c r="F1232" i="2" l="1"/>
  <c r="F49" i="2" l="1"/>
  <c r="F150" i="2" l="1"/>
  <c r="F149" i="2"/>
  <c r="F148" i="2"/>
  <c r="R1434" i="2" l="1"/>
  <c r="W1549" i="2" l="1"/>
  <c r="X1549" i="2" s="1"/>
  <c r="R1549" i="2"/>
  <c r="M1549" i="2" s="1"/>
  <c r="H1549" i="2"/>
  <c r="W1548" i="2"/>
  <c r="X1548" i="2" s="1"/>
  <c r="R1548" i="2"/>
  <c r="F1548" i="2"/>
  <c r="W1547" i="2"/>
  <c r="X1547" i="2" s="1"/>
  <c r="R1547" i="2"/>
  <c r="F1547" i="2"/>
  <c r="W1545" i="2"/>
  <c r="X1545" i="2" s="1"/>
  <c r="R1545" i="2"/>
  <c r="F496" i="2"/>
  <c r="T446" i="2" l="1"/>
  <c r="R1292" i="2" l="1"/>
  <c r="F1916" i="2" l="1"/>
  <c r="F1915" i="2"/>
  <c r="W1544" i="2" l="1"/>
  <c r="X1544" i="2" s="1"/>
  <c r="R1544" i="2"/>
  <c r="M1544" i="2" s="1"/>
  <c r="H1544" i="2"/>
  <c r="W1543" i="2"/>
  <c r="X1543" i="2" s="1"/>
  <c r="R1543" i="2"/>
  <c r="F1543" i="2"/>
  <c r="W1542" i="2"/>
  <c r="X1542" i="2" s="1"/>
  <c r="R1542" i="2"/>
  <c r="F1542" i="2"/>
  <c r="W1541" i="2"/>
  <c r="X1541" i="2" s="1"/>
  <c r="R1541" i="2"/>
  <c r="I167" i="2" l="1"/>
  <c r="F761" i="2"/>
  <c r="W1513" i="2" l="1"/>
  <c r="X1513" i="2" s="1"/>
  <c r="H1513" i="2"/>
  <c r="X1512" i="2"/>
  <c r="R1512" i="2"/>
  <c r="F1512" i="2"/>
  <c r="W1511" i="2"/>
  <c r="X1511" i="2" s="1"/>
  <c r="R1511" i="2"/>
  <c r="F1511" i="2"/>
  <c r="W1508" i="2"/>
  <c r="X1508" i="2" s="1"/>
  <c r="R1508" i="2"/>
  <c r="W1540" i="2"/>
  <c r="X1540" i="2" s="1"/>
  <c r="R1540" i="2"/>
  <c r="M1540" i="2" s="1"/>
  <c r="H1540" i="2"/>
  <c r="W1539" i="2"/>
  <c r="X1539" i="2" s="1"/>
  <c r="R1539" i="2"/>
  <c r="F1539" i="2"/>
  <c r="W1538" i="2"/>
  <c r="X1538" i="2" s="1"/>
  <c r="R1538" i="2"/>
  <c r="F1538" i="2"/>
  <c r="W1535" i="2"/>
  <c r="X1535" i="2" s="1"/>
  <c r="R1535" i="2"/>
  <c r="W1534" i="2"/>
  <c r="X1534" i="2" s="1"/>
  <c r="R1534" i="2"/>
  <c r="M1534" i="2" s="1"/>
  <c r="H1534" i="2"/>
  <c r="W1533" i="2"/>
  <c r="X1533" i="2" s="1"/>
  <c r="R1533" i="2"/>
  <c r="F1533" i="2"/>
  <c r="W1532" i="2"/>
  <c r="X1532" i="2" s="1"/>
  <c r="R1532" i="2"/>
  <c r="F1532" i="2"/>
  <c r="W1531" i="2"/>
  <c r="X1531" i="2" s="1"/>
  <c r="R1531" i="2"/>
  <c r="F1531" i="2"/>
  <c r="S1513" i="2" l="1"/>
  <c r="M1513" i="2" s="1"/>
  <c r="T352" i="2" l="1"/>
  <c r="L352" i="2"/>
  <c r="T354" i="2"/>
  <c r="L354" i="2"/>
  <c r="H186" i="6" l="1"/>
  <c r="T358" i="2"/>
  <c r="F1419" i="2" l="1"/>
  <c r="T351" i="2" l="1"/>
  <c r="F671" i="2" l="1"/>
  <c r="F1891" i="2" l="1"/>
  <c r="F1672" i="2"/>
  <c r="F1588" i="2" l="1"/>
  <c r="T1288" i="2"/>
  <c r="F495" i="2" l="1"/>
  <c r="F1575" i="2" l="1"/>
  <c r="T1272" i="2"/>
  <c r="F1420" i="2"/>
  <c r="F1620" i="2" l="1"/>
  <c r="F912" i="2"/>
  <c r="F494" i="2" l="1"/>
  <c r="F335" i="2" l="1"/>
  <c r="F1148" i="2" l="1"/>
  <c r="F1053" i="2"/>
  <c r="W1420" i="2" l="1"/>
  <c r="X1420" i="2" s="1"/>
  <c r="T1420" i="2"/>
  <c r="R1420" i="2"/>
  <c r="F1892" i="2" l="1"/>
  <c r="F689" i="2"/>
  <c r="T1004" i="2" l="1"/>
  <c r="T1005" i="2"/>
  <c r="T1006" i="2"/>
  <c r="T1007" i="2"/>
  <c r="T1008" i="2"/>
  <c r="T1003" i="2"/>
  <c r="W1009" i="2" l="1"/>
  <c r="X1009" i="2" s="1"/>
  <c r="R1009" i="2"/>
  <c r="M1009" i="2" s="1"/>
  <c r="H1009" i="2"/>
  <c r="W1008" i="2"/>
  <c r="X1008" i="2" s="1"/>
  <c r="R1008" i="2"/>
  <c r="F1008" i="2"/>
  <c r="W1007" i="2"/>
  <c r="X1007" i="2" s="1"/>
  <c r="R1007" i="2"/>
  <c r="F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T996" i="2"/>
  <c r="T997" i="2"/>
  <c r="T998" i="2"/>
  <c r="T999" i="2"/>
  <c r="T1000" i="2"/>
  <c r="T1289" i="2"/>
  <c r="F1381" i="2"/>
  <c r="F1293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5" i="2"/>
  <c r="L231" i="2" l="1"/>
  <c r="F1272" i="2" l="1"/>
  <c r="F235" i="6" s="1"/>
  <c r="F1128" i="2"/>
  <c r="F102" i="6" s="1"/>
  <c r="T1128" i="2"/>
  <c r="F22" i="6"/>
  <c r="F916" i="2" l="1"/>
  <c r="I223" i="2" l="1"/>
  <c r="F917" i="2" l="1"/>
  <c r="F918" i="2" l="1"/>
  <c r="F670" i="2"/>
  <c r="W1381" i="2" l="1"/>
  <c r="X1381" i="2" s="1"/>
  <c r="T1381" i="2"/>
  <c r="R1381" i="2"/>
  <c r="T452" i="2" l="1"/>
  <c r="F919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5" i="2"/>
  <c r="W1419" i="2"/>
  <c r="X1419" i="2" s="1"/>
  <c r="T1419" i="2"/>
  <c r="R1419" i="2"/>
  <c r="W1575" i="2"/>
  <c r="X1575" i="2" s="1"/>
  <c r="T1575" i="2"/>
  <c r="R1575" i="2"/>
  <c r="F920" i="2" l="1"/>
  <c r="F984" i="2" l="1"/>
  <c r="F921" i="2"/>
  <c r="F1843" i="2" l="1"/>
  <c r="F1060" i="2"/>
  <c r="F1430" i="2" l="1"/>
  <c r="T331" i="2"/>
  <c r="F922" i="2" l="1"/>
  <c r="T350" i="2"/>
  <c r="F1896" i="2" l="1"/>
  <c r="F1895" i="2"/>
  <c r="F1897" i="2" l="1"/>
  <c r="F923" i="2"/>
  <c r="T1581" i="2"/>
  <c r="T1582" i="2"/>
  <c r="T1579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9" i="2"/>
  <c r="X1579" i="2" s="1"/>
  <c r="R1579" i="2"/>
  <c r="T305" i="2" l="1"/>
  <c r="F924" i="2"/>
  <c r="F925" i="2" l="1"/>
  <c r="T543" i="2" l="1"/>
  <c r="T544" i="2"/>
  <c r="K544" i="2" s="1"/>
  <c r="T545" i="2"/>
  <c r="T542" i="2"/>
  <c r="T912" i="2" l="1"/>
  <c r="F1684" i="2" l="1"/>
  <c r="F1603" i="2" l="1"/>
  <c r="F1604" i="2"/>
  <c r="F1605" i="2"/>
  <c r="F1606" i="2"/>
  <c r="F528" i="2" l="1"/>
  <c r="F926" i="2" l="1"/>
  <c r="F1094" i="2" l="1"/>
  <c r="F1898" i="2" l="1"/>
  <c r="W1896" i="2" l="1"/>
  <c r="X1896" i="2" s="1"/>
  <c r="T1896" i="2"/>
  <c r="R1896" i="2"/>
  <c r="F529" i="2" l="1"/>
  <c r="F40" i="2"/>
  <c r="L40" i="2"/>
  <c r="R40" i="2"/>
  <c r="W40" i="2"/>
  <c r="X40" i="2" s="1"/>
  <c r="F927" i="2"/>
  <c r="W923" i="2"/>
  <c r="X923" i="2" s="1"/>
  <c r="T923" i="2"/>
  <c r="R923" i="2"/>
  <c r="W922" i="2"/>
  <c r="X922" i="2" s="1"/>
  <c r="T922" i="2"/>
  <c r="R922" i="2"/>
  <c r="W921" i="2"/>
  <c r="X921" i="2" s="1"/>
  <c r="T921" i="2"/>
  <c r="R921" i="2"/>
  <c r="W920" i="2"/>
  <c r="X920" i="2" s="1"/>
  <c r="T920" i="2"/>
  <c r="R920" i="2"/>
  <c r="F77" i="2" l="1"/>
  <c r="F79" i="2"/>
  <c r="F59" i="2"/>
  <c r="F53" i="2"/>
  <c r="F132" i="2"/>
  <c r="T914" i="2" l="1"/>
  <c r="T915" i="2"/>
  <c r="T916" i="2"/>
  <c r="T917" i="2"/>
  <c r="T918" i="2"/>
  <c r="T919" i="2"/>
  <c r="T924" i="2"/>
  <c r="T925" i="2"/>
  <c r="T303" i="2" l="1"/>
  <c r="F63" i="2" l="1"/>
  <c r="F64" i="2"/>
  <c r="T993" i="2" l="1"/>
  <c r="T992" i="2"/>
  <c r="T984" i="2"/>
  <c r="T349" i="2"/>
  <c r="W1895" i="2" l="1"/>
  <c r="X1895" i="2" s="1"/>
  <c r="T1895" i="2"/>
  <c r="R1895" i="2"/>
  <c r="F235" i="2" l="1"/>
  <c r="F967" i="2" l="1"/>
  <c r="F530" i="2"/>
  <c r="F527" i="2"/>
  <c r="F411" i="2"/>
  <c r="T1027" i="2" l="1"/>
  <c r="T1028" i="2"/>
  <c r="T1029" i="2"/>
  <c r="T1030" i="2"/>
  <c r="T1026" i="2"/>
  <c r="F531" i="2" l="1"/>
  <c r="T532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61" i="2"/>
  <c r="K135" i="2" l="1"/>
  <c r="F649" i="2"/>
  <c r="W919" i="2"/>
  <c r="X919" i="2" s="1"/>
  <c r="R919" i="2"/>
  <c r="W918" i="2"/>
  <c r="X918" i="2" s="1"/>
  <c r="R918" i="2"/>
  <c r="W917" i="2"/>
  <c r="X917" i="2" s="1"/>
  <c r="R917" i="2"/>
  <c r="W916" i="2"/>
  <c r="X916" i="2" s="1"/>
  <c r="R916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2" i="2" l="1"/>
  <c r="T837" i="2" l="1"/>
  <c r="T575" i="2"/>
  <c r="T527" i="2" l="1"/>
  <c r="T529" i="2"/>
  <c r="T530" i="2"/>
  <c r="T531" i="2"/>
  <c r="T528" i="2"/>
  <c r="T445" i="2"/>
  <c r="T444" i="2"/>
  <c r="T424" i="2"/>
  <c r="K424" i="2" s="1"/>
  <c r="T403" i="2" l="1"/>
  <c r="T404" i="2"/>
  <c r="T405" i="2"/>
  <c r="T406" i="2"/>
  <c r="T407" i="2"/>
  <c r="K407" i="2" s="1"/>
  <c r="T408" i="2"/>
  <c r="K408" i="2" s="1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3" i="2"/>
  <c r="T45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494" i="2"/>
  <c r="T459" i="2"/>
  <c r="T460" i="2"/>
  <c r="T458" i="2"/>
  <c r="T461" i="2"/>
  <c r="T462" i="2"/>
  <c r="T463" i="2"/>
  <c r="T464" i="2"/>
  <c r="T466" i="2"/>
  <c r="T574" i="2"/>
  <c r="F416" i="2" l="1"/>
  <c r="W1946" i="2" l="1"/>
  <c r="X1946" i="2" s="1"/>
  <c r="T1946" i="2"/>
  <c r="R1946" i="2"/>
  <c r="W1945" i="2"/>
  <c r="X1945" i="2" s="1"/>
  <c r="T1945" i="2"/>
  <c r="R1945" i="2"/>
  <c r="F532" i="2" l="1"/>
  <c r="W47" i="2" l="1"/>
  <c r="X47" i="2" s="1"/>
  <c r="L47" i="2"/>
  <c r="F819" i="2" l="1"/>
  <c r="K268" i="2"/>
  <c r="F55" i="2" l="1"/>
  <c r="F54" i="2"/>
  <c r="F56" i="2"/>
  <c r="W1947" i="2" l="1"/>
  <c r="X1947" i="2" s="1"/>
  <c r="T1947" i="2"/>
  <c r="R1947" i="2"/>
  <c r="T1576" i="2" l="1"/>
  <c r="T1577" i="2"/>
  <c r="T1574" i="2"/>
  <c r="T1571" i="2"/>
  <c r="T1572" i="2"/>
  <c r="T1570" i="2"/>
  <c r="W1578" i="2"/>
  <c r="X1578" i="2" s="1"/>
  <c r="R1578" i="2"/>
  <c r="M1578" i="2" s="1"/>
  <c r="H1578" i="2"/>
  <c r="W1577" i="2"/>
  <c r="X1577" i="2" s="1"/>
  <c r="R1577" i="2"/>
  <c r="F1577" i="2"/>
  <c r="W1576" i="2"/>
  <c r="X1576" i="2" s="1"/>
  <c r="R1576" i="2"/>
  <c r="F1576" i="2"/>
  <c r="W1574" i="2"/>
  <c r="X1574" i="2" s="1"/>
  <c r="R1574" i="2"/>
  <c r="W1573" i="2"/>
  <c r="X1573" i="2" s="1"/>
  <c r="R1573" i="2"/>
  <c r="M1573" i="2" s="1"/>
  <c r="H1573" i="2"/>
  <c r="W1572" i="2"/>
  <c r="X1572" i="2" s="1"/>
  <c r="R1572" i="2"/>
  <c r="F1572" i="2"/>
  <c r="W1571" i="2"/>
  <c r="X1571" i="2" s="1"/>
  <c r="R1571" i="2"/>
  <c r="F1571" i="2"/>
  <c r="W1570" i="2"/>
  <c r="X1570" i="2" s="1"/>
  <c r="R1570" i="2"/>
  <c r="F1570" i="2"/>
  <c r="F999" i="2" l="1"/>
  <c r="Z1959" i="2" l="1"/>
  <c r="F509" i="2" l="1"/>
  <c r="K239" i="2"/>
  <c r="I239" i="2"/>
  <c r="H184" i="6"/>
  <c r="W509" i="2"/>
  <c r="X509" i="2" s="1"/>
  <c r="L509" i="2"/>
  <c r="W510" i="2" l="1"/>
  <c r="X510" i="2" s="1"/>
  <c r="L510" i="2"/>
  <c r="F510" i="2"/>
  <c r="I228" i="2" l="1"/>
  <c r="W61" i="2" l="1"/>
  <c r="F417" i="2" l="1"/>
  <c r="I183" i="2"/>
  <c r="T1943" i="2" l="1"/>
  <c r="T1944" i="2"/>
  <c r="T1948" i="2"/>
  <c r="T1954" i="2"/>
  <c r="T1955" i="2"/>
  <c r="T1942" i="2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4" i="2" l="1"/>
  <c r="T768" i="2"/>
  <c r="F573" i="2" l="1"/>
  <c r="I955" i="2" l="1"/>
  <c r="H955" i="2"/>
  <c r="F419" i="2" l="1"/>
  <c r="F1227" i="2" l="1"/>
  <c r="R1429" i="2" l="1"/>
  <c r="F420" i="2" l="1"/>
  <c r="F421" i="2"/>
  <c r="T979" i="2" l="1"/>
  <c r="T980" i="2"/>
  <c r="T981" i="2"/>
  <c r="T982" i="2"/>
  <c r="T978" i="2"/>
  <c r="F773" i="2"/>
  <c r="W421" i="2" l="1"/>
  <c r="X421" i="2" s="1"/>
  <c r="R421" i="2"/>
  <c r="F572" i="2" l="1"/>
  <c r="F1299" i="2" l="1"/>
  <c r="W419" i="2" l="1"/>
  <c r="X419" i="2" s="1"/>
  <c r="R419" i="2"/>
  <c r="W420" i="2"/>
  <c r="X420" i="2" s="1"/>
  <c r="R420" i="2"/>
  <c r="T1012" i="2" l="1"/>
  <c r="W35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21" i="2"/>
  <c r="R1422" i="2"/>
  <c r="R1423" i="2"/>
  <c r="R1424" i="2"/>
  <c r="R1425" i="2"/>
  <c r="R1427" i="2"/>
  <c r="R1428" i="2"/>
  <c r="S1429" i="2" s="1"/>
  <c r="W418" i="2"/>
  <c r="X418" i="2" s="1"/>
  <c r="R418" i="2"/>
  <c r="T1427" i="2" l="1"/>
  <c r="W983" i="2"/>
  <c r="X983" i="2" s="1"/>
  <c r="R983" i="2"/>
  <c r="M983" i="2" s="1"/>
  <c r="H983" i="2"/>
  <c r="W982" i="2"/>
  <c r="X982" i="2" s="1"/>
  <c r="R982" i="2"/>
  <c r="F982" i="2"/>
  <c r="W981" i="2"/>
  <c r="X981" i="2" s="1"/>
  <c r="R981" i="2"/>
  <c r="F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W417" i="2"/>
  <c r="X417" i="2" s="1"/>
  <c r="R417" i="2"/>
  <c r="F555" i="2" l="1"/>
  <c r="F554" i="2"/>
  <c r="F443" i="2"/>
  <c r="F556" i="2" l="1"/>
  <c r="F1711" i="2" l="1"/>
  <c r="F1712" i="2"/>
  <c r="W1309" i="2" l="1"/>
  <c r="X1309" i="2" s="1"/>
  <c r="T1309" i="2"/>
  <c r="R1309" i="2"/>
  <c r="F1309" i="2"/>
  <c r="T1566" i="2"/>
  <c r="W1569" i="2"/>
  <c r="X1569" i="2" s="1"/>
  <c r="R1569" i="2"/>
  <c r="M1569" i="2" s="1"/>
  <c r="H1569" i="2"/>
  <c r="W1568" i="2"/>
  <c r="X1568" i="2" s="1"/>
  <c r="T1568" i="2"/>
  <c r="R1568" i="2"/>
  <c r="F1568" i="2"/>
  <c r="W1567" i="2"/>
  <c r="X1567" i="2" s="1"/>
  <c r="T1567" i="2"/>
  <c r="R1567" i="2"/>
  <c r="F1567" i="2"/>
  <c r="W1566" i="2"/>
  <c r="X1566" i="2" s="1"/>
  <c r="R1566" i="2"/>
  <c r="F1566" i="2"/>
  <c r="W415" i="2"/>
  <c r="X415" i="2" s="1"/>
  <c r="R415" i="2"/>
  <c r="W416" i="2"/>
  <c r="X416" i="2" s="1"/>
  <c r="R416" i="2"/>
  <c r="T985" i="2" l="1"/>
  <c r="T986" i="2"/>
  <c r="T987" i="2"/>
  <c r="T988" i="2"/>
  <c r="F557" i="2" l="1"/>
  <c r="W412" i="2"/>
  <c r="X412" i="2" s="1"/>
  <c r="R412" i="2"/>
  <c r="F358" i="2" l="1"/>
  <c r="W1380" i="2"/>
  <c r="X1380" i="2" s="1"/>
  <c r="T1380" i="2"/>
  <c r="R1380" i="2"/>
  <c r="L358" i="2"/>
  <c r="I359" i="2"/>
  <c r="J359" i="2"/>
  <c r="T1253" i="2" l="1"/>
  <c r="I277" i="2" l="1"/>
  <c r="T772" i="2" l="1"/>
  <c r="T773" i="2"/>
  <c r="R36" i="2" l="1"/>
  <c r="R35" i="2"/>
  <c r="R61" i="2"/>
  <c r="M38" i="2" l="1"/>
  <c r="R38" i="2"/>
  <c r="T771" i="2" l="1"/>
  <c r="F878" i="2" l="1"/>
  <c r="W989" i="2" l="1"/>
  <c r="X989" i="2" s="1"/>
  <c r="R989" i="2"/>
  <c r="M989" i="2" s="1"/>
  <c r="H989" i="2"/>
  <c r="W988" i="2"/>
  <c r="X988" i="2" s="1"/>
  <c r="R988" i="2"/>
  <c r="F988" i="2"/>
  <c r="W987" i="2"/>
  <c r="X987" i="2" s="1"/>
  <c r="R987" i="2"/>
  <c r="F987" i="2"/>
  <c r="W986" i="2"/>
  <c r="X986" i="2" s="1"/>
  <c r="R986" i="2"/>
  <c r="F986" i="2"/>
  <c r="W985" i="2"/>
  <c r="X985" i="2" s="1"/>
  <c r="R985" i="2"/>
  <c r="W984" i="2"/>
  <c r="X984" i="2" s="1"/>
  <c r="R984" i="2"/>
  <c r="T1011" i="2" l="1"/>
  <c r="T973" i="2" l="1"/>
  <c r="T974" i="2"/>
  <c r="T975" i="2"/>
  <c r="T976" i="2"/>
  <c r="T972" i="2"/>
  <c r="W977" i="2"/>
  <c r="X977" i="2" s="1"/>
  <c r="R977" i="2"/>
  <c r="M977" i="2" s="1"/>
  <c r="H977" i="2"/>
  <c r="W976" i="2"/>
  <c r="X976" i="2" s="1"/>
  <c r="R976" i="2"/>
  <c r="F976" i="2"/>
  <c r="W975" i="2"/>
  <c r="X975" i="2" s="1"/>
  <c r="R975" i="2"/>
  <c r="F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F214" i="2" l="1"/>
  <c r="I278" i="2" l="1"/>
  <c r="K278" i="2"/>
  <c r="H278" i="2"/>
  <c r="F272" i="2"/>
  <c r="F271" i="2"/>
  <c r="T1528" i="2" l="1"/>
  <c r="T1529" i="2"/>
  <c r="T1525" i="2"/>
  <c r="T1522" i="2"/>
  <c r="T1523" i="2"/>
  <c r="T1519" i="2"/>
  <c r="T1516" i="2"/>
  <c r="T1517" i="2"/>
  <c r="T1514" i="2"/>
  <c r="T1505" i="2"/>
  <c r="T1506" i="2"/>
  <c r="T1503" i="2"/>
  <c r="T1499" i="2"/>
  <c r="T1501" i="2"/>
  <c r="T1498" i="2"/>
  <c r="T1495" i="2"/>
  <c r="T1496" i="2"/>
  <c r="T1493" i="2"/>
  <c r="W1530" i="2" l="1"/>
  <c r="X1530" i="2" s="1"/>
  <c r="R1530" i="2"/>
  <c r="M1530" i="2" s="1"/>
  <c r="H1530" i="2"/>
  <c r="W1529" i="2"/>
  <c r="X1529" i="2" s="1"/>
  <c r="R1529" i="2"/>
  <c r="F1529" i="2"/>
  <c r="W1528" i="2"/>
  <c r="X1528" i="2" s="1"/>
  <c r="R1528" i="2"/>
  <c r="F1528" i="2"/>
  <c r="W1525" i="2"/>
  <c r="X1525" i="2" s="1"/>
  <c r="R1525" i="2"/>
  <c r="W1524" i="2"/>
  <c r="X1524" i="2" s="1"/>
  <c r="R1524" i="2"/>
  <c r="M1524" i="2" s="1"/>
  <c r="H1524" i="2"/>
  <c r="W1523" i="2"/>
  <c r="X1523" i="2" s="1"/>
  <c r="R1523" i="2"/>
  <c r="F1523" i="2"/>
  <c r="W1522" i="2"/>
  <c r="X1522" i="2" s="1"/>
  <c r="R1522" i="2"/>
  <c r="F1522" i="2"/>
  <c r="W1519" i="2"/>
  <c r="X1519" i="2" s="1"/>
  <c r="R1519" i="2"/>
  <c r="W1518" i="2"/>
  <c r="X1518" i="2" s="1"/>
  <c r="R1518" i="2"/>
  <c r="M1518" i="2" s="1"/>
  <c r="H1518" i="2"/>
  <c r="W1517" i="2"/>
  <c r="X1517" i="2" s="1"/>
  <c r="R1517" i="2"/>
  <c r="F1517" i="2"/>
  <c r="W1516" i="2"/>
  <c r="X1516" i="2" s="1"/>
  <c r="R1516" i="2"/>
  <c r="F1516" i="2"/>
  <c r="W1514" i="2"/>
  <c r="X1514" i="2" s="1"/>
  <c r="R1514" i="2"/>
  <c r="F1514" i="2"/>
  <c r="W1507" i="2"/>
  <c r="X1507" i="2" s="1"/>
  <c r="R1507" i="2"/>
  <c r="M1507" i="2" s="1"/>
  <c r="H1507" i="2"/>
  <c r="W1506" i="2"/>
  <c r="X1506" i="2" s="1"/>
  <c r="R1506" i="2"/>
  <c r="F1506" i="2"/>
  <c r="W1505" i="2"/>
  <c r="X1505" i="2" s="1"/>
  <c r="R1505" i="2"/>
  <c r="F1505" i="2"/>
  <c r="W1503" i="2"/>
  <c r="X1503" i="2" s="1"/>
  <c r="R1503" i="2"/>
  <c r="W1502" i="2"/>
  <c r="X1502" i="2" s="1"/>
  <c r="R1502" i="2"/>
  <c r="M1502" i="2" s="1"/>
  <c r="H1502" i="2"/>
  <c r="W1501" i="2"/>
  <c r="X1501" i="2" s="1"/>
  <c r="R1501" i="2"/>
  <c r="F1501" i="2"/>
  <c r="W1499" i="2"/>
  <c r="X1499" i="2" s="1"/>
  <c r="R1499" i="2"/>
  <c r="W1498" i="2"/>
  <c r="X1498" i="2" s="1"/>
  <c r="R1498" i="2"/>
  <c r="W1497" i="2"/>
  <c r="X1497" i="2" s="1"/>
  <c r="R1497" i="2"/>
  <c r="M1497" i="2" s="1"/>
  <c r="H1497" i="2"/>
  <c r="W1496" i="2"/>
  <c r="X1496" i="2" s="1"/>
  <c r="R1496" i="2"/>
  <c r="F1496" i="2"/>
  <c r="W1495" i="2"/>
  <c r="X1495" i="2" s="1"/>
  <c r="R1495" i="2"/>
  <c r="F1495" i="2"/>
  <c r="W1493" i="2"/>
  <c r="X1493" i="2" s="1"/>
  <c r="R1493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8" i="2"/>
  <c r="T1241" i="2" l="1"/>
  <c r="T769" i="2"/>
  <c r="T836" i="2" l="1"/>
  <c r="F451" i="2" l="1"/>
  <c r="F450" i="2"/>
  <c r="K246" i="2" l="1"/>
  <c r="F960" i="2"/>
  <c r="F959" i="2"/>
  <c r="L557" i="2" l="1"/>
  <c r="L556" i="2"/>
  <c r="R775" i="2" l="1"/>
  <c r="L555" i="2" l="1"/>
  <c r="T782" i="2" l="1"/>
  <c r="L553" i="2" l="1"/>
  <c r="L554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4" i="2"/>
  <c r="F1059" i="2"/>
  <c r="F526" i="2" l="1"/>
  <c r="H168" i="2"/>
  <c r="W1306" i="2"/>
  <c r="X1306" i="2" s="1"/>
  <c r="T1306" i="2"/>
  <c r="R1306" i="2"/>
  <c r="F277" i="2" l="1"/>
  <c r="F834" i="2" l="1"/>
  <c r="F1095" i="2" l="1"/>
  <c r="W236" i="2" l="1"/>
  <c r="X236" i="2" s="1"/>
  <c r="R236" i="2"/>
  <c r="L236" i="2"/>
  <c r="F179" i="2" l="1"/>
  <c r="T781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52" i="2"/>
  <c r="H219" i="6" l="1"/>
  <c r="W237" i="2" l="1"/>
  <c r="X237" i="2" s="1"/>
  <c r="R237" i="2"/>
  <c r="L237" i="2"/>
  <c r="F237" i="2"/>
  <c r="L551" i="2" l="1"/>
  <c r="L558" i="2"/>
  <c r="F558" i="2"/>
  <c r="L550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8" i="2"/>
  <c r="F178" i="2"/>
  <c r="I53" i="6" l="1"/>
  <c r="H53" i="6"/>
  <c r="L549" i="2" l="1"/>
  <c r="F361" i="2" l="1"/>
  <c r="F1055" i="2" l="1"/>
  <c r="F818" i="2"/>
  <c r="T1909" i="2" l="1"/>
  <c r="F362" i="2" l="1"/>
  <c r="F1903" i="2" l="1"/>
  <c r="F1902" i="2"/>
  <c r="F364" i="2" l="1"/>
  <c r="F363" i="2"/>
  <c r="F966" i="2" l="1"/>
  <c r="H776" i="2"/>
  <c r="F1880" i="2" l="1"/>
  <c r="T1255" i="2" l="1"/>
  <c r="T1252" i="2"/>
  <c r="T1248" i="2" l="1"/>
  <c r="T780" i="2"/>
  <c r="F1226" i="2" l="1"/>
  <c r="T1490" i="2" l="1"/>
  <c r="T1491" i="2"/>
  <c r="T1489" i="2"/>
  <c r="W1492" i="2"/>
  <c r="X1492" i="2" s="1"/>
  <c r="R1492" i="2"/>
  <c r="M1492" i="2" s="1"/>
  <c r="H1492" i="2"/>
  <c r="W1491" i="2"/>
  <c r="X1491" i="2" s="1"/>
  <c r="R1491" i="2"/>
  <c r="F1491" i="2"/>
  <c r="W1490" i="2"/>
  <c r="X1490" i="2" s="1"/>
  <c r="R1490" i="2"/>
  <c r="F1490" i="2"/>
  <c r="W1489" i="2"/>
  <c r="X1489" i="2" s="1"/>
  <c r="R1489" i="2"/>
  <c r="F1489" i="2"/>
  <c r="F431" i="2" l="1"/>
  <c r="F307" i="2" l="1"/>
  <c r="F1904" i="2" l="1"/>
  <c r="F432" i="2" l="1"/>
  <c r="F533" i="2"/>
  <c r="F57" i="2" l="1"/>
  <c r="F58" i="2"/>
  <c r="T779" i="2" l="1"/>
  <c r="F868" i="2" l="1"/>
  <c r="F869" i="2"/>
  <c r="F1630" i="2" l="1"/>
  <c r="F952" i="2"/>
  <c r="T1132" i="2" l="1"/>
  <c r="T1133" i="2"/>
  <c r="T1134" i="2"/>
  <c r="T1131" i="2"/>
  <c r="T1109" i="2" l="1"/>
  <c r="M7" i="6" l="1"/>
  <c r="F1724" i="2" l="1"/>
  <c r="F534" i="2" l="1"/>
  <c r="F308" i="2"/>
  <c r="F1478" i="2" l="1"/>
  <c r="F1467" i="2" l="1"/>
  <c r="L89" i="2" l="1"/>
  <c r="H105" i="6" l="1"/>
  <c r="X68" i="2" l="1"/>
  <c r="R68" i="2"/>
  <c r="L68" i="2"/>
  <c r="F1287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9" i="2"/>
  <c r="H1135" i="2"/>
  <c r="W1135" i="2"/>
  <c r="X1135" i="2" s="1"/>
  <c r="R1135" i="2"/>
  <c r="M1135" i="2" s="1"/>
  <c r="N109" i="6" s="1"/>
  <c r="W1134" i="2"/>
  <c r="X1134" i="2" s="1"/>
  <c r="R1134" i="2"/>
  <c r="F1134" i="2"/>
  <c r="F108" i="6" s="1"/>
  <c r="W1133" i="2"/>
  <c r="X1133" i="2" s="1"/>
  <c r="R1133" i="2"/>
  <c r="L1133" i="2"/>
  <c r="M107" i="6" s="1"/>
  <c r="F1133" i="2"/>
  <c r="F107" i="6" s="1"/>
  <c r="W1132" i="2"/>
  <c r="X1132" i="2" s="1"/>
  <c r="R1132" i="2"/>
  <c r="F1132" i="2"/>
  <c r="F106" i="6" s="1"/>
  <c r="W1131" i="2"/>
  <c r="X1131" i="2" s="1"/>
  <c r="R1131" i="2"/>
  <c r="F1131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9" i="2" l="1"/>
  <c r="T778" i="2" l="1"/>
  <c r="F778" i="2"/>
  <c r="T784" i="2" l="1"/>
  <c r="F309" i="2" l="1"/>
  <c r="F60" i="2"/>
  <c r="F1337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8" i="2" l="1"/>
  <c r="F433" i="2" l="1"/>
  <c r="I666" i="2"/>
  <c r="F493" i="2"/>
  <c r="F606" i="2" l="1"/>
  <c r="I80" i="2" l="1"/>
  <c r="W349" i="2"/>
  <c r="X349" i="2" s="1"/>
  <c r="R349" i="2"/>
  <c r="W348" i="2" l="1"/>
  <c r="X348" i="2" s="1"/>
  <c r="R348" i="2"/>
  <c r="W1479" i="2" l="1"/>
  <c r="X1479" i="2" s="1"/>
  <c r="T1479" i="2"/>
  <c r="R1479" i="2"/>
  <c r="F181" i="2"/>
  <c r="F180" i="2"/>
  <c r="F1338" i="2" l="1"/>
  <c r="W347" i="2" l="1"/>
  <c r="X347" i="2" s="1"/>
  <c r="R347" i="2"/>
  <c r="F434" i="2" l="1"/>
  <c r="F1052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6" i="2"/>
  <c r="X1056" i="2" s="1"/>
  <c r="T1056" i="2"/>
  <c r="R1056" i="2"/>
  <c r="F1056" i="2"/>
  <c r="F45" i="6" s="1"/>
  <c r="F758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5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9" i="2" l="1"/>
  <c r="I201" i="2"/>
  <c r="F199" i="2"/>
  <c r="F198" i="2"/>
  <c r="F536" i="2" l="1"/>
  <c r="F866" i="2" l="1"/>
  <c r="F1194" i="2" l="1"/>
  <c r="F329" i="2" l="1"/>
  <c r="F1821" i="2"/>
  <c r="F435" i="2"/>
  <c r="F273" i="2"/>
  <c r="F1483" i="2" l="1"/>
  <c r="F1801" i="2" l="1"/>
  <c r="W1468" i="2" l="1"/>
  <c r="X1468" i="2" s="1"/>
  <c r="T1468" i="2"/>
  <c r="R1468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4" i="2"/>
  <c r="X1194" i="2" s="1"/>
  <c r="T1194" i="2"/>
  <c r="R1194" i="2"/>
  <c r="F165" i="6"/>
  <c r="W464" i="2"/>
  <c r="X464" i="2" s="1"/>
  <c r="R464" i="2"/>
  <c r="F195" i="2" l="1"/>
  <c r="F257" i="2" l="1"/>
  <c r="F256" i="2"/>
  <c r="W165" i="2" l="1"/>
  <c r="X165" i="2" s="1"/>
  <c r="R165" i="2"/>
  <c r="L165" i="2"/>
  <c r="F165" i="2"/>
  <c r="F1621" i="2" l="1"/>
  <c r="K563" i="2"/>
  <c r="K567" i="2"/>
  <c r="F368" i="2" l="1"/>
  <c r="F1622" i="2" l="1"/>
  <c r="F1359" i="2"/>
  <c r="F1771" i="2" l="1"/>
  <c r="K184" i="2" l="1"/>
  <c r="H184" i="2"/>
  <c r="F1160" i="2" l="1"/>
  <c r="F1623" i="2" l="1"/>
  <c r="F1360" i="2" l="1"/>
  <c r="F1484" i="2" l="1"/>
  <c r="K168" i="2" l="1"/>
  <c r="I168" i="2"/>
  <c r="F162" i="2" l="1"/>
  <c r="F163" i="2" l="1"/>
  <c r="F940" i="2" l="1"/>
  <c r="F436" i="2" l="1"/>
  <c r="F437" i="2"/>
  <c r="F438" i="2"/>
  <c r="F439" i="2"/>
  <c r="F440" i="2"/>
  <c r="F774" i="2" l="1"/>
  <c r="L180" i="2" l="1"/>
  <c r="J53" i="7" l="1"/>
  <c r="I53" i="7"/>
  <c r="H53" i="7"/>
  <c r="G53" i="7"/>
  <c r="E53" i="7"/>
  <c r="C53" i="7"/>
  <c r="W950" i="2" l="1"/>
  <c r="X950" i="2" s="1"/>
  <c r="T950" i="2"/>
  <c r="R950" i="2"/>
  <c r="F950" i="2"/>
  <c r="F53" i="7" s="1"/>
  <c r="N50" i="7" l="1"/>
  <c r="J50" i="7"/>
  <c r="I50" i="7"/>
  <c r="H50" i="7"/>
  <c r="G50" i="7"/>
  <c r="E50" i="7"/>
  <c r="C50" i="7"/>
  <c r="W947" i="2"/>
  <c r="X947" i="2" s="1"/>
  <c r="T947" i="2"/>
  <c r="R947" i="2"/>
  <c r="F50" i="7"/>
  <c r="I285" i="2"/>
  <c r="L618" i="2" l="1"/>
  <c r="L619" i="2"/>
  <c r="F1161" i="2" l="1"/>
  <c r="F812" i="2"/>
  <c r="W1475" i="2" l="1"/>
  <c r="X1475" i="2" s="1"/>
  <c r="T1475" i="2"/>
  <c r="R1475" i="2"/>
  <c r="F1475" i="2"/>
  <c r="F1485" i="2" l="1"/>
  <c r="W1473" i="2" l="1"/>
  <c r="X1473" i="2" s="1"/>
  <c r="T1473" i="2"/>
  <c r="R1473" i="2"/>
  <c r="W1484" i="2" l="1"/>
  <c r="X1484" i="2" s="1"/>
  <c r="T1484" i="2"/>
  <c r="R1484" i="2"/>
  <c r="W1485" i="2"/>
  <c r="X1485" i="2" s="1"/>
  <c r="T1485" i="2"/>
  <c r="R1485" i="2"/>
  <c r="T1480" i="2" l="1"/>
  <c r="T1481" i="2"/>
  <c r="T1478" i="2"/>
  <c r="W1482" i="2" l="1"/>
  <c r="X1482" i="2" s="1"/>
  <c r="R1482" i="2"/>
  <c r="M1482" i="2" s="1"/>
  <c r="H1482" i="2"/>
  <c r="W1481" i="2"/>
  <c r="X1481" i="2" s="1"/>
  <c r="R1481" i="2"/>
  <c r="F1481" i="2"/>
  <c r="W1480" i="2"/>
  <c r="X1480" i="2" s="1"/>
  <c r="R1480" i="2"/>
  <c r="F1480" i="2"/>
  <c r="W1478" i="2"/>
  <c r="X1478" i="2" s="1"/>
  <c r="R1478" i="2"/>
  <c r="F41" i="2" l="1"/>
  <c r="F51" i="2"/>
  <c r="F52" i="2"/>
  <c r="F232" i="6" l="1"/>
  <c r="F1792" i="2" l="1"/>
  <c r="F371" i="2"/>
  <c r="L280" i="2" l="1"/>
  <c r="F280" i="2"/>
  <c r="T1472" i="2" l="1"/>
  <c r="T1474" i="2"/>
  <c r="T1476" i="2"/>
  <c r="W1477" i="2"/>
  <c r="X1477" i="2" s="1"/>
  <c r="R1477" i="2"/>
  <c r="M1477" i="2" s="1"/>
  <c r="H1477" i="2"/>
  <c r="W1476" i="2"/>
  <c r="X1476" i="2" s="1"/>
  <c r="R1476" i="2"/>
  <c r="F1476" i="2"/>
  <c r="W1474" i="2"/>
  <c r="X1474" i="2" s="1"/>
  <c r="R1474" i="2"/>
  <c r="W1472" i="2"/>
  <c r="X1472" i="2" s="1"/>
  <c r="R1472" i="2"/>
  <c r="F282" i="2" l="1"/>
  <c r="T1469" i="2" l="1"/>
  <c r="T1470" i="2"/>
  <c r="T1467" i="2"/>
  <c r="W1471" i="2"/>
  <c r="X1471" i="2" s="1"/>
  <c r="R1471" i="2"/>
  <c r="M1471" i="2" s="1"/>
  <c r="H1471" i="2"/>
  <c r="W1470" i="2"/>
  <c r="X1470" i="2" s="1"/>
  <c r="R1470" i="2"/>
  <c r="F1470" i="2"/>
  <c r="W1469" i="2"/>
  <c r="X1469" i="2" s="1"/>
  <c r="R1469" i="2"/>
  <c r="F1469" i="2"/>
  <c r="W1467" i="2"/>
  <c r="X1467" i="2" s="1"/>
  <c r="R1467" i="2"/>
  <c r="F281" i="2"/>
  <c r="F677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70" i="2"/>
  <c r="T1271" i="2"/>
  <c r="T1273" i="2"/>
  <c r="T1269" i="2"/>
  <c r="R1274" i="2"/>
  <c r="M1274" i="2" s="1"/>
  <c r="N237" i="6" s="1"/>
  <c r="W1274" i="2"/>
  <c r="W1427" i="2"/>
  <c r="X1427" i="2" s="1"/>
  <c r="F1427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6" i="2" l="1"/>
  <c r="W678" i="2" l="1"/>
  <c r="X678" i="2" s="1"/>
  <c r="T678" i="2"/>
  <c r="F678" i="2"/>
  <c r="W677" i="2" l="1"/>
  <c r="X677" i="2" s="1"/>
  <c r="T677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9" i="2" l="1"/>
  <c r="X439" i="2" s="1"/>
  <c r="R439" i="2"/>
  <c r="L439" i="2"/>
  <c r="W1887" i="2" l="1"/>
  <c r="X1887" i="2" s="1"/>
  <c r="T1887" i="2"/>
  <c r="R1887" i="2"/>
  <c r="W1891" i="2"/>
  <c r="X1891" i="2" s="1"/>
  <c r="T1891" i="2"/>
  <c r="R1891" i="2"/>
  <c r="T1010" i="2" l="1"/>
  <c r="R134" i="2" l="1"/>
  <c r="W676" i="2" l="1"/>
  <c r="X676" i="2" s="1"/>
  <c r="T676" i="2"/>
  <c r="W675" i="2" l="1"/>
  <c r="X675" i="2" s="1"/>
  <c r="T675" i="2"/>
  <c r="F1247" i="2" l="1"/>
  <c r="F755" i="2"/>
  <c r="F1870" i="2" l="1"/>
  <c r="F686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9" i="2" l="1"/>
  <c r="R781" i="2"/>
  <c r="F455" i="2" l="1"/>
  <c r="H63" i="4" l="1"/>
  <c r="H64" i="4"/>
  <c r="H65" i="4"/>
  <c r="H67" i="4"/>
  <c r="L281" i="2"/>
  <c r="I300" i="2" l="1"/>
  <c r="K300" i="2"/>
  <c r="H300" i="2"/>
  <c r="F39" i="2" l="1"/>
  <c r="F1159" i="2" l="1"/>
  <c r="F953" i="2" l="1"/>
  <c r="F1899" i="2" l="1"/>
  <c r="F1019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4" i="2"/>
  <c r="R864" i="2"/>
  <c r="M864" i="2" s="1"/>
  <c r="W864" i="2"/>
  <c r="X864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6" i="2"/>
  <c r="L437" i="2"/>
  <c r="L438" i="2"/>
  <c r="L440" i="2"/>
  <c r="L443" i="2"/>
  <c r="L449" i="2"/>
  <c r="L450" i="2"/>
  <c r="L451" i="2"/>
  <c r="L493" i="2"/>
  <c r="L508" i="2"/>
  <c r="L514" i="2"/>
  <c r="L515" i="2"/>
  <c r="L516" i="2"/>
  <c r="L517" i="2"/>
  <c r="L518" i="2"/>
  <c r="L521" i="2"/>
  <c r="L522" i="2"/>
  <c r="L523" i="2"/>
  <c r="L526" i="2"/>
  <c r="L532" i="2"/>
  <c r="L533" i="2"/>
  <c r="L534" i="2"/>
  <c r="L535" i="2"/>
  <c r="L536" i="2"/>
  <c r="L537" i="2"/>
  <c r="L538" i="2"/>
  <c r="L539" i="2"/>
  <c r="L561" i="2"/>
  <c r="L564" i="2"/>
  <c r="L565" i="2"/>
  <c r="L568" i="2"/>
  <c r="L569" i="2"/>
  <c r="L572" i="2"/>
  <c r="L573" i="2"/>
  <c r="L580" i="2"/>
  <c r="L583" i="2"/>
  <c r="L584" i="2"/>
  <c r="L587" i="2"/>
  <c r="L588" i="2"/>
  <c r="L591" i="2"/>
  <c r="L592" i="2"/>
  <c r="L595" i="2"/>
  <c r="L596" i="2"/>
  <c r="L599" i="2"/>
  <c r="L601" i="2"/>
  <c r="L604" i="2"/>
  <c r="L608" i="2"/>
  <c r="L609" i="2"/>
  <c r="L610" i="2"/>
  <c r="L641" i="2"/>
  <c r="L642" i="2"/>
  <c r="L643" i="2"/>
  <c r="L644" i="2"/>
  <c r="L664" i="2"/>
  <c r="L86" i="7" s="1"/>
  <c r="L668" i="2"/>
  <c r="L669" i="2"/>
  <c r="L729" i="2"/>
  <c r="L730" i="2"/>
  <c r="L731" i="2"/>
  <c r="L734" i="2"/>
  <c r="L735" i="2"/>
  <c r="L736" i="2"/>
  <c r="L739" i="2"/>
  <c r="L742" i="2"/>
  <c r="L793" i="2"/>
  <c r="L794" i="2"/>
  <c r="L795" i="2"/>
  <c r="L796" i="2"/>
  <c r="L797" i="2"/>
  <c r="L801" i="2"/>
  <c r="L802" i="2"/>
  <c r="L803" i="2"/>
  <c r="L825" i="2"/>
  <c r="L826" i="2"/>
  <c r="L868" i="2"/>
  <c r="L44" i="7" s="1"/>
  <c r="L869" i="2"/>
  <c r="L45" i="7" s="1"/>
  <c r="L885" i="2"/>
  <c r="L891" i="2"/>
  <c r="L902" i="2"/>
  <c r="L930" i="2"/>
  <c r="L931" i="2"/>
  <c r="L932" i="2"/>
  <c r="L933" i="2"/>
  <c r="L935" i="2"/>
  <c r="L936" i="2"/>
  <c r="L954" i="2"/>
  <c r="L956" i="2"/>
  <c r="L957" i="2"/>
  <c r="L1027" i="2"/>
  <c r="L1028" i="2"/>
  <c r="L1029" i="2"/>
  <c r="L1032" i="2"/>
  <c r="L1033" i="2"/>
  <c r="L1034" i="2"/>
  <c r="L1081" i="2"/>
  <c r="L1082" i="2"/>
  <c r="L1083" i="2"/>
  <c r="L1084" i="2"/>
  <c r="L1110" i="2"/>
  <c r="L1111" i="2"/>
  <c r="M85" i="6" s="1"/>
  <c r="L1112" i="2"/>
  <c r="M86" i="6" s="1"/>
  <c r="L1113" i="2"/>
  <c r="M87" i="6" s="1"/>
  <c r="L1117" i="2"/>
  <c r="M91" i="6" s="1"/>
  <c r="L1118" i="2"/>
  <c r="M92" i="6" s="1"/>
  <c r="L1119" i="2"/>
  <c r="M93" i="6" s="1"/>
  <c r="L1120" i="2"/>
  <c r="M94" i="6" s="1"/>
  <c r="L1136" i="2"/>
  <c r="L1166" i="2"/>
  <c r="L1167" i="2"/>
  <c r="L1168" i="2"/>
  <c r="L1169" i="2"/>
  <c r="L1170" i="2"/>
  <c r="L1171" i="2"/>
  <c r="L1172" i="2"/>
  <c r="L1174" i="2"/>
  <c r="L1175" i="2"/>
  <c r="L1176" i="2"/>
  <c r="L1177" i="2"/>
  <c r="L1178" i="2"/>
  <c r="L1179" i="2"/>
  <c r="L1181" i="2"/>
  <c r="L1183" i="2"/>
  <c r="L1184" i="2"/>
  <c r="L1185" i="2"/>
  <c r="L1186" i="2"/>
  <c r="L1187" i="2"/>
  <c r="L1188" i="2"/>
  <c r="L1240" i="2"/>
  <c r="L1241" i="2"/>
  <c r="L1263" i="2"/>
  <c r="L1264" i="2"/>
  <c r="L1265" i="2"/>
  <c r="L1266" i="2"/>
  <c r="L1319" i="2"/>
  <c r="L1320" i="2"/>
  <c r="L1323" i="2"/>
  <c r="L1324" i="2"/>
  <c r="L1333" i="2"/>
  <c r="L1334" i="2"/>
  <c r="L1344" i="2"/>
  <c r="L1345" i="2"/>
  <c r="L1346" i="2"/>
  <c r="L1347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7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5" i="2" l="1"/>
  <c r="H21" i="7" s="1"/>
  <c r="I184" i="2"/>
  <c r="R135" i="2"/>
  <c r="S135" i="2" s="1"/>
  <c r="M135" i="2" s="1"/>
  <c r="F22" i="7" l="1"/>
  <c r="T1247" i="2" l="1"/>
  <c r="T1249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20" i="2"/>
  <c r="W1000" i="2" l="1"/>
  <c r="X1000" i="2" s="1"/>
  <c r="R1000" i="2"/>
  <c r="F1000" i="2"/>
  <c r="F37" i="6" s="1"/>
  <c r="I245" i="2" l="1"/>
  <c r="F962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3" i="2"/>
  <c r="X963" i="2" s="1"/>
  <c r="T963" i="2"/>
  <c r="R963" i="2"/>
  <c r="F963" i="2"/>
  <c r="F65" i="7" s="1"/>
  <c r="J951" i="2" l="1"/>
  <c r="F279" i="2"/>
  <c r="L951" i="2" l="1"/>
  <c r="L54" i="7" s="1"/>
  <c r="J54" i="7"/>
  <c r="F305" i="2"/>
  <c r="F1246" i="2"/>
  <c r="F148" i="6" s="1"/>
  <c r="F1043" i="2"/>
  <c r="R684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9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82" i="2" l="1"/>
  <c r="T835" i="2" l="1"/>
  <c r="T834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4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701" i="2" l="1"/>
  <c r="F700" i="2"/>
  <c r="T1428" i="2" l="1"/>
  <c r="T1397" i="2"/>
  <c r="W440" i="2"/>
  <c r="X440" i="2" s="1"/>
  <c r="R440" i="2"/>
  <c r="W875" i="2" l="1"/>
  <c r="X875" i="2" s="1"/>
  <c r="T875" i="2"/>
  <c r="R875" i="2"/>
  <c r="F875" i="2"/>
  <c r="W152" i="2"/>
  <c r="X152" i="2" s="1"/>
  <c r="W1930" i="2"/>
  <c r="X1930" i="2" s="1"/>
  <c r="T1930" i="2"/>
  <c r="R1930" i="2"/>
  <c r="W1402" i="2" l="1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21" i="2"/>
  <c r="W1422" i="2"/>
  <c r="W1423" i="2"/>
  <c r="W1424" i="2"/>
  <c r="W1425" i="2"/>
  <c r="W1428" i="2"/>
  <c r="W1429" i="2"/>
  <c r="X1429" i="2" l="1"/>
  <c r="W150" i="2"/>
  <c r="X150" i="2" s="1"/>
  <c r="T701" i="2"/>
  <c r="T702" i="2"/>
  <c r="T703" i="2"/>
  <c r="T704" i="2"/>
  <c r="T700" i="2"/>
  <c r="M1429" i="2" l="1"/>
  <c r="F537" i="2"/>
  <c r="W705" i="2"/>
  <c r="X705" i="2" s="1"/>
  <c r="R705" i="2"/>
  <c r="M705" i="2" s="1"/>
  <c r="H705" i="2"/>
  <c r="W704" i="2"/>
  <c r="X704" i="2" s="1"/>
  <c r="R704" i="2"/>
  <c r="F704" i="2"/>
  <c r="W703" i="2"/>
  <c r="X703" i="2" s="1"/>
  <c r="R703" i="2"/>
  <c r="F703" i="2"/>
  <c r="W702" i="2"/>
  <c r="X702" i="2" s="1"/>
  <c r="R702" i="2"/>
  <c r="F702" i="2"/>
  <c r="W701" i="2"/>
  <c r="X701" i="2" s="1"/>
  <c r="R701" i="2"/>
  <c r="W700" i="2"/>
  <c r="X700" i="2" s="1"/>
  <c r="R700" i="2"/>
  <c r="R203" i="2" l="1"/>
  <c r="R205" i="2"/>
  <c r="R207" i="2"/>
  <c r="F169" i="6" l="1"/>
  <c r="F637" i="2" l="1"/>
  <c r="F636" i="2"/>
  <c r="F706" i="2"/>
  <c r="T630" i="2" l="1"/>
  <c r="H1429" i="2" l="1"/>
  <c r="X1428" i="2"/>
  <c r="F1428" i="2"/>
  <c r="X1425" i="2"/>
  <c r="X1424" i="2"/>
  <c r="T707" i="2" l="1"/>
  <c r="T708" i="2"/>
  <c r="T709" i="2"/>
  <c r="T710" i="2"/>
  <c r="T706" i="2"/>
  <c r="W711" i="2"/>
  <c r="X711" i="2" s="1"/>
  <c r="R711" i="2"/>
  <c r="M711" i="2" s="1"/>
  <c r="H711" i="2"/>
  <c r="W710" i="2"/>
  <c r="X710" i="2" s="1"/>
  <c r="R710" i="2"/>
  <c r="F710" i="2"/>
  <c r="W709" i="2"/>
  <c r="X709" i="2" s="1"/>
  <c r="R709" i="2"/>
  <c r="F709" i="2"/>
  <c r="W708" i="2"/>
  <c r="X708" i="2" s="1"/>
  <c r="R708" i="2"/>
  <c r="F708" i="2"/>
  <c r="W707" i="2"/>
  <c r="X707" i="2" s="1"/>
  <c r="R707" i="2"/>
  <c r="F707" i="2"/>
  <c r="W706" i="2"/>
  <c r="X706" i="2" s="1"/>
  <c r="R706" i="2"/>
  <c r="W571" i="2" l="1"/>
  <c r="X571" i="2" s="1"/>
  <c r="R571" i="2"/>
  <c r="H571" i="2"/>
  <c r="W570" i="2"/>
  <c r="X570" i="2" s="1"/>
  <c r="R570" i="2"/>
  <c r="I570" i="2"/>
  <c r="F570" i="2"/>
  <c r="W569" i="2"/>
  <c r="X569" i="2" s="1"/>
  <c r="R569" i="2"/>
  <c r="F569" i="2"/>
  <c r="W568" i="2"/>
  <c r="X568" i="2" s="1"/>
  <c r="R568" i="2"/>
  <c r="F568" i="2"/>
  <c r="I571" i="2" l="1"/>
  <c r="N231" i="6" l="1"/>
  <c r="S237" i="6"/>
  <c r="F666" i="2"/>
  <c r="F88" i="7" s="1"/>
  <c r="H239" i="2" l="1"/>
  <c r="F1854" i="2" l="1"/>
  <c r="F1853" i="2"/>
  <c r="F170" i="6"/>
  <c r="W1802" i="2" l="1"/>
  <c r="X1802" i="2" s="1"/>
  <c r="T1802" i="2"/>
  <c r="R1802" i="2"/>
  <c r="W1432" i="2" l="1"/>
  <c r="X1432" i="2" s="1"/>
  <c r="R1432" i="2"/>
  <c r="F1432" i="2"/>
  <c r="F1257" i="2" l="1"/>
  <c r="W1711" i="2" l="1"/>
  <c r="X1711" i="2" s="1"/>
  <c r="T1711" i="2"/>
  <c r="R1711" i="2"/>
  <c r="F777" i="2" l="1"/>
  <c r="F16" i="6" s="1"/>
  <c r="W507" i="2" l="1"/>
  <c r="X507" i="2" s="1"/>
  <c r="W508" i="2" l="1"/>
  <c r="X508" i="2" s="1"/>
  <c r="R813" i="2" l="1"/>
  <c r="R814" i="2"/>
  <c r="R815" i="2"/>
  <c r="F1290" i="2" l="1"/>
  <c r="F786" i="2" l="1"/>
  <c r="F1045" i="2" l="1"/>
  <c r="F1074" i="2" l="1"/>
  <c r="F63" i="6" s="1"/>
  <c r="T838" i="2" l="1"/>
  <c r="F1039" i="2" l="1"/>
  <c r="W1040" i="2"/>
  <c r="X1040" i="2" s="1"/>
  <c r="T1040" i="2"/>
  <c r="R1040" i="2"/>
  <c r="F1040" i="2"/>
  <c r="F1300" i="2" l="1"/>
  <c r="F83" i="7" s="1"/>
  <c r="R105" i="2" l="1"/>
  <c r="F1075" i="2" l="1"/>
  <c r="F64" i="6" s="1"/>
  <c r="W839" i="2"/>
  <c r="H839" i="2"/>
  <c r="W838" i="2"/>
  <c r="R838" i="2"/>
  <c r="S839" i="2" s="1"/>
  <c r="M839" i="2" s="1"/>
  <c r="F838" i="2"/>
  <c r="W837" i="2"/>
  <c r="X837" i="2" s="1"/>
  <c r="R837" i="2"/>
  <c r="F837" i="2"/>
  <c r="W836" i="2"/>
  <c r="X836" i="2" s="1"/>
  <c r="R836" i="2"/>
  <c r="W835" i="2"/>
  <c r="X835" i="2" s="1"/>
  <c r="R835" i="2"/>
  <c r="W834" i="2"/>
  <c r="X834" i="2" s="1"/>
  <c r="R834" i="2"/>
  <c r="F618" i="2"/>
  <c r="X839" i="2" l="1"/>
  <c r="X838" i="2"/>
  <c r="AC429" i="2" l="1"/>
  <c r="R667" i="2" l="1"/>
  <c r="F824" i="2" l="1"/>
  <c r="F1076" i="2" l="1"/>
  <c r="F65" i="6" s="1"/>
  <c r="F1077" i="2" l="1"/>
  <c r="F66" i="6" s="1"/>
  <c r="E152" i="4" l="1"/>
  <c r="E85" i="4"/>
  <c r="E58" i="4"/>
  <c r="F376" i="2" l="1"/>
  <c r="F118" i="6" l="1"/>
  <c r="K119" i="2" l="1"/>
  <c r="K124" i="2"/>
  <c r="F1154" i="2" l="1"/>
  <c r="Q242" i="6" l="1"/>
  <c r="C238" i="6"/>
  <c r="T819" i="2" l="1"/>
  <c r="T820" i="2"/>
  <c r="T821" i="2"/>
  <c r="T822" i="2"/>
  <c r="T818" i="2"/>
  <c r="W823" i="2"/>
  <c r="R823" i="2"/>
  <c r="H823" i="2"/>
  <c r="W822" i="2"/>
  <c r="X822" i="2" s="1"/>
  <c r="R822" i="2"/>
  <c r="F822" i="2"/>
  <c r="F242" i="6" s="1"/>
  <c r="W821" i="2"/>
  <c r="X821" i="2" s="1"/>
  <c r="R821" i="2"/>
  <c r="F821" i="2"/>
  <c r="F241" i="6" s="1"/>
  <c r="W820" i="2"/>
  <c r="X820" i="2" s="1"/>
  <c r="R820" i="2"/>
  <c r="F240" i="6"/>
  <c r="W819" i="2"/>
  <c r="X819" i="2" s="1"/>
  <c r="R819" i="2"/>
  <c r="F239" i="6"/>
  <c r="W818" i="2"/>
  <c r="X818" i="2" s="1"/>
  <c r="R818" i="2"/>
  <c r="F886" i="2"/>
  <c r="M823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5" i="2" l="1"/>
  <c r="F197" i="6" l="1"/>
  <c r="W1632" i="2" l="1"/>
  <c r="X1632" i="2" s="1"/>
  <c r="T1632" i="2"/>
  <c r="R1632" i="2"/>
  <c r="W1921" i="2" l="1"/>
  <c r="X1921" i="2" s="1"/>
  <c r="T1921" i="2"/>
  <c r="R1921" i="2"/>
  <c r="T1117" i="2"/>
  <c r="T1118" i="2"/>
  <c r="T1119" i="2"/>
  <c r="T1120" i="2"/>
  <c r="T1121" i="2"/>
  <c r="T1116" i="2"/>
  <c r="T632" i="2" l="1"/>
  <c r="T633" i="2"/>
  <c r="T634" i="2"/>
  <c r="R109" i="2"/>
  <c r="R106" i="2"/>
  <c r="R107" i="2"/>
  <c r="R108" i="2"/>
  <c r="R111" i="2"/>
  <c r="T825" i="2" l="1"/>
  <c r="T826" i="2"/>
  <c r="T827" i="2"/>
  <c r="T824" i="2"/>
  <c r="W828" i="2"/>
  <c r="X828" i="2" s="1"/>
  <c r="R828" i="2"/>
  <c r="M828" i="2" s="1"/>
  <c r="H828" i="2"/>
  <c r="W827" i="2"/>
  <c r="X827" i="2" s="1"/>
  <c r="R827" i="2"/>
  <c r="S247" i="6" s="1"/>
  <c r="F827" i="2"/>
  <c r="W826" i="2"/>
  <c r="X826" i="2" s="1"/>
  <c r="R826" i="2"/>
  <c r="F826" i="2"/>
  <c r="W825" i="2"/>
  <c r="X825" i="2" s="1"/>
  <c r="R825" i="2"/>
  <c r="F825" i="2"/>
  <c r="W824" i="2"/>
  <c r="X824" i="2" s="1"/>
  <c r="R824" i="2"/>
  <c r="F538" i="2" l="1"/>
  <c r="F16" i="2" l="1"/>
  <c r="F713" i="2" l="1"/>
  <c r="F712" i="2"/>
  <c r="W109" i="2" l="1"/>
  <c r="W538" i="2" l="1"/>
  <c r="X538" i="2" s="1"/>
  <c r="R538" i="2"/>
  <c r="F714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2" i="2"/>
  <c r="M1122" i="2" s="1"/>
  <c r="W1122" i="2"/>
  <c r="X1122" i="2" s="1"/>
  <c r="H1122" i="2"/>
  <c r="W1121" i="2"/>
  <c r="X1121" i="2" s="1"/>
  <c r="R1121" i="2"/>
  <c r="F1121" i="2"/>
  <c r="F95" i="6" s="1"/>
  <c r="W1120" i="2"/>
  <c r="X1120" i="2" s="1"/>
  <c r="R1120" i="2"/>
  <c r="F1120" i="2"/>
  <c r="F94" i="6" s="1"/>
  <c r="W1119" i="2"/>
  <c r="X1119" i="2" s="1"/>
  <c r="R1119" i="2"/>
  <c r="F1119" i="2"/>
  <c r="F93" i="6" s="1"/>
  <c r="W1118" i="2"/>
  <c r="X1118" i="2" s="1"/>
  <c r="R1118" i="2"/>
  <c r="F1118" i="2"/>
  <c r="F92" i="6" s="1"/>
  <c r="W1117" i="2"/>
  <c r="X1117" i="2" s="1"/>
  <c r="R1117" i="2"/>
  <c r="F1117" i="2"/>
  <c r="F91" i="6" s="1"/>
  <c r="W1116" i="2"/>
  <c r="X1116" i="2" s="1"/>
  <c r="R1116" i="2"/>
  <c r="F1116" i="2"/>
  <c r="F90" i="6" s="1"/>
  <c r="W537" i="2"/>
  <c r="X537" i="2" s="1"/>
  <c r="R537" i="2"/>
  <c r="R994" i="2" l="1"/>
  <c r="W539" i="2"/>
  <c r="X539" i="2" s="1"/>
  <c r="R539" i="2"/>
  <c r="F539" i="2"/>
  <c r="W536" i="2"/>
  <c r="X536" i="2" s="1"/>
  <c r="R536" i="2"/>
  <c r="W535" i="2"/>
  <c r="X535" i="2" s="1"/>
  <c r="R535" i="2"/>
  <c r="R1017" i="2" l="1"/>
  <c r="F715" i="2" l="1"/>
  <c r="W533" i="2" l="1"/>
  <c r="X533" i="2" s="1"/>
  <c r="R533" i="2"/>
  <c r="W1821" i="2" l="1"/>
  <c r="X1821" i="2" s="1"/>
  <c r="T1821" i="2"/>
  <c r="R1821" i="2"/>
  <c r="F716" i="2" l="1"/>
  <c r="F787" i="2" l="1"/>
  <c r="F717" i="2" l="1"/>
  <c r="Q88" i="6" l="1"/>
  <c r="Q87" i="6"/>
  <c r="O98" i="6"/>
  <c r="O99" i="6"/>
  <c r="O100" i="6"/>
  <c r="O101" i="6"/>
  <c r="O97" i="6"/>
  <c r="W1077" i="2" l="1"/>
  <c r="X1077" i="2" s="1"/>
  <c r="T1077" i="2"/>
  <c r="R1077" i="2"/>
  <c r="T1124" i="2" l="1"/>
  <c r="T1125" i="2"/>
  <c r="T1126" i="2"/>
  <c r="T1127" i="2"/>
  <c r="T1129" i="2"/>
  <c r="T1123" i="2"/>
  <c r="F718" i="2"/>
  <c r="F719" i="2" l="1"/>
  <c r="L112" i="6" l="1"/>
  <c r="Q103" i="6"/>
  <c r="E104" i="6"/>
  <c r="C97" i="6"/>
  <c r="F1817" i="2" l="1"/>
  <c r="W719" i="2" l="1"/>
  <c r="X719" i="2" s="1"/>
  <c r="T719" i="2"/>
  <c r="R719" i="2"/>
  <c r="W718" i="2"/>
  <c r="X718" i="2" s="1"/>
  <c r="T718" i="2"/>
  <c r="R718" i="2"/>
  <c r="W717" i="2" l="1"/>
  <c r="X717" i="2" s="1"/>
  <c r="T717" i="2"/>
  <c r="R717" i="2"/>
  <c r="F1668" i="2" l="1"/>
  <c r="W720" i="2" l="1"/>
  <c r="X720" i="2" s="1"/>
  <c r="T720" i="2"/>
  <c r="R720" i="2"/>
  <c r="F720" i="2"/>
  <c r="W716" i="2" l="1"/>
  <c r="X716" i="2" s="1"/>
  <c r="T716" i="2"/>
  <c r="R716" i="2"/>
  <c r="W715" i="2"/>
  <c r="X715" i="2" s="1"/>
  <c r="T715" i="2"/>
  <c r="R715" i="2"/>
  <c r="T1456" i="2" l="1"/>
  <c r="T1457" i="2"/>
  <c r="T1455" i="2"/>
  <c r="Z4" i="15" l="1"/>
  <c r="A160" i="12" l="1"/>
  <c r="T816" i="2" l="1"/>
  <c r="T812" i="2"/>
  <c r="I176" i="2" l="1"/>
  <c r="F171" i="6" l="1"/>
  <c r="T1013" i="2" l="1"/>
  <c r="T1014" i="2"/>
  <c r="T1015" i="2"/>
  <c r="T1016" i="2"/>
  <c r="F162" i="6" l="1"/>
  <c r="R995" i="2" l="1"/>
  <c r="I566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8" i="2"/>
  <c r="X1458" i="2" s="1"/>
  <c r="R1458" i="2"/>
  <c r="M1458" i="2" s="1"/>
  <c r="H1458" i="2"/>
  <c r="W1457" i="2"/>
  <c r="X1457" i="2" s="1"/>
  <c r="R1457" i="2"/>
  <c r="W111" i="15"/>
  <c r="F1457" i="2"/>
  <c r="W1456" i="2"/>
  <c r="X1456" i="2" s="1"/>
  <c r="R1456" i="2"/>
  <c r="W110" i="15"/>
  <c r="F1456" i="2"/>
  <c r="W1455" i="2"/>
  <c r="X1455" i="2" s="1"/>
  <c r="R1455" i="2"/>
  <c r="W109" i="15"/>
  <c r="F1455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7" i="2" l="1"/>
  <c r="R202" i="2" l="1"/>
  <c r="M202" i="2" s="1"/>
  <c r="F1051" i="2" l="1"/>
  <c r="F40" i="6" s="1"/>
  <c r="F1258" i="2"/>
  <c r="T635" i="2" l="1"/>
  <c r="T636" i="2"/>
  <c r="T637" i="2"/>
  <c r="T631" i="2"/>
  <c r="R640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5" i="2"/>
  <c r="X565" i="2" s="1"/>
  <c r="R565" i="2"/>
  <c r="F565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6" i="2" l="1"/>
  <c r="F157" i="15" s="1"/>
  <c r="F564" i="2"/>
  <c r="F155" i="15" s="1"/>
  <c r="W567" i="2"/>
  <c r="X567" i="2" s="1"/>
  <c r="R567" i="2"/>
  <c r="I567" i="2"/>
  <c r="H567" i="2"/>
  <c r="W566" i="2"/>
  <c r="X566" i="2" s="1"/>
  <c r="R566" i="2"/>
  <c r="W564" i="2"/>
  <c r="X564" i="2" s="1"/>
  <c r="R564" i="2"/>
  <c r="W155" i="15" l="1"/>
  <c r="T944" i="2" l="1"/>
  <c r="C226" i="6" l="1"/>
  <c r="H613" i="2" l="1"/>
  <c r="I177" i="2" l="1"/>
  <c r="F220" i="2"/>
  <c r="T841" i="2" l="1"/>
  <c r="T842" i="2"/>
  <c r="T843" i="2"/>
  <c r="T844" i="2"/>
  <c r="T846" i="2"/>
  <c r="T847" i="2"/>
  <c r="T840" i="2"/>
  <c r="I224" i="2" l="1"/>
  <c r="T1076" i="2" l="1"/>
  <c r="T1078" i="2"/>
  <c r="F55" i="7" l="1"/>
  <c r="W1801" i="2" l="1"/>
  <c r="X1801" i="2" s="1"/>
  <c r="T1801" i="2"/>
  <c r="R1801" i="2"/>
  <c r="W1208" i="2"/>
  <c r="X1208" i="2" s="1"/>
  <c r="T1208" i="2"/>
  <c r="R1208" i="2"/>
  <c r="G68" i="4" l="1"/>
  <c r="W999" i="2" l="1"/>
  <c r="X999" i="2" s="1"/>
  <c r="R999" i="2"/>
  <c r="F49" i="6" l="1"/>
  <c r="C87" i="7" l="1"/>
  <c r="W667" i="2" l="1"/>
  <c r="H667" i="2"/>
  <c r="W666" i="2"/>
  <c r="T666" i="2"/>
  <c r="R666" i="2"/>
  <c r="W665" i="2"/>
  <c r="X665" i="2" s="1"/>
  <c r="S667" i="2"/>
  <c r="M667" i="2" s="1"/>
  <c r="M89" i="7" s="1"/>
  <c r="F87" i="7"/>
  <c r="W664" i="2"/>
  <c r="X664" i="2" s="1"/>
  <c r="R664" i="2"/>
  <c r="F664" i="2"/>
  <c r="F86" i="7" s="1"/>
  <c r="I667" i="2" l="1"/>
  <c r="F266" i="2" l="1"/>
  <c r="F18" i="6" l="1"/>
  <c r="F857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61" i="2"/>
  <c r="X1361" i="2" s="1"/>
  <c r="T1361" i="2"/>
  <c r="R1361" i="2"/>
  <c r="W31" i="15"/>
  <c r="F1361" i="2"/>
  <c r="F990" i="2" l="1"/>
  <c r="F68" i="7" s="1"/>
  <c r="R102" i="2" l="1"/>
  <c r="M102" i="2" s="1"/>
  <c r="T1073" i="2" l="1"/>
  <c r="W1622" i="2" l="1"/>
  <c r="X1622" i="2" s="1"/>
  <c r="T1622" i="2"/>
  <c r="R1622" i="2"/>
  <c r="F265" i="2" l="1"/>
  <c r="V16" i="15" l="1"/>
  <c r="U16" i="15"/>
  <c r="W1305" i="2" l="1"/>
  <c r="X1305" i="2" s="1"/>
  <c r="T1305" i="2"/>
  <c r="R1305" i="2"/>
  <c r="W16" i="15"/>
  <c r="F858" i="2" l="1"/>
  <c r="W220" i="2" l="1"/>
  <c r="X220" i="2" s="1"/>
  <c r="V17" i="15" l="1"/>
  <c r="U17" i="15"/>
  <c r="W1307" i="2"/>
  <c r="X1307" i="2" s="1"/>
  <c r="T1307" i="2"/>
  <c r="R1307" i="2"/>
  <c r="W17" i="15"/>
  <c r="H611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4" i="2"/>
  <c r="X1454" i="2" s="1"/>
  <c r="R1454" i="2"/>
  <c r="M1454" i="2" s="1"/>
  <c r="H1454" i="2"/>
  <c r="W1453" i="2"/>
  <c r="X1453" i="2" s="1"/>
  <c r="T1453" i="2"/>
  <c r="R1453" i="2"/>
  <c r="W107" i="15"/>
  <c r="F1453" i="2"/>
  <c r="W1452" i="2"/>
  <c r="X1452" i="2" s="1"/>
  <c r="T1452" i="2"/>
  <c r="R1452" i="2"/>
  <c r="W106" i="15"/>
  <c r="F1452" i="2"/>
  <c r="W1451" i="2"/>
  <c r="X1451" i="2" s="1"/>
  <c r="T1451" i="2"/>
  <c r="R1451" i="2"/>
  <c r="F1451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3" i="2" l="1"/>
  <c r="X473" i="2" s="1"/>
  <c r="R473" i="2"/>
  <c r="H62" i="4" l="1"/>
  <c r="H61" i="4" l="1"/>
  <c r="F1276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3" i="2" l="1"/>
  <c r="W594" i="2"/>
  <c r="X594" i="2" s="1"/>
  <c r="R594" i="2"/>
  <c r="M594" i="2" s="1"/>
  <c r="Y154" i="15" s="1"/>
  <c r="H594" i="2"/>
  <c r="W593" i="2"/>
  <c r="X593" i="2" s="1"/>
  <c r="R593" i="2"/>
  <c r="W153" i="15"/>
  <c r="F593" i="2"/>
  <c r="F153" i="15" s="1"/>
  <c r="W592" i="2"/>
  <c r="X592" i="2" s="1"/>
  <c r="R592" i="2"/>
  <c r="F592" i="2"/>
  <c r="F152" i="15" s="1"/>
  <c r="W591" i="2"/>
  <c r="X591" i="2" s="1"/>
  <c r="R591" i="2"/>
  <c r="W151" i="15"/>
  <c r="F591" i="2"/>
  <c r="F151" i="15" s="1"/>
  <c r="I594" i="2" l="1"/>
  <c r="W152" i="15"/>
  <c r="W154" i="15" s="1"/>
  <c r="N153" i="15"/>
  <c r="N154" i="15" s="1"/>
  <c r="K594" i="2"/>
  <c r="X56" i="2" l="1"/>
  <c r="R56" i="2"/>
  <c r="X53" i="2"/>
  <c r="R53" i="2"/>
  <c r="W532" i="2"/>
  <c r="X532" i="2" s="1"/>
  <c r="R532" i="2"/>
  <c r="W531" i="2" l="1"/>
  <c r="X531" i="2" s="1"/>
  <c r="R531" i="2"/>
  <c r="W530" i="2"/>
  <c r="X530" i="2" s="1"/>
  <c r="R530" i="2"/>
  <c r="I317" i="2" l="1"/>
  <c r="V30" i="15" l="1"/>
  <c r="U30" i="15"/>
  <c r="W1360" i="2"/>
  <c r="X1360" i="2" s="1"/>
  <c r="T1360" i="2"/>
  <c r="R1360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90" i="2"/>
  <c r="X590" i="2" s="1"/>
  <c r="R590" i="2"/>
  <c r="M590" i="2" s="1"/>
  <c r="K590" i="2"/>
  <c r="H590" i="2"/>
  <c r="W589" i="2"/>
  <c r="X589" i="2" s="1"/>
  <c r="R589" i="2"/>
  <c r="W149" i="15"/>
  <c r="I589" i="2"/>
  <c r="F589" i="2"/>
  <c r="F149" i="15" s="1"/>
  <c r="W588" i="2"/>
  <c r="X588" i="2" s="1"/>
  <c r="R588" i="2"/>
  <c r="W148" i="15"/>
  <c r="F588" i="2"/>
  <c r="F148" i="15" s="1"/>
  <c r="W587" i="2"/>
  <c r="X587" i="2" s="1"/>
  <c r="R587" i="2"/>
  <c r="W147" i="15"/>
  <c r="F587" i="2"/>
  <c r="F147" i="15" s="1"/>
  <c r="W529" i="2"/>
  <c r="X529" i="2" s="1"/>
  <c r="R529" i="2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90" i="2"/>
  <c r="R81" i="2" l="1"/>
  <c r="R82" i="2"/>
  <c r="R83" i="2"/>
  <c r="R84" i="2"/>
  <c r="R85" i="2"/>
  <c r="R86" i="2"/>
  <c r="T620" i="2"/>
  <c r="T621" i="2"/>
  <c r="R624" i="2" l="1"/>
  <c r="F150" i="6"/>
  <c r="F1406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8" i="2" l="1"/>
  <c r="T1449" i="2"/>
  <c r="T1447" i="2"/>
  <c r="W1450" i="2"/>
  <c r="X1450" i="2" s="1"/>
  <c r="R1450" i="2"/>
  <c r="M1450" i="2" s="1"/>
  <c r="H1450" i="2"/>
  <c r="W1449" i="2"/>
  <c r="X1449" i="2" s="1"/>
  <c r="R1449" i="2"/>
  <c r="W103" i="15"/>
  <c r="F1449" i="2"/>
  <c r="W1448" i="2"/>
  <c r="X1448" i="2" s="1"/>
  <c r="R1448" i="2"/>
  <c r="W102" i="15"/>
  <c r="F1448" i="2"/>
  <c r="W1447" i="2"/>
  <c r="X1447" i="2" s="1"/>
  <c r="R1447" i="2"/>
  <c r="W101" i="15"/>
  <c r="F1447" i="2"/>
  <c r="W104" i="15" l="1"/>
  <c r="T1444" i="2"/>
  <c r="T1445" i="2"/>
  <c r="T1443" i="2"/>
  <c r="T1440" i="2"/>
  <c r="T1441" i="2"/>
  <c r="T1439" i="2"/>
  <c r="T1436" i="2"/>
  <c r="T1437" i="2"/>
  <c r="T1435" i="2"/>
  <c r="R1230" i="2" l="1"/>
  <c r="R758" i="2"/>
  <c r="R759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6" i="2"/>
  <c r="X1446" i="2" s="1"/>
  <c r="R1446" i="2"/>
  <c r="M1446" i="2" s="1"/>
  <c r="H1446" i="2"/>
  <c r="W1445" i="2"/>
  <c r="X1445" i="2" s="1"/>
  <c r="R1445" i="2"/>
  <c r="W99" i="15"/>
  <c r="F1445" i="2"/>
  <c r="W1444" i="2"/>
  <c r="X1444" i="2" s="1"/>
  <c r="R1444" i="2"/>
  <c r="W98" i="15"/>
  <c r="F1444" i="2"/>
  <c r="W1443" i="2"/>
  <c r="X1443" i="2" s="1"/>
  <c r="R1443" i="2"/>
  <c r="F1443" i="2"/>
  <c r="W1442" i="2"/>
  <c r="X1442" i="2" s="1"/>
  <c r="R1442" i="2"/>
  <c r="M1442" i="2" s="1"/>
  <c r="H1442" i="2"/>
  <c r="W1441" i="2"/>
  <c r="X1441" i="2" s="1"/>
  <c r="R1441" i="2"/>
  <c r="W95" i="15"/>
  <c r="F1441" i="2"/>
  <c r="W1440" i="2"/>
  <c r="X1440" i="2" s="1"/>
  <c r="R1440" i="2"/>
  <c r="W94" i="15"/>
  <c r="F1440" i="2"/>
  <c r="W1439" i="2"/>
  <c r="X1439" i="2" s="1"/>
  <c r="R1439" i="2"/>
  <c r="W93" i="15"/>
  <c r="F1439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9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8" i="2" l="1"/>
  <c r="X1438" i="2" s="1"/>
  <c r="R1438" i="2"/>
  <c r="M1438" i="2" s="1"/>
  <c r="H1438" i="2"/>
  <c r="W1437" i="2"/>
  <c r="X1437" i="2" s="1"/>
  <c r="R1437" i="2"/>
  <c r="W91" i="15"/>
  <c r="F1437" i="2"/>
  <c r="W1436" i="2"/>
  <c r="X1436" i="2" s="1"/>
  <c r="R1436" i="2"/>
  <c r="W90" i="15"/>
  <c r="F1436" i="2"/>
  <c r="W1435" i="2"/>
  <c r="X1435" i="2" s="1"/>
  <c r="R1435" i="2"/>
  <c r="W89" i="15"/>
  <c r="F1435" i="2"/>
  <c r="W528" i="2"/>
  <c r="X528" i="2" s="1"/>
  <c r="R528" i="2"/>
  <c r="W92" i="15" l="1"/>
  <c r="W526" i="2" l="1"/>
  <c r="X526" i="2" s="1"/>
  <c r="R526" i="2"/>
  <c r="W527" i="2"/>
  <c r="X527" i="2" s="1"/>
  <c r="R527" i="2"/>
  <c r="T1303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6" i="2"/>
  <c r="X586" i="2" s="1"/>
  <c r="R586" i="2"/>
  <c r="M586" i="2" s="1"/>
  <c r="K586" i="2"/>
  <c r="H586" i="2"/>
  <c r="W585" i="2"/>
  <c r="X585" i="2" s="1"/>
  <c r="R585" i="2"/>
  <c r="W145" i="15"/>
  <c r="I585" i="2"/>
  <c r="F585" i="2"/>
  <c r="F145" i="15" s="1"/>
  <c r="W584" i="2"/>
  <c r="X584" i="2" s="1"/>
  <c r="R584" i="2"/>
  <c r="W144" i="15"/>
  <c r="F584" i="2"/>
  <c r="F144" i="15" s="1"/>
  <c r="W583" i="2"/>
  <c r="X583" i="2" s="1"/>
  <c r="R583" i="2"/>
  <c r="F583" i="2"/>
  <c r="F143" i="15" s="1"/>
  <c r="W143" i="15" l="1"/>
  <c r="W146" i="15" s="1"/>
  <c r="I586" i="2"/>
  <c r="N145" i="15"/>
  <c r="N146" i="15" s="1"/>
  <c r="F1020" i="2" l="1"/>
  <c r="H233" i="2" l="1"/>
  <c r="K233" i="2"/>
  <c r="T894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9" i="2" l="1"/>
  <c r="T1433" i="2"/>
  <c r="T1430" i="2"/>
  <c r="F1634" i="2"/>
  <c r="R1018" i="2" l="1"/>
  <c r="W696" i="2" l="1"/>
  <c r="X696" i="2" s="1"/>
  <c r="T696" i="2"/>
  <c r="R696" i="2"/>
  <c r="W1799" i="2" l="1"/>
  <c r="X1799" i="2" s="1"/>
  <c r="T1799" i="2"/>
  <c r="R1799" i="2"/>
  <c r="F753" i="2" l="1"/>
  <c r="F173" i="2" l="1"/>
  <c r="S193" i="2" l="1"/>
  <c r="M193" i="2" s="1"/>
  <c r="W544" i="2" l="1"/>
  <c r="X544" i="2" s="1"/>
  <c r="R544" i="2"/>
  <c r="W157" i="15"/>
  <c r="F559" i="2" l="1"/>
  <c r="W1017" i="2" l="1"/>
  <c r="X1017" i="2" l="1"/>
  <c r="W178" i="2" l="1"/>
  <c r="W179" i="2"/>
  <c r="W180" i="2"/>
  <c r="W182" i="2"/>
  <c r="W183" i="2"/>
  <c r="W184" i="2"/>
  <c r="W185" i="2"/>
  <c r="W187" i="2"/>
  <c r="W188" i="2"/>
  <c r="R582" i="2"/>
  <c r="H582" i="2" l="1"/>
  <c r="K582" i="2"/>
  <c r="I581" i="2"/>
  <c r="F580" i="2"/>
  <c r="F140" i="15" s="1"/>
  <c r="F581" i="2"/>
  <c r="F141" i="15" s="1"/>
  <c r="I582" i="2" l="1"/>
  <c r="N141" i="15"/>
  <c r="N142" i="15" s="1"/>
  <c r="F579" i="2"/>
  <c r="F139" i="15" s="1"/>
  <c r="T618" i="2" l="1"/>
  <c r="T619" i="2"/>
  <c r="T617" i="2"/>
  <c r="R184" i="2" l="1"/>
  <c r="R185" i="2"/>
  <c r="R187" i="2"/>
  <c r="R188" i="2"/>
  <c r="W1731" i="2" l="1"/>
  <c r="X1731" i="2" s="1"/>
  <c r="T1731" i="2"/>
  <c r="R1731" i="2"/>
  <c r="T893" i="2" l="1"/>
  <c r="T895" i="2"/>
  <c r="T896" i="2"/>
  <c r="T897" i="2"/>
  <c r="T898" i="2"/>
  <c r="T899" i="2"/>
  <c r="T900" i="2"/>
  <c r="R901" i="2" l="1"/>
  <c r="R911" i="2"/>
  <c r="R929" i="2"/>
  <c r="F1687" i="2" l="1"/>
  <c r="W1732" i="2" l="1"/>
  <c r="X1732" i="2" s="1"/>
  <c r="T1732" i="2"/>
  <c r="R1732" i="2"/>
  <c r="F1102" i="2" l="1"/>
  <c r="T904" i="2" l="1"/>
  <c r="T905" i="2"/>
  <c r="T906" i="2"/>
  <c r="T903" i="2"/>
  <c r="W1929" i="2" l="1"/>
  <c r="X1929" i="2" s="1"/>
  <c r="T1929" i="2"/>
  <c r="R1929" i="2"/>
  <c r="T913" i="2" l="1"/>
  <c r="H1774" i="2"/>
  <c r="F893" i="2" l="1"/>
  <c r="F1793" i="2"/>
  <c r="T1460" i="2" l="1"/>
  <c r="T1461" i="2"/>
  <c r="T1459" i="2"/>
  <c r="I87" i="2" l="1"/>
  <c r="W372" i="2"/>
  <c r="X372" i="2" s="1"/>
  <c r="R372" i="2"/>
  <c r="W371" i="2"/>
  <c r="X371" i="2" s="1"/>
  <c r="R371" i="2"/>
  <c r="W368" i="2"/>
  <c r="X368" i="2" s="1"/>
  <c r="R368" i="2"/>
  <c r="F1245" i="2" l="1"/>
  <c r="F147" i="6" s="1"/>
  <c r="W367" i="2" l="1"/>
  <c r="X367" i="2" s="1"/>
  <c r="R367" i="2"/>
  <c r="R905" i="2" l="1"/>
  <c r="R1602" i="2" l="1"/>
  <c r="W366" i="2"/>
  <c r="X366" i="2" s="1"/>
  <c r="R366" i="2"/>
  <c r="W365" i="2"/>
  <c r="X365" i="2" s="1"/>
  <c r="R365" i="2"/>
  <c r="W364" i="2"/>
  <c r="X364" i="2" s="1"/>
  <c r="R364" i="2"/>
  <c r="T649" i="2" l="1"/>
  <c r="F522" i="2" l="1"/>
  <c r="F521" i="2"/>
  <c r="R318" i="2" l="1"/>
  <c r="R319" i="2"/>
  <c r="R320" i="2"/>
  <c r="R321" i="2"/>
  <c r="R322" i="2"/>
  <c r="R323" i="2"/>
  <c r="R324" i="2"/>
  <c r="R325" i="2"/>
  <c r="R326" i="2"/>
  <c r="R327" i="2"/>
  <c r="R328" i="2"/>
  <c r="F648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3" i="2"/>
  <c r="X523" i="2" s="1"/>
  <c r="R523" i="2"/>
  <c r="W132" i="15"/>
  <c r="F523" i="2"/>
  <c r="H35" i="4" l="1"/>
  <c r="F1789" i="2" l="1"/>
  <c r="T1075" i="2" l="1"/>
  <c r="F1153" i="2" l="1"/>
  <c r="F1225" i="2"/>
  <c r="F1275" i="2"/>
  <c r="W1462" i="2" l="1"/>
  <c r="X1462" i="2" s="1"/>
  <c r="R1462" i="2"/>
  <c r="M1462" i="2" s="1"/>
  <c r="H1462" i="2"/>
  <c r="W1461" i="2"/>
  <c r="X1461" i="2" s="1"/>
  <c r="R1461" i="2"/>
  <c r="W115" i="15"/>
  <c r="F1461" i="2"/>
  <c r="W1460" i="2"/>
  <c r="X1460" i="2" s="1"/>
  <c r="R1460" i="2"/>
  <c r="W114" i="15"/>
  <c r="F1460" i="2"/>
  <c r="W1459" i="2"/>
  <c r="X1459" i="2" s="1"/>
  <c r="R1459" i="2"/>
  <c r="W113" i="15"/>
  <c r="F1459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2" i="2" l="1"/>
  <c r="F61" i="6" s="1"/>
  <c r="W362" i="2"/>
  <c r="X362" i="2" s="1"/>
  <c r="R362" i="2"/>
  <c r="W361" i="2" l="1"/>
  <c r="X361" i="2" s="1"/>
  <c r="R361" i="2"/>
  <c r="W360" i="2"/>
  <c r="X360" i="2" s="1"/>
  <c r="R360" i="2"/>
  <c r="F1244" i="2" l="1"/>
  <c r="F146" i="6" s="1"/>
  <c r="R377" i="2" l="1"/>
  <c r="M377" i="2" s="1"/>
  <c r="R376" i="2"/>
  <c r="R359" i="2"/>
  <c r="R350" i="2"/>
  <c r="R345" i="2"/>
  <c r="R342" i="2"/>
  <c r="F48" i="6" l="1"/>
  <c r="F1073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4" i="2"/>
  <c r="H1434" i="2"/>
  <c r="W1433" i="2"/>
  <c r="X1433" i="2" s="1"/>
  <c r="W87" i="15"/>
  <c r="F1433" i="2"/>
  <c r="W1431" i="2"/>
  <c r="X1431" i="2" s="1"/>
  <c r="R1431" i="2"/>
  <c r="W86" i="15"/>
  <c r="W1430" i="2"/>
  <c r="X1430" i="2" s="1"/>
  <c r="R1430" i="2"/>
  <c r="S1434" i="2" l="1"/>
  <c r="M1434" i="2" s="1"/>
  <c r="X1434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4" i="2"/>
  <c r="F35" i="7" s="1"/>
  <c r="F752" i="2"/>
  <c r="R1080" i="2" l="1"/>
  <c r="F788" i="2" l="1"/>
  <c r="T1421" i="2" l="1"/>
  <c r="T1422" i="2"/>
  <c r="T1418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3" i="2"/>
  <c r="M1423" i="2"/>
  <c r="H1423" i="2"/>
  <c r="X1422" i="2"/>
  <c r="W83" i="15"/>
  <c r="F1422" i="2"/>
  <c r="X1421" i="2"/>
  <c r="W82" i="15"/>
  <c r="F1421" i="2"/>
  <c r="X1418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5" i="2" l="1"/>
  <c r="H640" i="2"/>
  <c r="H645" i="2"/>
  <c r="H653" i="2"/>
  <c r="H663" i="2"/>
  <c r="H681" i="2"/>
  <c r="H688" i="2"/>
  <c r="H699" i="2"/>
  <c r="H722" i="2"/>
  <c r="H728" i="2"/>
  <c r="H733" i="2"/>
  <c r="H738" i="2"/>
  <c r="H741" i="2"/>
  <c r="H744" i="2"/>
  <c r="H750" i="2"/>
  <c r="H759" i="2"/>
  <c r="H767" i="2"/>
  <c r="H785" i="2"/>
  <c r="H791" i="2"/>
  <c r="H799" i="2"/>
  <c r="H805" i="2"/>
  <c r="H811" i="2"/>
  <c r="H817" i="2"/>
  <c r="H848" i="2"/>
  <c r="H856" i="2"/>
  <c r="H870" i="2"/>
  <c r="H877" i="2"/>
  <c r="H884" i="2"/>
  <c r="H892" i="2"/>
  <c r="H901" i="2"/>
  <c r="H911" i="2"/>
  <c r="H929" i="2"/>
  <c r="H934" i="2"/>
  <c r="H943" i="2"/>
  <c r="H958" i="2"/>
  <c r="H965" i="2"/>
  <c r="H971" i="2"/>
  <c r="H995" i="2"/>
  <c r="H1002" i="2"/>
  <c r="H1018" i="2"/>
  <c r="H1025" i="2"/>
  <c r="H1031" i="2"/>
  <c r="H1036" i="2"/>
  <c r="H1042" i="2"/>
  <c r="H1050" i="2"/>
  <c r="H1058" i="2"/>
  <c r="H1064" i="2"/>
  <c r="H1071" i="2"/>
  <c r="H1080" i="2"/>
  <c r="H1086" i="2"/>
  <c r="H1093" i="2"/>
  <c r="H1100" i="2"/>
  <c r="H1108" i="2"/>
  <c r="H1115" i="2"/>
  <c r="H1130" i="2"/>
  <c r="H1141" i="2"/>
  <c r="H1152" i="2"/>
  <c r="H1158" i="2"/>
  <c r="H1165" i="2"/>
  <c r="H1173" i="2"/>
  <c r="H1182" i="2"/>
  <c r="H1190" i="2"/>
  <c r="H1197" i="2"/>
  <c r="H1203" i="2"/>
  <c r="H1211" i="2"/>
  <c r="H1217" i="2"/>
  <c r="H1224" i="2"/>
  <c r="H1231" i="2"/>
  <c r="H1239" i="2"/>
  <c r="H1243" i="2"/>
  <c r="H1251" i="2"/>
  <c r="H1256" i="2"/>
  <c r="H1262" i="2"/>
  <c r="H1268" i="2"/>
  <c r="H1274" i="2"/>
  <c r="H1281" i="2"/>
  <c r="H1286" i="2"/>
  <c r="H1292" i="2"/>
  <c r="H1297" i="2"/>
  <c r="H1302" i="2"/>
  <c r="H1311" i="2"/>
  <c r="H1318" i="2"/>
  <c r="H1322" i="2"/>
  <c r="H1326" i="2"/>
  <c r="H1332" i="2"/>
  <c r="H1336" i="2"/>
  <c r="H1343" i="2"/>
  <c r="H1349" i="2"/>
  <c r="H1355" i="2"/>
  <c r="H1363" i="2"/>
  <c r="H1369" i="2"/>
  <c r="H1375" i="2"/>
  <c r="H1384" i="2"/>
  <c r="H1390" i="2"/>
  <c r="H1396" i="2"/>
  <c r="H1401" i="2"/>
  <c r="H1405" i="2"/>
  <c r="H1409" i="2"/>
  <c r="H1413" i="2"/>
  <c r="H1417" i="2"/>
  <c r="H1466" i="2"/>
  <c r="H1488" i="2"/>
  <c r="F36" i="7" l="1"/>
  <c r="W534" i="2" l="1"/>
  <c r="X534" i="2" s="1"/>
  <c r="R534" i="2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5" i="2"/>
  <c r="T1416" i="2"/>
  <c r="T1414" i="2"/>
  <c r="X1417" i="2"/>
  <c r="M1417" i="2"/>
  <c r="X1416" i="2"/>
  <c r="W79" i="15"/>
  <c r="F1416" i="2"/>
  <c r="X1415" i="2"/>
  <c r="W78" i="15"/>
  <c r="F1415" i="2"/>
  <c r="X1414" i="2"/>
  <c r="W77" i="15"/>
  <c r="F1414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3" i="2" l="1"/>
  <c r="F215" i="6"/>
  <c r="W1228" i="2" l="1"/>
  <c r="X1228" i="2" s="1"/>
  <c r="T1228" i="2"/>
  <c r="R1228" i="2"/>
  <c r="F1228" i="2"/>
  <c r="F1277" i="2" l="1"/>
  <c r="F198" i="6"/>
  <c r="W1330" i="2" l="1"/>
  <c r="X1330" i="2" s="1"/>
  <c r="T1330" i="2"/>
  <c r="R1330" i="2"/>
  <c r="F1330" i="2"/>
  <c r="F172" i="6" s="1"/>
  <c r="R782" i="2" l="1"/>
  <c r="X155" i="15" l="1"/>
  <c r="F185" i="6"/>
  <c r="F184" i="6"/>
  <c r="X156" i="15" l="1"/>
  <c r="T1244" i="2"/>
  <c r="T1464" i="2" l="1"/>
  <c r="T1465" i="2"/>
  <c r="T1463" i="2"/>
  <c r="W1623" i="2" l="1"/>
  <c r="X1623" i="2" s="1"/>
  <c r="T1623" i="2"/>
  <c r="R1623" i="2"/>
  <c r="W1931" i="2"/>
  <c r="X1931" i="2" s="1"/>
  <c r="T1931" i="2"/>
  <c r="R1931" i="2"/>
  <c r="F164" i="6" l="1"/>
  <c r="W1341" i="2" l="1"/>
  <c r="X1341" i="2" s="1"/>
  <c r="T1341" i="2"/>
  <c r="R1341" i="2"/>
  <c r="F1341" i="2"/>
  <c r="F199" i="6" s="1"/>
  <c r="T1328" i="2" l="1"/>
  <c r="T1329" i="2"/>
  <c r="T1331" i="2"/>
  <c r="T1327" i="2"/>
  <c r="W1710" i="2" l="1"/>
  <c r="X1710" i="2" s="1"/>
  <c r="T1710" i="2"/>
  <c r="R1710" i="2"/>
  <c r="W1621" i="2"/>
  <c r="X1621" i="2" s="1"/>
  <c r="T1621" i="2"/>
  <c r="R1621" i="2"/>
  <c r="F1213" i="2" l="1"/>
  <c r="F1212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6" i="2"/>
  <c r="X1466" i="2" s="1"/>
  <c r="R1466" i="2"/>
  <c r="M1466" i="2" s="1"/>
  <c r="W1465" i="2"/>
  <c r="X1465" i="2" s="1"/>
  <c r="R1465" i="2"/>
  <c r="F1465" i="2"/>
  <c r="W1464" i="2"/>
  <c r="X1464" i="2" s="1"/>
  <c r="R1464" i="2"/>
  <c r="F1464" i="2"/>
  <c r="W1463" i="2"/>
  <c r="X1463" i="2" s="1"/>
  <c r="R1463" i="2"/>
  <c r="F43" i="7"/>
  <c r="F42" i="7"/>
  <c r="W120" i="15" l="1"/>
  <c r="F1214" i="2" l="1"/>
  <c r="L189" i="6" l="1"/>
  <c r="O192" i="6"/>
  <c r="M192" i="6"/>
  <c r="L192" i="6"/>
  <c r="E192" i="6"/>
  <c r="C192" i="6"/>
  <c r="W1215" i="2" l="1"/>
  <c r="X1215" i="2" s="1"/>
  <c r="T1215" i="2"/>
  <c r="R1215" i="2"/>
  <c r="F1215" i="2"/>
  <c r="X143" i="15" l="1"/>
  <c r="F379" i="2"/>
  <c r="X144" i="15" l="1"/>
  <c r="F850" i="2"/>
  <c r="T1198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81" i="2"/>
  <c r="R811" i="2"/>
  <c r="X152" i="15" l="1"/>
  <c r="E223" i="6"/>
  <c r="C223" i="6"/>
  <c r="W789" i="2" l="1"/>
  <c r="X789" i="2" s="1"/>
  <c r="T789" i="2"/>
  <c r="R789" i="2"/>
  <c r="F789" i="2"/>
  <c r="F385" i="2" l="1"/>
  <c r="F384" i="2"/>
  <c r="T793" i="2" l="1"/>
  <c r="T794" i="2"/>
  <c r="T795" i="2"/>
  <c r="T796" i="2"/>
  <c r="T797" i="2"/>
  <c r="T798" i="2"/>
  <c r="T792" i="2"/>
  <c r="W1624" i="2" l="1"/>
  <c r="X1624" i="2" s="1"/>
  <c r="T1624" i="2"/>
  <c r="R1624" i="2"/>
  <c r="F1624" i="2"/>
  <c r="T1213" i="2"/>
  <c r="T1214" i="2"/>
  <c r="T1216" i="2"/>
  <c r="T1212" i="2"/>
  <c r="W651" i="2" l="1"/>
  <c r="X651" i="2" s="1"/>
  <c r="T651" i="2"/>
  <c r="R651" i="2"/>
  <c r="F651" i="2"/>
  <c r="F186" i="6" s="1"/>
  <c r="T801" i="2" l="1"/>
  <c r="T802" i="2"/>
  <c r="T803" i="2"/>
  <c r="T804" i="2"/>
  <c r="T800" i="2"/>
  <c r="R847" i="2" l="1"/>
  <c r="F851" i="2"/>
  <c r="F647" i="2" l="1"/>
  <c r="F182" i="6" s="1"/>
  <c r="F646" i="2"/>
  <c r="F181" i="6" s="1"/>
  <c r="R1226" i="2" l="1"/>
  <c r="T1411" i="2"/>
  <c r="T1412" i="2"/>
  <c r="T1410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3" i="2"/>
  <c r="M1413" i="2"/>
  <c r="X1412" i="2"/>
  <c r="W75" i="15"/>
  <c r="F1412" i="2"/>
  <c r="X1411" i="2"/>
  <c r="W74" i="15"/>
  <c r="F1411" i="2"/>
  <c r="X1410" i="2"/>
  <c r="W73" i="15"/>
  <c r="F1410" i="2"/>
  <c r="F449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3" i="2" l="1"/>
  <c r="T1226" i="2" l="1"/>
  <c r="F1934" i="2" l="1"/>
  <c r="F1088" i="2" l="1"/>
  <c r="F1087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8" i="2"/>
  <c r="F117" i="2" l="1"/>
  <c r="T807" i="2" l="1"/>
  <c r="T808" i="2"/>
  <c r="T809" i="2"/>
  <c r="T810" i="2"/>
  <c r="T806" i="2"/>
  <c r="F852" i="2" l="1"/>
  <c r="L110" i="6" l="1"/>
  <c r="F760" i="2"/>
  <c r="W1078" i="2"/>
  <c r="X1078" i="2" s="1"/>
  <c r="R1078" i="2"/>
  <c r="F1078" i="2"/>
  <c r="F67" i="6" s="1"/>
  <c r="F1350" i="2" l="1"/>
  <c r="T689" i="2" l="1"/>
  <c r="W414" i="2" l="1"/>
  <c r="X414" i="2" s="1"/>
  <c r="R414" i="2"/>
  <c r="W413" i="2"/>
  <c r="X413" i="2" s="1"/>
  <c r="R413" i="2"/>
  <c r="T1074" i="2" l="1"/>
  <c r="A151" i="16" l="1"/>
  <c r="A152" i="16"/>
  <c r="A153" i="16"/>
  <c r="A154" i="16"/>
  <c r="A155" i="16"/>
  <c r="A156" i="16"/>
  <c r="A157" i="16"/>
  <c r="A158" i="16"/>
  <c r="F1278" i="2" l="1"/>
  <c r="W650" i="2"/>
  <c r="X650" i="2" s="1"/>
  <c r="T650" i="2"/>
  <c r="R650" i="2"/>
  <c r="R848" i="2" l="1"/>
  <c r="S848" i="2" s="1"/>
  <c r="T1407" i="2" l="1"/>
  <c r="T1408" i="2"/>
  <c r="T1406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9" i="2"/>
  <c r="M1409" i="2"/>
  <c r="X1408" i="2"/>
  <c r="W71" i="15"/>
  <c r="F1408" i="2"/>
  <c r="X1407" i="2"/>
  <c r="W70" i="15"/>
  <c r="F1407" i="2"/>
  <c r="X1406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8" i="2" l="1"/>
  <c r="X1398" i="2" s="1"/>
  <c r="T1398" i="2"/>
  <c r="R1398" i="2"/>
  <c r="L155" i="6" l="1"/>
  <c r="T872" i="2"/>
  <c r="T873" i="2"/>
  <c r="T876" i="2"/>
  <c r="T871" i="2"/>
  <c r="T1403" i="2" l="1"/>
  <c r="T1404" i="2"/>
  <c r="T1402" i="2"/>
  <c r="W410" i="2" l="1"/>
  <c r="X410" i="2" s="1"/>
  <c r="R410" i="2"/>
  <c r="F853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5" i="2" l="1"/>
  <c r="M1405" i="2"/>
  <c r="X1404" i="2"/>
  <c r="W67" i="15"/>
  <c r="F1404" i="2"/>
  <c r="X1403" i="2"/>
  <c r="W66" i="15"/>
  <c r="F1403" i="2"/>
  <c r="X1402" i="2"/>
  <c r="W65" i="15"/>
  <c r="F1402" i="2"/>
  <c r="W68" i="15" l="1"/>
  <c r="W881" i="2" l="1"/>
  <c r="X881" i="2" s="1"/>
  <c r="T881" i="2"/>
  <c r="R881" i="2"/>
  <c r="R784" i="2" l="1"/>
  <c r="F182" i="2" l="1"/>
  <c r="F183" i="2"/>
  <c r="F187" i="2"/>
  <c r="W520" i="2" l="1"/>
  <c r="T787" i="2" l="1"/>
  <c r="T788" i="2"/>
  <c r="T790" i="2"/>
  <c r="T786" i="2"/>
  <c r="T1392" i="2" l="1"/>
  <c r="T1393" i="2"/>
  <c r="T1394" i="2"/>
  <c r="T1395" i="2"/>
  <c r="T1391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6" i="2"/>
  <c r="X1396" i="2" s="1"/>
  <c r="R1396" i="2"/>
  <c r="M1396" i="2" s="1"/>
  <c r="Y64" i="15" s="1"/>
  <c r="W1395" i="2"/>
  <c r="X1395" i="2" s="1"/>
  <c r="R1395" i="2"/>
  <c r="W63" i="15"/>
  <c r="F1395" i="2"/>
  <c r="W1394" i="2"/>
  <c r="X1394" i="2" s="1"/>
  <c r="R1394" i="2"/>
  <c r="W62" i="15"/>
  <c r="F1394" i="2"/>
  <c r="W1393" i="2"/>
  <c r="X1393" i="2" s="1"/>
  <c r="R1393" i="2"/>
  <c r="W61" i="15"/>
  <c r="F1393" i="2"/>
  <c r="W1392" i="2"/>
  <c r="X1392" i="2" s="1"/>
  <c r="R1392" i="2"/>
  <c r="W60" i="15"/>
  <c r="F1392" i="2"/>
  <c r="W1391" i="2"/>
  <c r="X1391" i="2" s="1"/>
  <c r="R1391" i="2"/>
  <c r="W59" i="15"/>
  <c r="F1391" i="2"/>
  <c r="W64" i="15" l="1"/>
  <c r="W521" i="2" l="1"/>
  <c r="W522" i="2"/>
  <c r="W524" i="2"/>
  <c r="W525" i="2"/>
  <c r="W540" i="2"/>
  <c r="R520" i="2"/>
  <c r="M520" i="2" s="1"/>
  <c r="F516" i="2" l="1"/>
  <c r="F1235" i="2" l="1"/>
  <c r="T937" i="2" l="1"/>
  <c r="T1399" i="2" l="1"/>
  <c r="T1400" i="2"/>
  <c r="W1401" i="2"/>
  <c r="R1401" i="2"/>
  <c r="M1401" i="2" s="1"/>
  <c r="W1400" i="2"/>
  <c r="X1400" i="2" s="1"/>
  <c r="R1400" i="2"/>
  <c r="F1400" i="2"/>
  <c r="W1399" i="2"/>
  <c r="X1399" i="2" s="1"/>
  <c r="R1399" i="2"/>
  <c r="F1399" i="2"/>
  <c r="W1397" i="2"/>
  <c r="X1397" i="2" s="1"/>
  <c r="R1397" i="2"/>
  <c r="R1064" i="2" l="1"/>
  <c r="M1064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4" i="4"/>
  <c r="A222" i="4"/>
  <c r="A70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K1884" i="2" s="1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8" i="2"/>
  <c r="X1488" i="2" s="1"/>
  <c r="R1488" i="2"/>
  <c r="M1488" i="2" s="1"/>
  <c r="W1487" i="2"/>
  <c r="X1487" i="2" s="1"/>
  <c r="T1487" i="2"/>
  <c r="R1487" i="2"/>
  <c r="F1487" i="2"/>
  <c r="W1486" i="2"/>
  <c r="X1486" i="2" s="1"/>
  <c r="T1486" i="2"/>
  <c r="R1486" i="2"/>
  <c r="F1486" i="2"/>
  <c r="W1483" i="2"/>
  <c r="X1483" i="2" s="1"/>
  <c r="T1483" i="2"/>
  <c r="R1483" i="2"/>
  <c r="W1390" i="2"/>
  <c r="X1390" i="2" s="1"/>
  <c r="R1390" i="2"/>
  <c r="M1390" i="2" s="1"/>
  <c r="Y58" i="15" s="1"/>
  <c r="W1389" i="2"/>
  <c r="X1389" i="2" s="1"/>
  <c r="T1389" i="2"/>
  <c r="R1389" i="2"/>
  <c r="W57" i="15"/>
  <c r="F1389" i="2"/>
  <c r="W1388" i="2"/>
  <c r="X1388" i="2" s="1"/>
  <c r="T1388" i="2"/>
  <c r="R1388" i="2"/>
  <c r="W56" i="15"/>
  <c r="F1388" i="2"/>
  <c r="W1387" i="2"/>
  <c r="X1387" i="2" s="1"/>
  <c r="T1387" i="2"/>
  <c r="R1387" i="2"/>
  <c r="W55" i="15"/>
  <c r="F1387" i="2"/>
  <c r="W1386" i="2"/>
  <c r="X1386" i="2" s="1"/>
  <c r="T1386" i="2"/>
  <c r="R1386" i="2"/>
  <c r="W54" i="15"/>
  <c r="F1386" i="2"/>
  <c r="W1385" i="2"/>
  <c r="X1385" i="2" s="1"/>
  <c r="T1385" i="2"/>
  <c r="R1385" i="2"/>
  <c r="F1385" i="2"/>
  <c r="W1384" i="2"/>
  <c r="X1384" i="2" s="1"/>
  <c r="R1384" i="2"/>
  <c r="M1384" i="2" s="1"/>
  <c r="W1383" i="2"/>
  <c r="X1383" i="2" s="1"/>
  <c r="T1383" i="2"/>
  <c r="R1383" i="2"/>
  <c r="W51" i="15"/>
  <c r="F1383" i="2"/>
  <c r="W1382" i="2"/>
  <c r="X1382" i="2" s="1"/>
  <c r="T1382" i="2"/>
  <c r="R1382" i="2"/>
  <c r="W50" i="15"/>
  <c r="F1382" i="2"/>
  <c r="W1379" i="2"/>
  <c r="X1379" i="2" s="1"/>
  <c r="T1379" i="2"/>
  <c r="R1379" i="2"/>
  <c r="W49" i="15"/>
  <c r="W1378" i="2"/>
  <c r="X1378" i="2" s="1"/>
  <c r="T1378" i="2"/>
  <c r="R1378" i="2"/>
  <c r="W48" i="15"/>
  <c r="W1377" i="2"/>
  <c r="X1377" i="2" s="1"/>
  <c r="T1377" i="2"/>
  <c r="R1377" i="2"/>
  <c r="W47" i="15"/>
  <c r="W1376" i="2"/>
  <c r="X1376" i="2" s="1"/>
  <c r="T1376" i="2"/>
  <c r="R1376" i="2"/>
  <c r="W46" i="15"/>
  <c r="W1375" i="2"/>
  <c r="X1375" i="2" s="1"/>
  <c r="R1375" i="2"/>
  <c r="M1375" i="2" s="1"/>
  <c r="Y45" i="15" s="1"/>
  <c r="W1374" i="2"/>
  <c r="X1374" i="2" s="1"/>
  <c r="T1374" i="2"/>
  <c r="R1374" i="2"/>
  <c r="W44" i="15"/>
  <c r="F1374" i="2"/>
  <c r="W1373" i="2"/>
  <c r="X1373" i="2" s="1"/>
  <c r="T1373" i="2"/>
  <c r="R1373" i="2"/>
  <c r="W43" i="15"/>
  <c r="F1373" i="2"/>
  <c r="W1372" i="2"/>
  <c r="X1372" i="2" s="1"/>
  <c r="T1372" i="2"/>
  <c r="R1372" i="2"/>
  <c r="W42" i="15"/>
  <c r="F1372" i="2"/>
  <c r="W1371" i="2"/>
  <c r="X1371" i="2" s="1"/>
  <c r="T1371" i="2"/>
  <c r="R1371" i="2"/>
  <c r="W41" i="15"/>
  <c r="F1371" i="2"/>
  <c r="W1370" i="2"/>
  <c r="X1370" i="2" s="1"/>
  <c r="T1370" i="2"/>
  <c r="R1370" i="2"/>
  <c r="W40" i="15"/>
  <c r="F1370" i="2"/>
  <c r="W1369" i="2"/>
  <c r="X1369" i="2" s="1"/>
  <c r="R1369" i="2"/>
  <c r="M1369" i="2" s="1"/>
  <c r="Y39" i="15" s="1"/>
  <c r="W1368" i="2"/>
  <c r="X1368" i="2" s="1"/>
  <c r="T1368" i="2"/>
  <c r="R1368" i="2"/>
  <c r="W38" i="15"/>
  <c r="F1368" i="2"/>
  <c r="W1367" i="2"/>
  <c r="X1367" i="2" s="1"/>
  <c r="T1367" i="2"/>
  <c r="R1367" i="2"/>
  <c r="W37" i="15"/>
  <c r="F1367" i="2"/>
  <c r="W1366" i="2"/>
  <c r="X1366" i="2" s="1"/>
  <c r="T1366" i="2"/>
  <c r="R1366" i="2"/>
  <c r="W36" i="15"/>
  <c r="F1366" i="2"/>
  <c r="W1365" i="2"/>
  <c r="X1365" i="2" s="1"/>
  <c r="T1365" i="2"/>
  <c r="R1365" i="2"/>
  <c r="W35" i="15"/>
  <c r="F1365" i="2"/>
  <c r="W1364" i="2"/>
  <c r="X1364" i="2" s="1"/>
  <c r="T1364" i="2"/>
  <c r="R1364" i="2"/>
  <c r="F1364" i="2"/>
  <c r="W1363" i="2"/>
  <c r="R1363" i="2"/>
  <c r="M1363" i="2" s="1"/>
  <c r="W1362" i="2"/>
  <c r="X1362" i="2" s="1"/>
  <c r="T1362" i="2"/>
  <c r="R1362" i="2"/>
  <c r="W32" i="15"/>
  <c r="F1362" i="2"/>
  <c r="W1359" i="2"/>
  <c r="X1359" i="2" s="1"/>
  <c r="T1359" i="2"/>
  <c r="R1359" i="2"/>
  <c r="W29" i="15"/>
  <c r="W1358" i="2"/>
  <c r="X1358" i="2" s="1"/>
  <c r="T1358" i="2"/>
  <c r="R1358" i="2"/>
  <c r="W28" i="15"/>
  <c r="W1357" i="2"/>
  <c r="X1357" i="2" s="1"/>
  <c r="T1357" i="2"/>
  <c r="R1357" i="2"/>
  <c r="W27" i="15"/>
  <c r="W1356" i="2"/>
  <c r="X1356" i="2" s="1"/>
  <c r="T1356" i="2"/>
  <c r="R1356" i="2"/>
  <c r="W26" i="15"/>
  <c r="F1356" i="2"/>
  <c r="W1355" i="2"/>
  <c r="X1355" i="2" s="1"/>
  <c r="R1355" i="2"/>
  <c r="M1355" i="2" s="1"/>
  <c r="Y25" i="15" s="1"/>
  <c r="W1354" i="2"/>
  <c r="X1354" i="2" s="1"/>
  <c r="T1354" i="2"/>
  <c r="R1354" i="2"/>
  <c r="W24" i="15"/>
  <c r="F1354" i="2"/>
  <c r="W1353" i="2"/>
  <c r="X1353" i="2" s="1"/>
  <c r="T1353" i="2"/>
  <c r="R1353" i="2"/>
  <c r="W23" i="15"/>
  <c r="F1353" i="2"/>
  <c r="W1352" i="2"/>
  <c r="X1352" i="2" s="1"/>
  <c r="T1352" i="2"/>
  <c r="R1352" i="2"/>
  <c r="W22" i="15"/>
  <c r="F1352" i="2"/>
  <c r="W1351" i="2"/>
  <c r="X1351" i="2" s="1"/>
  <c r="T1351" i="2"/>
  <c r="R1351" i="2"/>
  <c r="W21" i="15"/>
  <c r="F1351" i="2"/>
  <c r="W1350" i="2"/>
  <c r="X1350" i="2" s="1"/>
  <c r="T1350" i="2"/>
  <c r="R1350" i="2"/>
  <c r="W1349" i="2"/>
  <c r="X1349" i="2" s="1"/>
  <c r="R1349" i="2"/>
  <c r="M1349" i="2" s="1"/>
  <c r="K1349" i="2"/>
  <c r="W1348" i="2"/>
  <c r="X1348" i="2" s="1"/>
  <c r="R1348" i="2"/>
  <c r="I1348" i="2"/>
  <c r="F1348" i="2"/>
  <c r="W1347" i="2"/>
  <c r="X1347" i="2" s="1"/>
  <c r="R1347" i="2"/>
  <c r="F1347" i="2"/>
  <c r="W1346" i="2"/>
  <c r="X1346" i="2" s="1"/>
  <c r="R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W1342" i="2"/>
  <c r="X1342" i="2" s="1"/>
  <c r="T1342" i="2"/>
  <c r="R1342" i="2"/>
  <c r="F1342" i="2"/>
  <c r="F200" i="6" s="1"/>
  <c r="W1340" i="2"/>
  <c r="X1340" i="2" s="1"/>
  <c r="T1340" i="2"/>
  <c r="R1340" i="2"/>
  <c r="W1339" i="2"/>
  <c r="X1339" i="2" s="1"/>
  <c r="T1339" i="2"/>
  <c r="R1339" i="2"/>
  <c r="W1338" i="2"/>
  <c r="X1338" i="2" s="1"/>
  <c r="T1338" i="2"/>
  <c r="R1338" i="2"/>
  <c r="W1337" i="2"/>
  <c r="X1337" i="2" s="1"/>
  <c r="T1337" i="2"/>
  <c r="R1337" i="2"/>
  <c r="W1336" i="2"/>
  <c r="X1336" i="2" s="1"/>
  <c r="R1336" i="2"/>
  <c r="M1336" i="2" s="1"/>
  <c r="K1336" i="2"/>
  <c r="W1335" i="2"/>
  <c r="X1335" i="2" s="1"/>
  <c r="R1335" i="2"/>
  <c r="I1335" i="2"/>
  <c r="F1335" i="2"/>
  <c r="W1334" i="2"/>
  <c r="X1334" i="2" s="1"/>
  <c r="R1334" i="2"/>
  <c r="F1334" i="2"/>
  <c r="W1333" i="2"/>
  <c r="X1333" i="2" s="1"/>
  <c r="R1333" i="2"/>
  <c r="F1333" i="2"/>
  <c r="W1332" i="2"/>
  <c r="X1332" i="2" s="1"/>
  <c r="R1332" i="2"/>
  <c r="M1332" i="2" s="1"/>
  <c r="N174" i="6" s="1"/>
  <c r="W1331" i="2"/>
  <c r="X1331" i="2" s="1"/>
  <c r="R1331" i="2"/>
  <c r="F1331" i="2"/>
  <c r="F173" i="6" s="1"/>
  <c r="W1329" i="2"/>
  <c r="X1329" i="2" s="1"/>
  <c r="R1329" i="2"/>
  <c r="W1328" i="2"/>
  <c r="X1328" i="2" s="1"/>
  <c r="R1328" i="2"/>
  <c r="W1327" i="2"/>
  <c r="X1327" i="2" s="1"/>
  <c r="R1327" i="2"/>
  <c r="W1326" i="2"/>
  <c r="X1326" i="2" s="1"/>
  <c r="R1326" i="2"/>
  <c r="K1326" i="2"/>
  <c r="I1326" i="2"/>
  <c r="W1325" i="2"/>
  <c r="X1325" i="2" s="1"/>
  <c r="R1325" i="2"/>
  <c r="F1325" i="2"/>
  <c r="W1324" i="2"/>
  <c r="X1324" i="2" s="1"/>
  <c r="R1324" i="2"/>
  <c r="F1324" i="2"/>
  <c r="W1323" i="2"/>
  <c r="X1323" i="2" s="1"/>
  <c r="R1323" i="2"/>
  <c r="F1323" i="2"/>
  <c r="W1322" i="2"/>
  <c r="X1322" i="2" s="1"/>
  <c r="R1322" i="2"/>
  <c r="M1322" i="2" s="1"/>
  <c r="K1322" i="2"/>
  <c r="W1321" i="2"/>
  <c r="X1321" i="2" s="1"/>
  <c r="R1321" i="2"/>
  <c r="I1321" i="2"/>
  <c r="F1321" i="2"/>
  <c r="W1320" i="2"/>
  <c r="X1320" i="2" s="1"/>
  <c r="R1320" i="2"/>
  <c r="F1320" i="2"/>
  <c r="W1319" i="2"/>
  <c r="X1319" i="2" s="1"/>
  <c r="R1319" i="2"/>
  <c r="F1319" i="2"/>
  <c r="W1318" i="2"/>
  <c r="X1318" i="2" s="1"/>
  <c r="R1318" i="2"/>
  <c r="M1318" i="2" s="1"/>
  <c r="W1317" i="2"/>
  <c r="X1317" i="2" s="1"/>
  <c r="R1317" i="2"/>
  <c r="F1317" i="2"/>
  <c r="W1316" i="2"/>
  <c r="X1316" i="2" s="1"/>
  <c r="R1316" i="2"/>
  <c r="F1316" i="2"/>
  <c r="W1312" i="2"/>
  <c r="X1312" i="2" s="1"/>
  <c r="R1312" i="2"/>
  <c r="W1311" i="2"/>
  <c r="R1311" i="2"/>
  <c r="M1311" i="2" s="1"/>
  <c r="W1310" i="2"/>
  <c r="X1310" i="2" s="1"/>
  <c r="T1310" i="2"/>
  <c r="R1310" i="2"/>
  <c r="W18" i="15"/>
  <c r="F1310" i="2"/>
  <c r="W1304" i="2"/>
  <c r="X1304" i="2" s="1"/>
  <c r="T1304" i="2"/>
  <c r="R1304" i="2"/>
  <c r="W15" i="15"/>
  <c r="W1303" i="2"/>
  <c r="X1303" i="2" s="1"/>
  <c r="R1303" i="2"/>
  <c r="W1302" i="2"/>
  <c r="X1302" i="2" s="1"/>
  <c r="R1302" i="2"/>
  <c r="M1302" i="2" s="1"/>
  <c r="M85" i="7" s="1"/>
  <c r="W1301" i="2"/>
  <c r="X1301" i="2" s="1"/>
  <c r="T1301" i="2"/>
  <c r="R1301" i="2"/>
  <c r="F1301" i="2"/>
  <c r="F84" i="7" s="1"/>
  <c r="W1300" i="2"/>
  <c r="X1300" i="2" s="1"/>
  <c r="T1300" i="2"/>
  <c r="R1300" i="2"/>
  <c r="W1299" i="2"/>
  <c r="X1299" i="2" s="1"/>
  <c r="T1299" i="2"/>
  <c r="R1299" i="2"/>
  <c r="W1298" i="2"/>
  <c r="X1298" i="2" s="1"/>
  <c r="T1298" i="2"/>
  <c r="R1298" i="2"/>
  <c r="W1297" i="2"/>
  <c r="R1297" i="2"/>
  <c r="M1297" i="2" s="1"/>
  <c r="W1296" i="2"/>
  <c r="X1296" i="2" s="1"/>
  <c r="T1296" i="2"/>
  <c r="R1296" i="2"/>
  <c r="F1296" i="2"/>
  <c r="W1295" i="2"/>
  <c r="X1295" i="2" s="1"/>
  <c r="T1295" i="2"/>
  <c r="R1295" i="2"/>
  <c r="F1295" i="2"/>
  <c r="W1294" i="2"/>
  <c r="X1294" i="2" s="1"/>
  <c r="T1294" i="2"/>
  <c r="R1294" i="2"/>
  <c r="W1293" i="2"/>
  <c r="X1293" i="2" s="1"/>
  <c r="T1293" i="2"/>
  <c r="R1293" i="2"/>
  <c r="W1292" i="2"/>
  <c r="W1291" i="2"/>
  <c r="T1291" i="2"/>
  <c r="R1291" i="2"/>
  <c r="F1291" i="2"/>
  <c r="W1290" i="2"/>
  <c r="X1290" i="2" s="1"/>
  <c r="T1290" i="2"/>
  <c r="R1290" i="2"/>
  <c r="W1289" i="2"/>
  <c r="R1289" i="2"/>
  <c r="W1288" i="2"/>
  <c r="X1288" i="2" s="1"/>
  <c r="R1288" i="2"/>
  <c r="W1287" i="2"/>
  <c r="X1287" i="2" s="1"/>
  <c r="T1287" i="2"/>
  <c r="R1287" i="2"/>
  <c r="W1286" i="2"/>
  <c r="X1286" i="2" s="1"/>
  <c r="R1286" i="2"/>
  <c r="M1286" i="2" s="1"/>
  <c r="W1285" i="2"/>
  <c r="X1285" i="2" s="1"/>
  <c r="T1285" i="2"/>
  <c r="R1285" i="2"/>
  <c r="F1285" i="2"/>
  <c r="W1284" i="2"/>
  <c r="X1284" i="2" s="1"/>
  <c r="T1284" i="2"/>
  <c r="R1284" i="2"/>
  <c r="F1284" i="2"/>
  <c r="W1283" i="2"/>
  <c r="X1283" i="2" s="1"/>
  <c r="T1283" i="2"/>
  <c r="R1283" i="2"/>
  <c r="W1282" i="2"/>
  <c r="X1282" i="2" s="1"/>
  <c r="T1282" i="2"/>
  <c r="R1282" i="2"/>
  <c r="W1281" i="2"/>
  <c r="M1281" i="2"/>
  <c r="W1280" i="2"/>
  <c r="X1280" i="2" s="1"/>
  <c r="T1280" i="2"/>
  <c r="R1280" i="2"/>
  <c r="F1280" i="2"/>
  <c r="W1279" i="2"/>
  <c r="X1279" i="2" s="1"/>
  <c r="T1279" i="2"/>
  <c r="R1279" i="2"/>
  <c r="F1279" i="2"/>
  <c r="W1278" i="2"/>
  <c r="X1278" i="2" s="1"/>
  <c r="T1278" i="2"/>
  <c r="R1278" i="2"/>
  <c r="W1277" i="2"/>
  <c r="X1277" i="2" s="1"/>
  <c r="T1277" i="2"/>
  <c r="R1277" i="2"/>
  <c r="W1276" i="2"/>
  <c r="X1276" i="2" s="1"/>
  <c r="T1276" i="2"/>
  <c r="R1276" i="2"/>
  <c r="W1275" i="2"/>
  <c r="X1275" i="2" s="1"/>
  <c r="T1275" i="2"/>
  <c r="R1275" i="2"/>
  <c r="W1273" i="2"/>
  <c r="X1273" i="2" s="1"/>
  <c r="R1273" i="2"/>
  <c r="F1273" i="2"/>
  <c r="F236" i="6" s="1"/>
  <c r="W1271" i="2"/>
  <c r="X1271" i="2" s="1"/>
  <c r="R1271" i="2"/>
  <c r="F234" i="6"/>
  <c r="W1270" i="2"/>
  <c r="X1270" i="2" s="1"/>
  <c r="R1270" i="2"/>
  <c r="F233" i="6"/>
  <c r="W1269" i="2"/>
  <c r="X1269" i="2" s="1"/>
  <c r="R1269" i="2"/>
  <c r="W1268" i="2"/>
  <c r="X1268" i="2" s="1"/>
  <c r="R1268" i="2"/>
  <c r="K1268" i="2"/>
  <c r="I1268" i="2"/>
  <c r="W1267" i="2"/>
  <c r="X1267" i="2" s="1"/>
  <c r="R1267" i="2"/>
  <c r="F1267" i="2"/>
  <c r="W1266" i="2"/>
  <c r="X1266" i="2" s="1"/>
  <c r="R1266" i="2"/>
  <c r="F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M1262" i="2" s="1"/>
  <c r="W1261" i="2"/>
  <c r="X1261" i="2" s="1"/>
  <c r="T1261" i="2"/>
  <c r="R1261" i="2"/>
  <c r="F1261" i="2"/>
  <c r="W1260" i="2"/>
  <c r="X1260" i="2" s="1"/>
  <c r="T1260" i="2"/>
  <c r="R1260" i="2"/>
  <c r="F1260" i="2"/>
  <c r="W1259" i="2"/>
  <c r="X1259" i="2" s="1"/>
  <c r="T1259" i="2"/>
  <c r="R1259" i="2"/>
  <c r="F1259" i="2"/>
  <c r="W1258" i="2"/>
  <c r="X1258" i="2" s="1"/>
  <c r="T1258" i="2"/>
  <c r="R1258" i="2"/>
  <c r="W1257" i="2"/>
  <c r="X1257" i="2" s="1"/>
  <c r="T1257" i="2"/>
  <c r="R1257" i="2"/>
  <c r="W1256" i="2"/>
  <c r="X1256" i="2" s="1"/>
  <c r="R1256" i="2"/>
  <c r="M1256" i="2" s="1"/>
  <c r="W1255" i="2"/>
  <c r="X1255" i="2" s="1"/>
  <c r="R1255" i="2"/>
  <c r="F1255" i="2"/>
  <c r="W1254" i="2"/>
  <c r="X1254" i="2" s="1"/>
  <c r="R1254" i="2"/>
  <c r="F1254" i="2"/>
  <c r="W1253" i="2"/>
  <c r="X1253" i="2" s="1"/>
  <c r="R1253" i="2"/>
  <c r="W1252" i="2"/>
  <c r="X1252" i="2" s="1"/>
  <c r="R1252" i="2"/>
  <c r="F1252" i="2"/>
  <c r="W1251" i="2"/>
  <c r="R1251" i="2"/>
  <c r="W1250" i="2"/>
  <c r="T1250" i="2"/>
  <c r="R1250" i="2"/>
  <c r="F1250" i="2"/>
  <c r="F152" i="6" s="1"/>
  <c r="W1249" i="2"/>
  <c r="X1249" i="2" s="1"/>
  <c r="R1249" i="2"/>
  <c r="F1249" i="2"/>
  <c r="F151" i="6" s="1"/>
  <c r="W1248" i="2"/>
  <c r="X1248" i="2" s="1"/>
  <c r="R1248" i="2"/>
  <c r="W1247" i="2"/>
  <c r="X1247" i="2" s="1"/>
  <c r="R1247" i="2"/>
  <c r="W1246" i="2"/>
  <c r="X1246" i="2" s="1"/>
  <c r="T1246" i="2"/>
  <c r="R1246" i="2"/>
  <c r="W1245" i="2"/>
  <c r="X1245" i="2" s="1"/>
  <c r="T1245" i="2"/>
  <c r="R1245" i="2"/>
  <c r="W1244" i="2"/>
  <c r="X1244" i="2" s="1"/>
  <c r="R1244" i="2"/>
  <c r="W1243" i="2"/>
  <c r="X1243" i="2" s="1"/>
  <c r="R1243" i="2"/>
  <c r="M1243" i="2" s="1"/>
  <c r="K1243" i="2"/>
  <c r="W1242" i="2"/>
  <c r="X1242" i="2" s="1"/>
  <c r="R1242" i="2"/>
  <c r="I1242" i="2"/>
  <c r="F1242" i="2"/>
  <c r="W1241" i="2"/>
  <c r="X1241" i="2" s="1"/>
  <c r="R1241" i="2"/>
  <c r="F1241" i="2"/>
  <c r="W1240" i="2"/>
  <c r="X1240" i="2" s="1"/>
  <c r="R1240" i="2"/>
  <c r="F1240" i="2"/>
  <c r="W1239" i="2"/>
  <c r="R1239" i="2"/>
  <c r="M1239" i="2" s="1"/>
  <c r="W1238" i="2"/>
  <c r="X1238" i="2" s="1"/>
  <c r="T1238" i="2"/>
  <c r="R1238" i="2"/>
  <c r="F1238" i="2"/>
  <c r="W1237" i="2"/>
  <c r="X1237" i="2" s="1"/>
  <c r="T1237" i="2"/>
  <c r="R1237" i="2"/>
  <c r="F1237" i="2"/>
  <c r="W1236" i="2"/>
  <c r="X1236" i="2" s="1"/>
  <c r="T1236" i="2"/>
  <c r="R1236" i="2"/>
  <c r="F1236" i="2"/>
  <c r="W1235" i="2"/>
  <c r="X1235" i="2" s="1"/>
  <c r="T1235" i="2"/>
  <c r="R1235" i="2"/>
  <c r="W1234" i="2"/>
  <c r="X1234" i="2" s="1"/>
  <c r="T1234" i="2"/>
  <c r="R1234" i="2"/>
  <c r="W1233" i="2"/>
  <c r="X1233" i="2" s="1"/>
  <c r="T1233" i="2"/>
  <c r="R1233" i="2"/>
  <c r="W1232" i="2"/>
  <c r="X1232" i="2" s="1"/>
  <c r="T1232" i="2"/>
  <c r="R1232" i="2"/>
  <c r="W1231" i="2"/>
  <c r="R1231" i="2"/>
  <c r="S1231" i="2" s="1"/>
  <c r="M1231" i="2" s="1"/>
  <c r="W1230" i="2"/>
  <c r="T1230" i="2"/>
  <c r="F1230" i="2"/>
  <c r="W1229" i="2"/>
  <c r="X1229" i="2" s="1"/>
  <c r="T1229" i="2"/>
  <c r="R1229" i="2"/>
  <c r="F1229" i="2"/>
  <c r="W1227" i="2"/>
  <c r="X1227" i="2" s="1"/>
  <c r="T1227" i="2"/>
  <c r="R1227" i="2"/>
  <c r="W1226" i="2"/>
  <c r="X1226" i="2" s="1"/>
  <c r="W1225" i="2"/>
  <c r="X1225" i="2" s="1"/>
  <c r="T1225" i="2"/>
  <c r="R1225" i="2"/>
  <c r="W1224" i="2"/>
  <c r="R1224" i="2"/>
  <c r="M1224" i="2" s="1"/>
  <c r="W1223" i="2"/>
  <c r="X1223" i="2" s="1"/>
  <c r="T1223" i="2"/>
  <c r="R1223" i="2"/>
  <c r="F1223" i="2"/>
  <c r="W1222" i="2"/>
  <c r="X1222" i="2" s="1"/>
  <c r="T1222" i="2"/>
  <c r="R1222" i="2"/>
  <c r="F1222" i="2"/>
  <c r="W1221" i="2"/>
  <c r="X1221" i="2" s="1"/>
  <c r="T1221" i="2"/>
  <c r="R1221" i="2"/>
  <c r="F1221" i="2"/>
  <c r="W1220" i="2"/>
  <c r="X1220" i="2" s="1"/>
  <c r="T1220" i="2"/>
  <c r="R1220" i="2"/>
  <c r="W1219" i="2"/>
  <c r="X1219" i="2" s="1"/>
  <c r="T1219" i="2"/>
  <c r="R1219" i="2"/>
  <c r="W1218" i="2"/>
  <c r="X1218" i="2" s="1"/>
  <c r="T1218" i="2"/>
  <c r="R1218" i="2"/>
  <c r="W1217" i="2"/>
  <c r="X1217" i="2" s="1"/>
  <c r="R1217" i="2"/>
  <c r="M1217" i="2" s="1"/>
  <c r="W1216" i="2"/>
  <c r="X1216" i="2" s="1"/>
  <c r="R1216" i="2"/>
  <c r="F1216" i="2"/>
  <c r="W1214" i="2"/>
  <c r="X1214" i="2" s="1"/>
  <c r="R1214" i="2"/>
  <c r="W1213" i="2"/>
  <c r="X1213" i="2" s="1"/>
  <c r="R1213" i="2"/>
  <c r="W1212" i="2"/>
  <c r="X1212" i="2" s="1"/>
  <c r="R1212" i="2"/>
  <c r="W1211" i="2"/>
  <c r="R1211" i="2"/>
  <c r="M1211" i="2" s="1"/>
  <c r="W1210" i="2"/>
  <c r="X1210" i="2" s="1"/>
  <c r="T1210" i="2"/>
  <c r="R1210" i="2"/>
  <c r="F1210" i="2"/>
  <c r="W1209" i="2"/>
  <c r="X1209" i="2" s="1"/>
  <c r="T1209" i="2"/>
  <c r="R1209" i="2"/>
  <c r="F1209" i="2"/>
  <c r="W1207" i="2"/>
  <c r="X1207" i="2" s="1"/>
  <c r="T1207" i="2"/>
  <c r="R1207" i="2"/>
  <c r="W1206" i="2"/>
  <c r="X1206" i="2" s="1"/>
  <c r="T1206" i="2"/>
  <c r="R1206" i="2"/>
  <c r="W1205" i="2"/>
  <c r="X1205" i="2" s="1"/>
  <c r="T1205" i="2"/>
  <c r="R1205" i="2"/>
  <c r="W1204" i="2"/>
  <c r="X1204" i="2" s="1"/>
  <c r="T1204" i="2"/>
  <c r="R1204" i="2"/>
  <c r="W1203" i="2"/>
  <c r="R1203" i="2"/>
  <c r="W1202" i="2"/>
  <c r="X1202" i="2" s="1"/>
  <c r="T1202" i="2"/>
  <c r="R1202" i="2"/>
  <c r="F1202" i="2"/>
  <c r="F144" i="6" s="1"/>
  <c r="W1201" i="2"/>
  <c r="X1201" i="2" s="1"/>
  <c r="T1201" i="2"/>
  <c r="R1201" i="2"/>
  <c r="F1201" i="2"/>
  <c r="F143" i="6" s="1"/>
  <c r="W1200" i="2"/>
  <c r="X1200" i="2" s="1"/>
  <c r="T1200" i="2"/>
  <c r="R1200" i="2"/>
  <c r="W1199" i="2"/>
  <c r="X1199" i="2" s="1"/>
  <c r="T1199" i="2"/>
  <c r="R1199" i="2"/>
  <c r="W1198" i="2"/>
  <c r="X1198" i="2" s="1"/>
  <c r="R1198" i="2"/>
  <c r="W1197" i="2"/>
  <c r="X1197" i="2" s="1"/>
  <c r="R1197" i="2"/>
  <c r="M1197" i="2" s="1"/>
  <c r="N168" i="6" s="1"/>
  <c r="W1196" i="2"/>
  <c r="X1196" i="2" s="1"/>
  <c r="T1196" i="2"/>
  <c r="R1196" i="2"/>
  <c r="F1196" i="2"/>
  <c r="F167" i="6" s="1"/>
  <c r="W1195" i="2"/>
  <c r="X1195" i="2" s="1"/>
  <c r="T1195" i="2"/>
  <c r="R1195" i="2"/>
  <c r="F1195" i="2"/>
  <c r="F166" i="6" s="1"/>
  <c r="W1193" i="2"/>
  <c r="X1193" i="2" s="1"/>
  <c r="T1193" i="2"/>
  <c r="R1193" i="2"/>
  <c r="W1192" i="2"/>
  <c r="X1192" i="2" s="1"/>
  <c r="T1192" i="2"/>
  <c r="R1192" i="2"/>
  <c r="W1191" i="2"/>
  <c r="X1191" i="2" s="1"/>
  <c r="T1191" i="2"/>
  <c r="R1191" i="2"/>
  <c r="W1190" i="2"/>
  <c r="X1190" i="2" s="1"/>
  <c r="R1190" i="2"/>
  <c r="K1190" i="2"/>
  <c r="W1189" i="2"/>
  <c r="X1189" i="2" s="1"/>
  <c r="R1189" i="2"/>
  <c r="I1189" i="2"/>
  <c r="F1189" i="2"/>
  <c r="W1188" i="2"/>
  <c r="X1188" i="2" s="1"/>
  <c r="R1188" i="2"/>
  <c r="F1188" i="2"/>
  <c r="W1187" i="2"/>
  <c r="X1187" i="2" s="1"/>
  <c r="R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K1182" i="2"/>
  <c r="W1181" i="2"/>
  <c r="X1181" i="2" s="1"/>
  <c r="R1181" i="2"/>
  <c r="F1181" i="2"/>
  <c r="W1180" i="2"/>
  <c r="X1180" i="2" s="1"/>
  <c r="R1180" i="2"/>
  <c r="I1180" i="2"/>
  <c r="F1180" i="2"/>
  <c r="W1179" i="2"/>
  <c r="X1179" i="2" s="1"/>
  <c r="R1179" i="2"/>
  <c r="F1179" i="2"/>
  <c r="W1178" i="2"/>
  <c r="X1178" i="2" s="1"/>
  <c r="R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K1173" i="2"/>
  <c r="J1173" i="2"/>
  <c r="I1173" i="2"/>
  <c r="W1172" i="2"/>
  <c r="X1172" i="2" s="1"/>
  <c r="R1172" i="2"/>
  <c r="F1172" i="2"/>
  <c r="W1171" i="2"/>
  <c r="X1171" i="2" s="1"/>
  <c r="R1171" i="2"/>
  <c r="F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M1165" i="2" s="1"/>
  <c r="N122" i="6" s="1"/>
  <c r="W1164" i="2"/>
  <c r="X1164" i="2" s="1"/>
  <c r="T1164" i="2"/>
  <c r="R1164" i="2"/>
  <c r="F1164" i="2"/>
  <c r="F121" i="6" s="1"/>
  <c r="W1163" i="2"/>
  <c r="X1163" i="2" s="1"/>
  <c r="T1163" i="2"/>
  <c r="R1163" i="2"/>
  <c r="F1163" i="2"/>
  <c r="F120" i="6" s="1"/>
  <c r="W1162" i="2"/>
  <c r="X1162" i="2" s="1"/>
  <c r="T1162" i="2"/>
  <c r="R1162" i="2"/>
  <c r="F1162" i="2"/>
  <c r="F119" i="6" s="1"/>
  <c r="W1161" i="2"/>
  <c r="X1161" i="2" s="1"/>
  <c r="T1161" i="2"/>
  <c r="R1161" i="2"/>
  <c r="W1160" i="2"/>
  <c r="X1160" i="2" s="1"/>
  <c r="T1160" i="2"/>
  <c r="R1160" i="2"/>
  <c r="W1159" i="2"/>
  <c r="X1159" i="2" s="1"/>
  <c r="T1159" i="2"/>
  <c r="R1159" i="2"/>
  <c r="W1158" i="2"/>
  <c r="X1158" i="2" s="1"/>
  <c r="R1158" i="2"/>
  <c r="W1157" i="2"/>
  <c r="X1157" i="2" s="1"/>
  <c r="T1157" i="2"/>
  <c r="R1157" i="2"/>
  <c r="F1157" i="2"/>
  <c r="W1156" i="2"/>
  <c r="X1156" i="2" s="1"/>
  <c r="T1156" i="2"/>
  <c r="R1156" i="2"/>
  <c r="F1156" i="2"/>
  <c r="W1155" i="2"/>
  <c r="X1155" i="2" s="1"/>
  <c r="T1155" i="2"/>
  <c r="R1155" i="2"/>
  <c r="W1154" i="2"/>
  <c r="X1154" i="2" s="1"/>
  <c r="T1154" i="2"/>
  <c r="R1154" i="2"/>
  <c r="W1153" i="2"/>
  <c r="X1153" i="2" s="1"/>
  <c r="T1153" i="2"/>
  <c r="R1153" i="2"/>
  <c r="W1152" i="2"/>
  <c r="X1152" i="2" s="1"/>
  <c r="R1152" i="2"/>
  <c r="M1152" i="2" s="1"/>
  <c r="W1151" i="2"/>
  <c r="X1151" i="2" s="1"/>
  <c r="T1151" i="2"/>
  <c r="R1151" i="2"/>
  <c r="F1151" i="2"/>
  <c r="W1150" i="2"/>
  <c r="X1150" i="2" s="1"/>
  <c r="T1150" i="2"/>
  <c r="R1150" i="2"/>
  <c r="F1150" i="2"/>
  <c r="W1149" i="2"/>
  <c r="X1149" i="2" s="1"/>
  <c r="T1149" i="2"/>
  <c r="R1149" i="2"/>
  <c r="W1148" i="2"/>
  <c r="X1148" i="2" s="1"/>
  <c r="T1148" i="2"/>
  <c r="R1148" i="2"/>
  <c r="W1141" i="2"/>
  <c r="X1141" i="2" s="1"/>
  <c r="R1141" i="2"/>
  <c r="M1141" i="2" s="1"/>
  <c r="W1140" i="2"/>
  <c r="X1140" i="2" s="1"/>
  <c r="T1140" i="2"/>
  <c r="R1140" i="2"/>
  <c r="F1140" i="2"/>
  <c r="W1139" i="2"/>
  <c r="X1139" i="2" s="1"/>
  <c r="T1139" i="2"/>
  <c r="R1139" i="2"/>
  <c r="F1139" i="2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R1136" i="2"/>
  <c r="F1136" i="2"/>
  <c r="W1130" i="2"/>
  <c r="X1130" i="2" s="1"/>
  <c r="R1130" i="2"/>
  <c r="M1130" i="2" s="1"/>
  <c r="N104" i="6" s="1"/>
  <c r="W1129" i="2"/>
  <c r="X1129" i="2" s="1"/>
  <c r="R1129" i="2"/>
  <c r="F1129" i="2"/>
  <c r="F103" i="6" s="1"/>
  <c r="W1127" i="2"/>
  <c r="X1127" i="2" s="1"/>
  <c r="R1127" i="2"/>
  <c r="F101" i="6"/>
  <c r="W1126" i="2"/>
  <c r="X1126" i="2" s="1"/>
  <c r="R1126" i="2"/>
  <c r="F100" i="6"/>
  <c r="W1125" i="2"/>
  <c r="X1125" i="2" s="1"/>
  <c r="R1125" i="2"/>
  <c r="F99" i="6"/>
  <c r="W1124" i="2"/>
  <c r="X1124" i="2" s="1"/>
  <c r="R1124" i="2"/>
  <c r="F98" i="6"/>
  <c r="W1123" i="2"/>
  <c r="X1123" i="2" s="1"/>
  <c r="R1123" i="2"/>
  <c r="F1123" i="2"/>
  <c r="F97" i="6" s="1"/>
  <c r="W1115" i="2"/>
  <c r="X1115" i="2" s="1"/>
  <c r="R1115" i="2"/>
  <c r="M1115" i="2" s="1"/>
  <c r="N89" i="6" s="1"/>
  <c r="W1114" i="2"/>
  <c r="X1114" i="2" s="1"/>
  <c r="R1114" i="2"/>
  <c r="F1114" i="2"/>
  <c r="F88" i="6" s="1"/>
  <c r="W1113" i="2"/>
  <c r="X1113" i="2" s="1"/>
  <c r="R1113" i="2"/>
  <c r="F1113" i="2"/>
  <c r="F87" i="6" s="1"/>
  <c r="W1112" i="2"/>
  <c r="X1112" i="2" s="1"/>
  <c r="R1112" i="2"/>
  <c r="F1112" i="2"/>
  <c r="F86" i="6" s="1"/>
  <c r="W1111" i="2"/>
  <c r="X1111" i="2" s="1"/>
  <c r="R1111" i="2"/>
  <c r="F1111" i="2"/>
  <c r="F85" i="6" s="1"/>
  <c r="W1110" i="2"/>
  <c r="X1110" i="2" s="1"/>
  <c r="R1110" i="2"/>
  <c r="F1110" i="2"/>
  <c r="F84" i="6" s="1"/>
  <c r="W1109" i="2"/>
  <c r="X1109" i="2" s="1"/>
  <c r="R1109" i="2"/>
  <c r="F83" i="6"/>
  <c r="W1108" i="2"/>
  <c r="X1108" i="2" s="1"/>
  <c r="R1108" i="2"/>
  <c r="M1108" i="2" s="1"/>
  <c r="W1107" i="2"/>
  <c r="X1107" i="2" s="1"/>
  <c r="T1107" i="2"/>
  <c r="R1107" i="2"/>
  <c r="F1107" i="2"/>
  <c r="W1106" i="2"/>
  <c r="X1106" i="2" s="1"/>
  <c r="T1106" i="2"/>
  <c r="R1106" i="2"/>
  <c r="F1106" i="2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W1102" i="2"/>
  <c r="X1102" i="2" s="1"/>
  <c r="T1102" i="2"/>
  <c r="R1102" i="2"/>
  <c r="W1101" i="2"/>
  <c r="X1101" i="2" s="1"/>
  <c r="T1101" i="2"/>
  <c r="R1101" i="2"/>
  <c r="W1100" i="2"/>
  <c r="R1100" i="2"/>
  <c r="M1100" i="2" s="1"/>
  <c r="M80" i="7" s="1"/>
  <c r="W1099" i="2"/>
  <c r="X1099" i="2" s="1"/>
  <c r="T1099" i="2"/>
  <c r="R1099" i="2"/>
  <c r="F1099" i="2"/>
  <c r="F79" i="7" s="1"/>
  <c r="W1098" i="2"/>
  <c r="X1098" i="2" s="1"/>
  <c r="T1098" i="2"/>
  <c r="R1098" i="2"/>
  <c r="F1098" i="2"/>
  <c r="F78" i="7" s="1"/>
  <c r="W1097" i="2"/>
  <c r="X1097" i="2" s="1"/>
  <c r="T1097" i="2"/>
  <c r="R1097" i="2"/>
  <c r="W1096" i="2"/>
  <c r="X1096" i="2" s="1"/>
  <c r="T1096" i="2"/>
  <c r="R1096" i="2"/>
  <c r="W1095" i="2"/>
  <c r="X1095" i="2" s="1"/>
  <c r="T1095" i="2"/>
  <c r="R1095" i="2"/>
  <c r="W1094" i="2"/>
  <c r="X1094" i="2" s="1"/>
  <c r="T1094" i="2"/>
  <c r="R1094" i="2"/>
  <c r="W1093" i="2"/>
  <c r="X1093" i="2" s="1"/>
  <c r="R1093" i="2"/>
  <c r="W1092" i="2"/>
  <c r="X1092" i="2" s="1"/>
  <c r="T1092" i="2"/>
  <c r="R1092" i="2"/>
  <c r="F1092" i="2"/>
  <c r="W1091" i="2"/>
  <c r="X1091" i="2" s="1"/>
  <c r="T1091" i="2"/>
  <c r="R1091" i="2"/>
  <c r="F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W1087" i="2"/>
  <c r="X1087" i="2" s="1"/>
  <c r="T1087" i="2"/>
  <c r="R1087" i="2"/>
  <c r="W1086" i="2"/>
  <c r="X1086" i="2" s="1"/>
  <c r="R1086" i="2"/>
  <c r="K1086" i="2"/>
  <c r="I1086" i="2"/>
  <c r="W1085" i="2"/>
  <c r="X1085" i="2" s="1"/>
  <c r="R1085" i="2"/>
  <c r="F1085" i="2"/>
  <c r="W1084" i="2"/>
  <c r="X1084" i="2" s="1"/>
  <c r="R1084" i="2"/>
  <c r="F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W1079" i="2"/>
  <c r="X1079" i="2" s="1"/>
  <c r="T1079" i="2"/>
  <c r="R1079" i="2"/>
  <c r="F1079" i="2"/>
  <c r="F68" i="6" s="1"/>
  <c r="W1076" i="2"/>
  <c r="X1076" i="2" s="1"/>
  <c r="R1076" i="2"/>
  <c r="W1075" i="2"/>
  <c r="X1075" i="2" s="1"/>
  <c r="R1075" i="2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T1070" i="2"/>
  <c r="R1070" i="2"/>
  <c r="F1070" i="2"/>
  <c r="W1069" i="2"/>
  <c r="X1069" i="2" s="1"/>
  <c r="T1069" i="2"/>
  <c r="R1069" i="2"/>
  <c r="F1069" i="2"/>
  <c r="W1068" i="2"/>
  <c r="X1068" i="2" s="1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W1063" i="2"/>
  <c r="X1063" i="2" s="1"/>
  <c r="T1063" i="2"/>
  <c r="R1063" i="2"/>
  <c r="F1063" i="2"/>
  <c r="F52" i="6" s="1"/>
  <c r="W1062" i="2"/>
  <c r="X1062" i="2" s="1"/>
  <c r="T1062" i="2"/>
  <c r="R1062" i="2"/>
  <c r="F1062" i="2"/>
  <c r="F51" i="6" s="1"/>
  <c r="W1061" i="2"/>
  <c r="X1061" i="2" s="1"/>
  <c r="T1061" i="2"/>
  <c r="R1061" i="2"/>
  <c r="F50" i="6"/>
  <c r="W1060" i="2"/>
  <c r="X1060" i="2" s="1"/>
  <c r="T1060" i="2"/>
  <c r="R1060" i="2"/>
  <c r="W1059" i="2"/>
  <c r="X1059" i="2" s="1"/>
  <c r="T1059" i="2"/>
  <c r="R1059" i="2"/>
  <c r="W1058" i="2"/>
  <c r="X1058" i="2" s="1"/>
  <c r="R1058" i="2"/>
  <c r="W1057" i="2"/>
  <c r="X1057" i="2" s="1"/>
  <c r="T1057" i="2"/>
  <c r="R1057" i="2"/>
  <c r="F1057" i="2"/>
  <c r="F46" i="6" s="1"/>
  <c r="W1055" i="2"/>
  <c r="X1055" i="2" s="1"/>
  <c r="T1055" i="2"/>
  <c r="R1055" i="2"/>
  <c r="F44" i="6"/>
  <c r="W1054" i="2"/>
  <c r="X1054" i="2" s="1"/>
  <c r="T1054" i="2"/>
  <c r="R1054" i="2"/>
  <c r="W1053" i="2"/>
  <c r="X1053" i="2" s="1"/>
  <c r="T1053" i="2"/>
  <c r="R1053" i="2"/>
  <c r="W1052" i="2"/>
  <c r="X1052" i="2" s="1"/>
  <c r="T1052" i="2"/>
  <c r="R1052" i="2"/>
  <c r="W1051" i="2"/>
  <c r="X1051" i="2" s="1"/>
  <c r="T1051" i="2"/>
  <c r="R1051" i="2"/>
  <c r="W1050" i="2"/>
  <c r="R1050" i="2"/>
  <c r="M1050" i="2" s="1"/>
  <c r="W1049" i="2"/>
  <c r="X1049" i="2" s="1"/>
  <c r="T1049" i="2"/>
  <c r="R1049" i="2"/>
  <c r="F1049" i="2"/>
  <c r="W1048" i="2"/>
  <c r="X1048" i="2" s="1"/>
  <c r="T1048" i="2"/>
  <c r="R1048" i="2"/>
  <c r="F1048" i="2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W1044" i="2"/>
  <c r="X1044" i="2" s="1"/>
  <c r="T1044" i="2"/>
  <c r="R1044" i="2"/>
  <c r="W1043" i="2"/>
  <c r="X1043" i="2" s="1"/>
  <c r="T1043" i="2"/>
  <c r="R1043" i="2"/>
  <c r="W1042" i="2"/>
  <c r="X1042" i="2" s="1"/>
  <c r="R1042" i="2"/>
  <c r="M1042" i="2" s="1"/>
  <c r="W1041" i="2"/>
  <c r="X1041" i="2" s="1"/>
  <c r="T1041" i="2"/>
  <c r="R1041" i="2"/>
  <c r="F1041" i="2"/>
  <c r="W1039" i="2"/>
  <c r="X1039" i="2" s="1"/>
  <c r="T1039" i="2"/>
  <c r="R1039" i="2"/>
  <c r="W1038" i="2"/>
  <c r="X1038" i="2" s="1"/>
  <c r="T1038" i="2"/>
  <c r="R1038" i="2"/>
  <c r="W1037" i="2"/>
  <c r="X1037" i="2" s="1"/>
  <c r="T1037" i="2"/>
  <c r="R1037" i="2"/>
  <c r="W1036" i="2"/>
  <c r="X1036" i="2" s="1"/>
  <c r="R1036" i="2"/>
  <c r="K1036" i="2"/>
  <c r="W1035" i="2"/>
  <c r="X1035" i="2" s="1"/>
  <c r="R1035" i="2"/>
  <c r="I1035" i="2"/>
  <c r="F1035" i="2"/>
  <c r="W1034" i="2"/>
  <c r="X1034" i="2" s="1"/>
  <c r="R1034" i="2"/>
  <c r="F1034" i="2"/>
  <c r="W1033" i="2"/>
  <c r="X1033" i="2" s="1"/>
  <c r="R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F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M1025" i="2" s="1"/>
  <c r="W1024" i="2"/>
  <c r="X1024" i="2" s="1"/>
  <c r="T1024" i="2"/>
  <c r="R1024" i="2"/>
  <c r="F1024" i="2"/>
  <c r="W1023" i="2"/>
  <c r="X1023" i="2" s="1"/>
  <c r="T1023" i="2"/>
  <c r="R1023" i="2"/>
  <c r="F1023" i="2"/>
  <c r="W1022" i="2"/>
  <c r="X1022" i="2" s="1"/>
  <c r="T1022" i="2"/>
  <c r="R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R1019" i="2"/>
  <c r="W1018" i="2"/>
  <c r="X1018" i="2" s="1"/>
  <c r="T1017" i="2"/>
  <c r="S1018" i="2"/>
  <c r="M1018" i="2" s="1"/>
  <c r="F1017" i="2"/>
  <c r="W1016" i="2"/>
  <c r="X1016" i="2" s="1"/>
  <c r="R1016" i="2"/>
  <c r="F1016" i="2"/>
  <c r="W1015" i="2"/>
  <c r="X1015" i="2" s="1"/>
  <c r="R1015" i="2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W1011" i="2"/>
  <c r="X1011" i="2" s="1"/>
  <c r="R1011" i="2"/>
  <c r="W1010" i="2"/>
  <c r="X1010" i="2" s="1"/>
  <c r="R1010" i="2"/>
  <c r="W1002" i="2"/>
  <c r="X1002" i="2" s="1"/>
  <c r="R1002" i="2"/>
  <c r="M1002" i="2" s="1"/>
  <c r="W1001" i="2"/>
  <c r="X1001" i="2" s="1"/>
  <c r="T1001" i="2"/>
  <c r="R1001" i="2"/>
  <c r="F1001" i="2"/>
  <c r="F38" i="6" s="1"/>
  <c r="W998" i="2"/>
  <c r="X998" i="2" s="1"/>
  <c r="R998" i="2"/>
  <c r="W997" i="2"/>
  <c r="X997" i="2" s="1"/>
  <c r="R997" i="2"/>
  <c r="W996" i="2"/>
  <c r="X996" i="2" s="1"/>
  <c r="R996" i="2"/>
  <c r="F33" i="6"/>
  <c r="W995" i="2"/>
  <c r="W994" i="2"/>
  <c r="X994" i="2" s="1"/>
  <c r="T994" i="2"/>
  <c r="S995" i="2"/>
  <c r="F994" i="2"/>
  <c r="F72" i="7" s="1"/>
  <c r="W993" i="2"/>
  <c r="X993" i="2" s="1"/>
  <c r="R993" i="2"/>
  <c r="F993" i="2"/>
  <c r="F71" i="7" s="1"/>
  <c r="W992" i="2"/>
  <c r="X992" i="2" s="1"/>
  <c r="R992" i="2"/>
  <c r="F70" i="7"/>
  <c r="W991" i="2"/>
  <c r="X991" i="2" s="1"/>
  <c r="R991" i="2"/>
  <c r="W990" i="2"/>
  <c r="X990" i="2" s="1"/>
  <c r="T990" i="2"/>
  <c r="R990" i="2"/>
  <c r="W971" i="2"/>
  <c r="X971" i="2" s="1"/>
  <c r="R971" i="2"/>
  <c r="M971" i="2" s="1"/>
  <c r="W970" i="2"/>
  <c r="X970" i="2" s="1"/>
  <c r="T970" i="2"/>
  <c r="R970" i="2"/>
  <c r="F970" i="2"/>
  <c r="W969" i="2"/>
  <c r="X969" i="2" s="1"/>
  <c r="T969" i="2"/>
  <c r="R969" i="2"/>
  <c r="F969" i="2"/>
  <c r="W968" i="2"/>
  <c r="X968" i="2" s="1"/>
  <c r="T968" i="2"/>
  <c r="R968" i="2"/>
  <c r="W967" i="2"/>
  <c r="X967" i="2" s="1"/>
  <c r="T967" i="2"/>
  <c r="R967" i="2"/>
  <c r="W966" i="2"/>
  <c r="X966" i="2" s="1"/>
  <c r="T966" i="2"/>
  <c r="R966" i="2"/>
  <c r="W965" i="2"/>
  <c r="R965" i="2"/>
  <c r="M965" i="2" s="1"/>
  <c r="M67" i="7" s="1"/>
  <c r="W964" i="2"/>
  <c r="X964" i="2" s="1"/>
  <c r="T964" i="2"/>
  <c r="R964" i="2"/>
  <c r="F964" i="2"/>
  <c r="F66" i="7" s="1"/>
  <c r="W962" i="2"/>
  <c r="X962" i="2" s="1"/>
  <c r="T962" i="2"/>
  <c r="R962" i="2"/>
  <c r="W961" i="2"/>
  <c r="X961" i="2" s="1"/>
  <c r="T961" i="2"/>
  <c r="R961" i="2"/>
  <c r="W960" i="2"/>
  <c r="X960" i="2" s="1"/>
  <c r="T960" i="2"/>
  <c r="R960" i="2"/>
  <c r="W959" i="2"/>
  <c r="X959" i="2" s="1"/>
  <c r="T959" i="2"/>
  <c r="R959" i="2"/>
  <c r="W958" i="2"/>
  <c r="X958" i="2" s="1"/>
  <c r="R958" i="2"/>
  <c r="J958" i="2"/>
  <c r="I958" i="2"/>
  <c r="W957" i="2"/>
  <c r="X957" i="2" s="1"/>
  <c r="R957" i="2"/>
  <c r="F957" i="2"/>
  <c r="W956" i="2"/>
  <c r="X956" i="2" s="1"/>
  <c r="R956" i="2"/>
  <c r="F956" i="2"/>
  <c r="W955" i="2"/>
  <c r="X955" i="2" s="1"/>
  <c r="R955" i="2"/>
  <c r="M955" i="2" s="1"/>
  <c r="M60" i="7" s="1"/>
  <c r="W954" i="2"/>
  <c r="X954" i="2" s="1"/>
  <c r="R954" i="2"/>
  <c r="F954" i="2"/>
  <c r="W953" i="2"/>
  <c r="X953" i="2" s="1"/>
  <c r="R953" i="2"/>
  <c r="F56" i="7"/>
  <c r="W952" i="2"/>
  <c r="X952" i="2" s="1"/>
  <c r="T952" i="2"/>
  <c r="R952" i="2"/>
  <c r="W951" i="2"/>
  <c r="X951" i="2" s="1"/>
  <c r="T951" i="2"/>
  <c r="R951" i="2"/>
  <c r="F54" i="7"/>
  <c r="W948" i="2"/>
  <c r="X948" i="2" s="1"/>
  <c r="T948" i="2"/>
  <c r="R948" i="2"/>
  <c r="F51" i="7"/>
  <c r="W946" i="2"/>
  <c r="X946" i="2" s="1"/>
  <c r="T946" i="2"/>
  <c r="R946" i="2"/>
  <c r="F49" i="7"/>
  <c r="W945" i="2"/>
  <c r="X945" i="2" s="1"/>
  <c r="T945" i="2"/>
  <c r="R945" i="2"/>
  <c r="W944" i="2"/>
  <c r="X944" i="2" s="1"/>
  <c r="R944" i="2"/>
  <c r="W943" i="2"/>
  <c r="X943" i="2" s="1"/>
  <c r="R943" i="2"/>
  <c r="M943" i="2" s="1"/>
  <c r="W942" i="2"/>
  <c r="X942" i="2" s="1"/>
  <c r="T942" i="2"/>
  <c r="R942" i="2"/>
  <c r="F942" i="2"/>
  <c r="W941" i="2"/>
  <c r="X941" i="2" s="1"/>
  <c r="T941" i="2"/>
  <c r="R941" i="2"/>
  <c r="F941" i="2"/>
  <c r="W940" i="2"/>
  <c r="X940" i="2" s="1"/>
  <c r="T940" i="2"/>
  <c r="R940" i="2"/>
  <c r="W939" i="2"/>
  <c r="X939" i="2" s="1"/>
  <c r="T939" i="2"/>
  <c r="R939" i="2"/>
  <c r="W938" i="2"/>
  <c r="X938" i="2" s="1"/>
  <c r="T938" i="2"/>
  <c r="R938" i="2"/>
  <c r="W937" i="2"/>
  <c r="X937" i="2" s="1"/>
  <c r="R937" i="2"/>
  <c r="W936" i="2"/>
  <c r="X936" i="2" s="1"/>
  <c r="T936" i="2"/>
  <c r="R936" i="2"/>
  <c r="F936" i="2"/>
  <c r="W935" i="2"/>
  <c r="X935" i="2" s="1"/>
  <c r="T935" i="2"/>
  <c r="R935" i="2"/>
  <c r="F935" i="2"/>
  <c r="W934" i="2"/>
  <c r="X934" i="2" s="1"/>
  <c r="T934" i="2"/>
  <c r="R934" i="2"/>
  <c r="J934" i="2"/>
  <c r="I934" i="2"/>
  <c r="W933" i="2"/>
  <c r="X933" i="2" s="1"/>
  <c r="T933" i="2"/>
  <c r="R933" i="2"/>
  <c r="F933" i="2"/>
  <c r="W932" i="2"/>
  <c r="X932" i="2" s="1"/>
  <c r="T932" i="2"/>
  <c r="R932" i="2"/>
  <c r="F932" i="2"/>
  <c r="W931" i="2"/>
  <c r="X931" i="2" s="1"/>
  <c r="T931" i="2"/>
  <c r="R931" i="2"/>
  <c r="F931" i="2"/>
  <c r="W930" i="2"/>
  <c r="X930" i="2" s="1"/>
  <c r="T930" i="2"/>
  <c r="R930" i="2"/>
  <c r="F930" i="2"/>
  <c r="W929" i="2"/>
  <c r="W928" i="2"/>
  <c r="T928" i="2"/>
  <c r="R928" i="2"/>
  <c r="M929" i="2" s="1"/>
  <c r="F928" i="2"/>
  <c r="W927" i="2"/>
  <c r="X927" i="2" s="1"/>
  <c r="T927" i="2"/>
  <c r="R927" i="2"/>
  <c r="W926" i="2"/>
  <c r="X926" i="2" s="1"/>
  <c r="T926" i="2"/>
  <c r="R926" i="2"/>
  <c r="W925" i="2"/>
  <c r="X925" i="2" s="1"/>
  <c r="R925" i="2"/>
  <c r="W924" i="2"/>
  <c r="X924" i="2" s="1"/>
  <c r="R924" i="2"/>
  <c r="W915" i="2"/>
  <c r="X915" i="2" s="1"/>
  <c r="R915" i="2"/>
  <c r="W914" i="2"/>
  <c r="X914" i="2" s="1"/>
  <c r="R914" i="2"/>
  <c r="W913" i="2"/>
  <c r="X913" i="2" s="1"/>
  <c r="R913" i="2"/>
  <c r="W912" i="2"/>
  <c r="X912" i="2" s="1"/>
  <c r="R912" i="2"/>
  <c r="W911" i="2"/>
  <c r="W910" i="2"/>
  <c r="X910" i="2" s="1"/>
  <c r="T910" i="2"/>
  <c r="R910" i="2"/>
  <c r="M911" i="2" s="1"/>
  <c r="F910" i="2"/>
  <c r="W909" i="2"/>
  <c r="X909" i="2" s="1"/>
  <c r="T909" i="2"/>
  <c r="R909" i="2"/>
  <c r="F909" i="2"/>
  <c r="W908" i="2"/>
  <c r="X908" i="2" s="1"/>
  <c r="T908" i="2"/>
  <c r="R908" i="2"/>
  <c r="W907" i="2"/>
  <c r="X907" i="2" s="1"/>
  <c r="T907" i="2"/>
  <c r="R907" i="2"/>
  <c r="W906" i="2"/>
  <c r="X906" i="2" s="1"/>
  <c r="R906" i="2"/>
  <c r="W905" i="2"/>
  <c r="X905" i="2" s="1"/>
  <c r="W904" i="2"/>
  <c r="X904" i="2" s="1"/>
  <c r="R904" i="2"/>
  <c r="W903" i="2"/>
  <c r="X903" i="2" s="1"/>
  <c r="R903" i="2"/>
  <c r="W902" i="2"/>
  <c r="X902" i="2" s="1"/>
  <c r="R902" i="2"/>
  <c r="F902" i="2"/>
  <c r="W901" i="2"/>
  <c r="W900" i="2"/>
  <c r="X900" i="2" s="1"/>
  <c r="R900" i="2"/>
  <c r="M901" i="2" s="1"/>
  <c r="F900" i="2"/>
  <c r="W899" i="2"/>
  <c r="X899" i="2" s="1"/>
  <c r="R899" i="2"/>
  <c r="F899" i="2"/>
  <c r="W898" i="2"/>
  <c r="X898" i="2" s="1"/>
  <c r="R898" i="2"/>
  <c r="F898" i="2"/>
  <c r="W897" i="2"/>
  <c r="X897" i="2" s="1"/>
  <c r="R897" i="2"/>
  <c r="F897" i="2"/>
  <c r="W896" i="2"/>
  <c r="X896" i="2" s="1"/>
  <c r="R896" i="2"/>
  <c r="W895" i="2"/>
  <c r="X895" i="2" s="1"/>
  <c r="R895" i="2"/>
  <c r="W894" i="2"/>
  <c r="X894" i="2" s="1"/>
  <c r="R894" i="2"/>
  <c r="W893" i="2"/>
  <c r="X893" i="2" s="1"/>
  <c r="R893" i="2"/>
  <c r="W892" i="2"/>
  <c r="X892" i="2" s="1"/>
  <c r="R892" i="2"/>
  <c r="M892" i="2" s="1"/>
  <c r="W891" i="2"/>
  <c r="X891" i="2" s="1"/>
  <c r="T891" i="2"/>
  <c r="R891" i="2"/>
  <c r="F891" i="2"/>
  <c r="W890" i="2"/>
  <c r="X890" i="2" s="1"/>
  <c r="T890" i="2"/>
  <c r="R890" i="2"/>
  <c r="F890" i="2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W886" i="2"/>
  <c r="X886" i="2" s="1"/>
  <c r="T886" i="2"/>
  <c r="R886" i="2"/>
  <c r="W885" i="2"/>
  <c r="X885" i="2" s="1"/>
  <c r="R885" i="2"/>
  <c r="F885" i="2"/>
  <c r="W884" i="2"/>
  <c r="X884" i="2" s="1"/>
  <c r="R884" i="2"/>
  <c r="M884" i="2" s="1"/>
  <c r="W883" i="2"/>
  <c r="X883" i="2" s="1"/>
  <c r="T883" i="2"/>
  <c r="R883" i="2"/>
  <c r="F883" i="2"/>
  <c r="W882" i="2"/>
  <c r="X882" i="2" s="1"/>
  <c r="T882" i="2"/>
  <c r="R882" i="2"/>
  <c r="F882" i="2"/>
  <c r="W880" i="2"/>
  <c r="X880" i="2" s="1"/>
  <c r="T880" i="2"/>
  <c r="K880" i="2" s="1"/>
  <c r="R880" i="2"/>
  <c r="W879" i="2"/>
  <c r="X879" i="2" s="1"/>
  <c r="T879" i="2"/>
  <c r="K879" i="2" s="1"/>
  <c r="R879" i="2"/>
  <c r="W878" i="2"/>
  <c r="X878" i="2" s="1"/>
  <c r="T878" i="2"/>
  <c r="R878" i="2"/>
  <c r="W877" i="2"/>
  <c r="X877" i="2" s="1"/>
  <c r="R877" i="2"/>
  <c r="M877" i="2" s="1"/>
  <c r="W876" i="2"/>
  <c r="X876" i="2" s="1"/>
  <c r="R876" i="2"/>
  <c r="F876" i="2"/>
  <c r="W873" i="2"/>
  <c r="X873" i="2" s="1"/>
  <c r="R873" i="2"/>
  <c r="W872" i="2"/>
  <c r="X872" i="2" s="1"/>
  <c r="R872" i="2"/>
  <c r="W871" i="2"/>
  <c r="X871" i="2" s="1"/>
  <c r="R871" i="2"/>
  <c r="W870" i="2"/>
  <c r="X870" i="2" s="1"/>
  <c r="R870" i="2"/>
  <c r="M870" i="2" s="1"/>
  <c r="M46" i="7" s="1"/>
  <c r="I870" i="2"/>
  <c r="W869" i="2"/>
  <c r="X869" i="2" s="1"/>
  <c r="R869" i="2"/>
  <c r="W868" i="2"/>
  <c r="X868" i="2" s="1"/>
  <c r="R868" i="2"/>
  <c r="W867" i="2"/>
  <c r="X867" i="2" s="1"/>
  <c r="T867" i="2"/>
  <c r="R867" i="2"/>
  <c r="W866" i="2"/>
  <c r="X866" i="2" s="1"/>
  <c r="T866" i="2"/>
  <c r="R866" i="2"/>
  <c r="W865" i="2"/>
  <c r="X865" i="2" s="1"/>
  <c r="T865" i="2"/>
  <c r="R865" i="2"/>
  <c r="W863" i="2"/>
  <c r="X863" i="2" s="1"/>
  <c r="T863" i="2"/>
  <c r="R863" i="2"/>
  <c r="F863" i="2"/>
  <c r="W862" i="2"/>
  <c r="X862" i="2" s="1"/>
  <c r="T862" i="2"/>
  <c r="R862" i="2"/>
  <c r="F862" i="2"/>
  <c r="W861" i="2"/>
  <c r="X861" i="2" s="1"/>
  <c r="T861" i="2"/>
  <c r="R861" i="2"/>
  <c r="F861" i="2"/>
  <c r="W860" i="2"/>
  <c r="X860" i="2" s="1"/>
  <c r="T860" i="2"/>
  <c r="R860" i="2"/>
  <c r="F860" i="2"/>
  <c r="W859" i="2"/>
  <c r="X859" i="2" s="1"/>
  <c r="T859" i="2"/>
  <c r="R859" i="2"/>
  <c r="W858" i="2"/>
  <c r="X858" i="2" s="1"/>
  <c r="T858" i="2"/>
  <c r="R858" i="2"/>
  <c r="W857" i="2"/>
  <c r="X857" i="2" s="1"/>
  <c r="T857" i="2"/>
  <c r="R857" i="2"/>
  <c r="W856" i="2"/>
  <c r="X856" i="2" s="1"/>
  <c r="R856" i="2"/>
  <c r="M856" i="2" s="1"/>
  <c r="W855" i="2"/>
  <c r="X855" i="2" s="1"/>
  <c r="T855" i="2"/>
  <c r="R855" i="2"/>
  <c r="F855" i="2"/>
  <c r="W854" i="2"/>
  <c r="X854" i="2" s="1"/>
  <c r="T854" i="2"/>
  <c r="R854" i="2"/>
  <c r="F854" i="2"/>
  <c r="W853" i="2"/>
  <c r="X853" i="2" s="1"/>
  <c r="T853" i="2"/>
  <c r="R853" i="2"/>
  <c r="W852" i="2"/>
  <c r="X852" i="2" s="1"/>
  <c r="T852" i="2"/>
  <c r="R852" i="2"/>
  <c r="W851" i="2"/>
  <c r="X851" i="2" s="1"/>
  <c r="T851" i="2"/>
  <c r="R851" i="2"/>
  <c r="W850" i="2"/>
  <c r="X850" i="2" s="1"/>
  <c r="T850" i="2"/>
  <c r="R850" i="2"/>
  <c r="W849" i="2"/>
  <c r="X849" i="2" s="1"/>
  <c r="R849" i="2"/>
  <c r="F849" i="2"/>
  <c r="W848" i="2"/>
  <c r="W847" i="2"/>
  <c r="M848" i="2"/>
  <c r="F847" i="2"/>
  <c r="W846" i="2"/>
  <c r="X846" i="2" s="1"/>
  <c r="R846" i="2"/>
  <c r="F846" i="2"/>
  <c r="W844" i="2"/>
  <c r="X844" i="2" s="1"/>
  <c r="R844" i="2"/>
  <c r="W843" i="2"/>
  <c r="X843" i="2" s="1"/>
  <c r="R843" i="2"/>
  <c r="W842" i="2"/>
  <c r="X842" i="2" s="1"/>
  <c r="R842" i="2"/>
  <c r="W841" i="2"/>
  <c r="X841" i="2" s="1"/>
  <c r="R841" i="2"/>
  <c r="W840" i="2"/>
  <c r="X840" i="2" s="1"/>
  <c r="R840" i="2"/>
  <c r="W817" i="2"/>
  <c r="W816" i="2"/>
  <c r="F816" i="2"/>
  <c r="W815" i="2"/>
  <c r="X815" i="2" s="1"/>
  <c r="F815" i="2"/>
  <c r="F229" i="6" s="1"/>
  <c r="W814" i="2"/>
  <c r="X814" i="2" s="1"/>
  <c r="W813" i="2"/>
  <c r="X813" i="2" s="1"/>
  <c r="W812" i="2"/>
  <c r="X812" i="2" s="1"/>
  <c r="R812" i="2"/>
  <c r="W811" i="2"/>
  <c r="X811" i="2" s="1"/>
  <c r="W810" i="2"/>
  <c r="X810" i="2" s="1"/>
  <c r="R810" i="2"/>
  <c r="F810" i="2"/>
  <c r="F218" i="6" s="1"/>
  <c r="W809" i="2"/>
  <c r="X809" i="2" s="1"/>
  <c r="R809" i="2"/>
  <c r="F809" i="2"/>
  <c r="F217" i="6" s="1"/>
  <c r="W808" i="2"/>
  <c r="X808" i="2" s="1"/>
  <c r="R808" i="2"/>
  <c r="F216" i="6"/>
  <c r="W807" i="2"/>
  <c r="X807" i="2" s="1"/>
  <c r="R807" i="2"/>
  <c r="W806" i="2"/>
  <c r="X806" i="2" s="1"/>
  <c r="R806" i="2"/>
  <c r="W805" i="2"/>
  <c r="X805" i="2" s="1"/>
  <c r="R805" i="2"/>
  <c r="W804" i="2"/>
  <c r="X804" i="2" s="1"/>
  <c r="R804" i="2"/>
  <c r="F804" i="2"/>
  <c r="W803" i="2"/>
  <c r="X803" i="2" s="1"/>
  <c r="R803" i="2"/>
  <c r="F803" i="2"/>
  <c r="W802" i="2"/>
  <c r="X802" i="2" s="1"/>
  <c r="R802" i="2"/>
  <c r="F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F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W790" i="2"/>
  <c r="X790" i="2" s="1"/>
  <c r="R790" i="2"/>
  <c r="F790" i="2"/>
  <c r="W788" i="2"/>
  <c r="X788" i="2" s="1"/>
  <c r="R788" i="2"/>
  <c r="W787" i="2"/>
  <c r="X787" i="2" s="1"/>
  <c r="R787" i="2"/>
  <c r="W786" i="2"/>
  <c r="X786" i="2" s="1"/>
  <c r="R786" i="2"/>
  <c r="W785" i="2"/>
  <c r="X785" i="2" s="1"/>
  <c r="R785" i="2"/>
  <c r="S785" i="2" s="1"/>
  <c r="M785" i="2" s="1"/>
  <c r="W784" i="2"/>
  <c r="F784" i="2"/>
  <c r="F23" i="6" s="1"/>
  <c r="W782" i="2"/>
  <c r="X782" i="2" s="1"/>
  <c r="F21" i="6"/>
  <c r="W781" i="2"/>
  <c r="W780" i="2"/>
  <c r="X780" i="2" s="1"/>
  <c r="R780" i="2"/>
  <c r="W779" i="2"/>
  <c r="X779" i="2" s="1"/>
  <c r="W778" i="2"/>
  <c r="X778" i="2" s="1"/>
  <c r="R778" i="2"/>
  <c r="W777" i="2"/>
  <c r="X777" i="2" s="1"/>
  <c r="T777" i="2"/>
  <c r="R777" i="2"/>
  <c r="W776" i="2"/>
  <c r="R776" i="2"/>
  <c r="W775" i="2"/>
  <c r="X775" i="2" s="1"/>
  <c r="T775" i="2"/>
  <c r="F775" i="2"/>
  <c r="W770" i="2"/>
  <c r="X770" i="2" s="1"/>
  <c r="T770" i="2"/>
  <c r="R770" i="2"/>
  <c r="W769" i="2"/>
  <c r="X769" i="2" s="1"/>
  <c r="R769" i="2"/>
  <c r="W768" i="2"/>
  <c r="X768" i="2" s="1"/>
  <c r="R768" i="2"/>
  <c r="W767" i="2"/>
  <c r="X767" i="2" s="1"/>
  <c r="R767" i="2"/>
  <c r="M767" i="2" s="1"/>
  <c r="W766" i="2"/>
  <c r="X766" i="2" s="1"/>
  <c r="T766" i="2"/>
  <c r="R766" i="2"/>
  <c r="F766" i="2"/>
  <c r="W765" i="2"/>
  <c r="X765" i="2" s="1"/>
  <c r="T765" i="2"/>
  <c r="R765" i="2"/>
  <c r="F765" i="2"/>
  <c r="W764" i="2"/>
  <c r="X764" i="2" s="1"/>
  <c r="T764" i="2"/>
  <c r="R764" i="2"/>
  <c r="F764" i="2"/>
  <c r="W763" i="2"/>
  <c r="X763" i="2" s="1"/>
  <c r="T763" i="2"/>
  <c r="R763" i="2"/>
  <c r="W762" i="2"/>
  <c r="X762" i="2" s="1"/>
  <c r="T762" i="2"/>
  <c r="R762" i="2"/>
  <c r="W761" i="2"/>
  <c r="X761" i="2" s="1"/>
  <c r="T761" i="2"/>
  <c r="R761" i="2"/>
  <c r="W760" i="2"/>
  <c r="X760" i="2" s="1"/>
  <c r="T760" i="2"/>
  <c r="R760" i="2"/>
  <c r="W759" i="2"/>
  <c r="W758" i="2"/>
  <c r="X758" i="2" s="1"/>
  <c r="T758" i="2"/>
  <c r="W757" i="2"/>
  <c r="X757" i="2" s="1"/>
  <c r="T757" i="2"/>
  <c r="R757" i="2"/>
  <c r="W756" i="2"/>
  <c r="X756" i="2" s="1"/>
  <c r="T756" i="2"/>
  <c r="R756" i="2"/>
  <c r="W755" i="2"/>
  <c r="X755" i="2" s="1"/>
  <c r="T755" i="2"/>
  <c r="R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R751" i="2"/>
  <c r="F751" i="2"/>
  <c r="W750" i="2"/>
  <c r="X750" i="2" s="1"/>
  <c r="R750" i="2"/>
  <c r="M750" i="2" s="1"/>
  <c r="W749" i="2"/>
  <c r="X749" i="2" s="1"/>
  <c r="T749" i="2"/>
  <c r="R749" i="2"/>
  <c r="F749" i="2"/>
  <c r="W748" i="2"/>
  <c r="X748" i="2" s="1"/>
  <c r="T748" i="2"/>
  <c r="R748" i="2"/>
  <c r="W747" i="2"/>
  <c r="X747" i="2" s="1"/>
  <c r="T747" i="2"/>
  <c r="R747" i="2"/>
  <c r="F747" i="2"/>
  <c r="W746" i="2"/>
  <c r="X746" i="2" s="1"/>
  <c r="T746" i="2"/>
  <c r="R746" i="2"/>
  <c r="F746" i="2"/>
  <c r="W745" i="2"/>
  <c r="X745" i="2" s="1"/>
  <c r="T745" i="2"/>
  <c r="R745" i="2"/>
  <c r="F745" i="2"/>
  <c r="W744" i="2"/>
  <c r="X744" i="2" s="1"/>
  <c r="R744" i="2"/>
  <c r="M744" i="2" s="1"/>
  <c r="K744" i="2"/>
  <c r="W743" i="2"/>
  <c r="X743" i="2" s="1"/>
  <c r="R743" i="2"/>
  <c r="I743" i="2"/>
  <c r="F743" i="2"/>
  <c r="W742" i="2"/>
  <c r="X742" i="2" s="1"/>
  <c r="R742" i="2"/>
  <c r="F742" i="2"/>
  <c r="W741" i="2"/>
  <c r="X741" i="2" s="1"/>
  <c r="R741" i="2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F735" i="2"/>
  <c r="W734" i="2"/>
  <c r="X734" i="2" s="1"/>
  <c r="R734" i="2"/>
  <c r="F734" i="2"/>
  <c r="W733" i="2"/>
  <c r="X733" i="2" s="1"/>
  <c r="R733" i="2"/>
  <c r="K733" i="2"/>
  <c r="W732" i="2"/>
  <c r="X732" i="2" s="1"/>
  <c r="R732" i="2"/>
  <c r="I732" i="2"/>
  <c r="F732" i="2"/>
  <c r="W731" i="2"/>
  <c r="X731" i="2" s="1"/>
  <c r="R731" i="2"/>
  <c r="F731" i="2"/>
  <c r="W730" i="2"/>
  <c r="X730" i="2" s="1"/>
  <c r="R730" i="2"/>
  <c r="F730" i="2"/>
  <c r="W729" i="2"/>
  <c r="X729" i="2" s="1"/>
  <c r="R729" i="2"/>
  <c r="F729" i="2"/>
  <c r="W728" i="2"/>
  <c r="X728" i="2" s="1"/>
  <c r="R728" i="2"/>
  <c r="M728" i="2" s="1"/>
  <c r="W727" i="2"/>
  <c r="X727" i="2" s="1"/>
  <c r="T727" i="2"/>
  <c r="R727" i="2"/>
  <c r="F727" i="2"/>
  <c r="W726" i="2"/>
  <c r="X726" i="2" s="1"/>
  <c r="T726" i="2"/>
  <c r="R726" i="2"/>
  <c r="F726" i="2"/>
  <c r="W725" i="2"/>
  <c r="X725" i="2" s="1"/>
  <c r="T725" i="2"/>
  <c r="R725" i="2"/>
  <c r="W724" i="2"/>
  <c r="X724" i="2" s="1"/>
  <c r="T724" i="2"/>
  <c r="R724" i="2"/>
  <c r="W723" i="2"/>
  <c r="X723" i="2" s="1"/>
  <c r="T723" i="2"/>
  <c r="R723" i="2"/>
  <c r="W722" i="2"/>
  <c r="X722" i="2" s="1"/>
  <c r="R722" i="2"/>
  <c r="W721" i="2"/>
  <c r="X721" i="2" s="1"/>
  <c r="T721" i="2"/>
  <c r="R721" i="2"/>
  <c r="W124" i="15"/>
  <c r="F721" i="2"/>
  <c r="W714" i="2"/>
  <c r="X714" i="2" s="1"/>
  <c r="T714" i="2"/>
  <c r="R714" i="2"/>
  <c r="W713" i="2"/>
  <c r="X713" i="2" s="1"/>
  <c r="T713" i="2"/>
  <c r="R713" i="2"/>
  <c r="W712" i="2"/>
  <c r="X712" i="2" s="1"/>
  <c r="T712" i="2"/>
  <c r="R712" i="2"/>
  <c r="W699" i="2"/>
  <c r="R699" i="2"/>
  <c r="M699" i="2" s="1"/>
  <c r="W698" i="2"/>
  <c r="X698" i="2" s="1"/>
  <c r="T698" i="2"/>
  <c r="R698" i="2"/>
  <c r="F698" i="2"/>
  <c r="W697" i="2"/>
  <c r="X697" i="2" s="1"/>
  <c r="T697" i="2"/>
  <c r="R697" i="2"/>
  <c r="F697" i="2"/>
  <c r="W695" i="2"/>
  <c r="X695" i="2" s="1"/>
  <c r="T695" i="2"/>
  <c r="R695" i="2"/>
  <c r="W694" i="2"/>
  <c r="X694" i="2" s="1"/>
  <c r="T694" i="2"/>
  <c r="R694" i="2"/>
  <c r="W693" i="2"/>
  <c r="X693" i="2" s="1"/>
  <c r="T693" i="2"/>
  <c r="R693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R689" i="2"/>
  <c r="W688" i="2"/>
  <c r="R688" i="2"/>
  <c r="W687" i="2"/>
  <c r="X687" i="2" s="1"/>
  <c r="T687" i="2"/>
  <c r="R687" i="2"/>
  <c r="F687" i="2"/>
  <c r="W686" i="2"/>
  <c r="X686" i="2" s="1"/>
  <c r="T686" i="2"/>
  <c r="R686" i="2"/>
  <c r="W684" i="2"/>
  <c r="T684" i="2"/>
  <c r="W683" i="2"/>
  <c r="X683" i="2" s="1"/>
  <c r="T683" i="2"/>
  <c r="R683" i="2"/>
  <c r="W682" i="2"/>
  <c r="X682" i="2" s="1"/>
  <c r="R682" i="2"/>
  <c r="W681" i="2"/>
  <c r="R681" i="2"/>
  <c r="M681" i="2" s="1"/>
  <c r="W680" i="2"/>
  <c r="X680" i="2" s="1"/>
  <c r="T680" i="2"/>
  <c r="R680" i="2"/>
  <c r="F680" i="2"/>
  <c r="W679" i="2"/>
  <c r="X679" i="2" s="1"/>
  <c r="T679" i="2"/>
  <c r="F679" i="2"/>
  <c r="W674" i="2"/>
  <c r="X674" i="2" s="1"/>
  <c r="T674" i="2"/>
  <c r="W673" i="2"/>
  <c r="X673" i="2" s="1"/>
  <c r="T673" i="2"/>
  <c r="R673" i="2"/>
  <c r="W672" i="2"/>
  <c r="X672" i="2" s="1"/>
  <c r="T672" i="2"/>
  <c r="R672" i="2"/>
  <c r="W671" i="2"/>
  <c r="X671" i="2" s="1"/>
  <c r="T671" i="2"/>
  <c r="R671" i="2"/>
  <c r="W670" i="2"/>
  <c r="X670" i="2" s="1"/>
  <c r="T670" i="2"/>
  <c r="R670" i="2"/>
  <c r="W669" i="2"/>
  <c r="X669" i="2" s="1"/>
  <c r="R669" i="2"/>
  <c r="F669" i="2"/>
  <c r="W668" i="2"/>
  <c r="X668" i="2" s="1"/>
  <c r="R668" i="2"/>
  <c r="F668" i="2"/>
  <c r="W663" i="2"/>
  <c r="X663" i="2" s="1"/>
  <c r="R663" i="2"/>
  <c r="M663" i="2" s="1"/>
  <c r="W662" i="2"/>
  <c r="X662" i="2" s="1"/>
  <c r="T662" i="2"/>
  <c r="R662" i="2"/>
  <c r="F662" i="2"/>
  <c r="W661" i="2"/>
  <c r="X661" i="2" s="1"/>
  <c r="T661" i="2"/>
  <c r="R661" i="2"/>
  <c r="F661" i="2"/>
  <c r="W659" i="2"/>
  <c r="X659" i="2" s="1"/>
  <c r="T659" i="2"/>
  <c r="R659" i="2"/>
  <c r="W658" i="2"/>
  <c r="X658" i="2" s="1"/>
  <c r="T658" i="2"/>
  <c r="R658" i="2"/>
  <c r="W657" i="2"/>
  <c r="X657" i="2" s="1"/>
  <c r="T657" i="2"/>
  <c r="R657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R653" i="2"/>
  <c r="M653" i="2" s="1"/>
  <c r="N188" i="6" s="1"/>
  <c r="W652" i="2"/>
  <c r="X652" i="2" s="1"/>
  <c r="T652" i="2"/>
  <c r="R652" i="2"/>
  <c r="F652" i="2"/>
  <c r="F187" i="6" s="1"/>
  <c r="W649" i="2"/>
  <c r="X649" i="2" s="1"/>
  <c r="R649" i="2"/>
  <c r="W648" i="2"/>
  <c r="X648" i="2" s="1"/>
  <c r="R648" i="2"/>
  <c r="W647" i="2"/>
  <c r="X647" i="2" s="1"/>
  <c r="T647" i="2"/>
  <c r="R647" i="2"/>
  <c r="W646" i="2"/>
  <c r="X646" i="2" s="1"/>
  <c r="T646" i="2"/>
  <c r="R646" i="2"/>
  <c r="W645" i="2"/>
  <c r="X645" i="2" s="1"/>
  <c r="R645" i="2"/>
  <c r="J645" i="2"/>
  <c r="I645" i="2"/>
  <c r="W644" i="2"/>
  <c r="X644" i="2" s="1"/>
  <c r="R644" i="2"/>
  <c r="F644" i="2"/>
  <c r="W643" i="2"/>
  <c r="X643" i="2" s="1"/>
  <c r="R643" i="2"/>
  <c r="F643" i="2"/>
  <c r="W642" i="2"/>
  <c r="X642" i="2" s="1"/>
  <c r="R642" i="2"/>
  <c r="F642" i="2"/>
  <c r="W641" i="2"/>
  <c r="X641" i="2" s="1"/>
  <c r="R641" i="2"/>
  <c r="F641" i="2"/>
  <c r="W640" i="2"/>
  <c r="W639" i="2"/>
  <c r="T639" i="2"/>
  <c r="R639" i="2"/>
  <c r="S640" i="2" s="1"/>
  <c r="F639" i="2"/>
  <c r="W638" i="2"/>
  <c r="X638" i="2" s="1"/>
  <c r="T638" i="2"/>
  <c r="R638" i="2"/>
  <c r="F638" i="2"/>
  <c r="W637" i="2"/>
  <c r="X637" i="2" s="1"/>
  <c r="R637" i="2"/>
  <c r="W636" i="2"/>
  <c r="X636" i="2" s="1"/>
  <c r="R636" i="2"/>
  <c r="W635" i="2"/>
  <c r="R635" i="2"/>
  <c r="W634" i="2"/>
  <c r="R634" i="2"/>
  <c r="W633" i="2"/>
  <c r="X633" i="2" s="1"/>
  <c r="R633" i="2"/>
  <c r="W632" i="2"/>
  <c r="X632" i="2" s="1"/>
  <c r="R632" i="2"/>
  <c r="W631" i="2"/>
  <c r="X631" i="2" s="1"/>
  <c r="R631" i="2"/>
  <c r="W630" i="2"/>
  <c r="X630" i="2" s="1"/>
  <c r="R630" i="2"/>
  <c r="W625" i="2"/>
  <c r="R625" i="2"/>
  <c r="M625" i="2" s="1"/>
  <c r="Z624" i="2"/>
  <c r="W624" i="2"/>
  <c r="T624" i="2"/>
  <c r="F624" i="2"/>
  <c r="Z623" i="2"/>
  <c r="W623" i="2"/>
  <c r="X623" i="2" s="1"/>
  <c r="T623" i="2"/>
  <c r="R623" i="2"/>
  <c r="F623" i="2"/>
  <c r="Z622" i="2"/>
  <c r="W622" i="2"/>
  <c r="X622" i="2" s="1"/>
  <c r="R622" i="2"/>
  <c r="F622" i="2"/>
  <c r="Z621" i="2"/>
  <c r="W621" i="2"/>
  <c r="R621" i="2"/>
  <c r="F621" i="2"/>
  <c r="Z620" i="2"/>
  <c r="W620" i="2"/>
  <c r="X620" i="2" s="1"/>
  <c r="R620" i="2"/>
  <c r="Z619" i="2"/>
  <c r="W619" i="2"/>
  <c r="X619" i="2" s="1"/>
  <c r="R619" i="2"/>
  <c r="F619" i="2"/>
  <c r="Z618" i="2"/>
  <c r="W618" i="2"/>
  <c r="X618" i="2" s="1"/>
  <c r="R618" i="2"/>
  <c r="P619" i="2"/>
  <c r="Z617" i="2"/>
  <c r="W617" i="2"/>
  <c r="X617" i="2" s="1"/>
  <c r="R617" i="2"/>
  <c r="Z616" i="2"/>
  <c r="W616" i="2"/>
  <c r="X616" i="2" s="1"/>
  <c r="T616" i="2"/>
  <c r="R616" i="2"/>
  <c r="R615" i="2"/>
  <c r="W614" i="2"/>
  <c r="W613" i="2"/>
  <c r="X613" i="2" s="1"/>
  <c r="R613" i="2"/>
  <c r="M613" i="2" s="1"/>
  <c r="M31" i="7" s="1"/>
  <c r="K613" i="2"/>
  <c r="I613" i="2"/>
  <c r="W612" i="2"/>
  <c r="X612" i="2" s="1"/>
  <c r="R612" i="2"/>
  <c r="F612" i="2"/>
  <c r="F30" i="7" s="1"/>
  <c r="W611" i="2"/>
  <c r="R611" i="2"/>
  <c r="M611" i="2" s="1"/>
  <c r="M29" i="7" s="1"/>
  <c r="K611" i="2"/>
  <c r="I611" i="2"/>
  <c r="W610" i="2"/>
  <c r="X610" i="2" s="1"/>
  <c r="R610" i="2"/>
  <c r="F610" i="2"/>
  <c r="W609" i="2"/>
  <c r="X609" i="2" s="1"/>
  <c r="R609" i="2"/>
  <c r="F609" i="2"/>
  <c r="W608" i="2"/>
  <c r="X608" i="2" s="1"/>
  <c r="R608" i="2"/>
  <c r="F608" i="2"/>
  <c r="W607" i="2"/>
  <c r="X607" i="2" s="1"/>
  <c r="R607" i="2"/>
  <c r="W606" i="2"/>
  <c r="X606" i="2" s="1"/>
  <c r="R606" i="2"/>
  <c r="W605" i="2"/>
  <c r="X605" i="2" s="1"/>
  <c r="R605" i="2"/>
  <c r="M605" i="2" s="1"/>
  <c r="M21" i="7" s="1"/>
  <c r="K605" i="2"/>
  <c r="K21" i="7" s="1"/>
  <c r="I605" i="2"/>
  <c r="I21" i="7" s="1"/>
  <c r="W604" i="2"/>
  <c r="X604" i="2" s="1"/>
  <c r="R604" i="2"/>
  <c r="F604" i="2"/>
  <c r="W603" i="2"/>
  <c r="X603" i="2" s="1"/>
  <c r="R603" i="2"/>
  <c r="F603" i="2"/>
  <c r="F19" i="7" s="1"/>
  <c r="W602" i="2"/>
  <c r="X602" i="2" s="1"/>
  <c r="R602" i="2"/>
  <c r="M602" i="2" s="1"/>
  <c r="M18" i="7" s="1"/>
  <c r="K602" i="2"/>
  <c r="K18" i="7" s="1"/>
  <c r="I602" i="2"/>
  <c r="I18" i="7" s="1"/>
  <c r="H602" i="2"/>
  <c r="H18" i="7" s="1"/>
  <c r="W601" i="2"/>
  <c r="X601" i="2" s="1"/>
  <c r="R601" i="2"/>
  <c r="W600" i="2"/>
  <c r="X600" i="2" s="1"/>
  <c r="R600" i="2"/>
  <c r="F16" i="7"/>
  <c r="W599" i="2"/>
  <c r="X599" i="2" s="1"/>
  <c r="R599" i="2"/>
  <c r="W598" i="2"/>
  <c r="X598" i="2" s="1"/>
  <c r="R598" i="2"/>
  <c r="M598" i="2" s="1"/>
  <c r="Y158" i="15" s="1"/>
  <c r="K598" i="2"/>
  <c r="I598" i="2"/>
  <c r="H598" i="2"/>
  <c r="W597" i="2"/>
  <c r="X597" i="2" s="1"/>
  <c r="R597" i="2"/>
  <c r="W128" i="15"/>
  <c r="F597" i="2"/>
  <c r="W596" i="2"/>
  <c r="X596" i="2" s="1"/>
  <c r="R596" i="2"/>
  <c r="W127" i="15"/>
  <c r="F596" i="2"/>
  <c r="W595" i="2"/>
  <c r="X595" i="2" s="1"/>
  <c r="R595" i="2"/>
  <c r="W126" i="15"/>
  <c r="F595" i="2"/>
  <c r="W582" i="2"/>
  <c r="X582" i="2" s="1"/>
  <c r="M582" i="2"/>
  <c r="W581" i="2"/>
  <c r="X581" i="2" s="1"/>
  <c r="R581" i="2"/>
  <c r="W141" i="15"/>
  <c r="W580" i="2"/>
  <c r="X580" i="2" s="1"/>
  <c r="R580" i="2"/>
  <c r="X140" i="15"/>
  <c r="W140" i="15"/>
  <c r="W579" i="2"/>
  <c r="X579" i="2" s="1"/>
  <c r="R579" i="2"/>
  <c r="W139" i="15"/>
  <c r="W578" i="2"/>
  <c r="X578" i="2" s="1"/>
  <c r="R578" i="2"/>
  <c r="M578" i="2" s="1"/>
  <c r="H578" i="2"/>
  <c r="W577" i="2"/>
  <c r="X577" i="2" s="1"/>
  <c r="R577" i="2"/>
  <c r="F577" i="2"/>
  <c r="W576" i="2"/>
  <c r="X576" i="2" s="1"/>
  <c r="R576" i="2"/>
  <c r="F576" i="2"/>
  <c r="W575" i="2"/>
  <c r="X575" i="2" s="1"/>
  <c r="R575" i="2"/>
  <c r="W574" i="2"/>
  <c r="X574" i="2" s="1"/>
  <c r="R574" i="2"/>
  <c r="W573" i="2"/>
  <c r="X573" i="2" s="1"/>
  <c r="R573" i="2"/>
  <c r="W572" i="2"/>
  <c r="X572" i="2" s="1"/>
  <c r="R572" i="2"/>
  <c r="W563" i="2"/>
  <c r="X563" i="2" s="1"/>
  <c r="R563" i="2"/>
  <c r="I563" i="2"/>
  <c r="H563" i="2"/>
  <c r="W562" i="2"/>
  <c r="X562" i="2" s="1"/>
  <c r="R562" i="2"/>
  <c r="W561" i="2"/>
  <c r="X561" i="2" s="1"/>
  <c r="R561" i="2"/>
  <c r="W560" i="2"/>
  <c r="X560" i="2" s="1"/>
  <c r="R560" i="2"/>
  <c r="M560" i="2" s="1"/>
  <c r="H560" i="2"/>
  <c r="W559" i="2"/>
  <c r="X559" i="2" s="1"/>
  <c r="R559" i="2"/>
  <c r="W543" i="2"/>
  <c r="X543" i="2" s="1"/>
  <c r="R543" i="2"/>
  <c r="W156" i="15"/>
  <c r="W158" i="15" s="1"/>
  <c r="W542" i="2"/>
  <c r="X542" i="2" s="1"/>
  <c r="R542" i="2"/>
  <c r="W541" i="2"/>
  <c r="R541" i="2"/>
  <c r="M541" i="2" s="1"/>
  <c r="X540" i="2"/>
  <c r="R540" i="2"/>
  <c r="F540" i="2"/>
  <c r="X525" i="2"/>
  <c r="R525" i="2"/>
  <c r="M525" i="2" s="1"/>
  <c r="K525" i="2"/>
  <c r="H525" i="2"/>
  <c r="X524" i="2"/>
  <c r="R524" i="2"/>
  <c r="W133" i="15"/>
  <c r="I524" i="2"/>
  <c r="F524" i="2"/>
  <c r="X522" i="2"/>
  <c r="R522" i="2"/>
  <c r="X131" i="15"/>
  <c r="W131" i="15"/>
  <c r="X521" i="2"/>
  <c r="R521" i="2"/>
  <c r="X130" i="15"/>
  <c r="W130" i="15"/>
  <c r="X520" i="2"/>
  <c r="H520" i="2"/>
  <c r="W519" i="2"/>
  <c r="X519" i="2" s="1"/>
  <c r="R519" i="2"/>
  <c r="F519" i="2"/>
  <c r="W518" i="2"/>
  <c r="X518" i="2" s="1"/>
  <c r="R518" i="2"/>
  <c r="F518" i="2"/>
  <c r="W517" i="2"/>
  <c r="X517" i="2" s="1"/>
  <c r="R517" i="2"/>
  <c r="F517" i="2"/>
  <c r="W516" i="2"/>
  <c r="X516" i="2" s="1"/>
  <c r="R516" i="2"/>
  <c r="W515" i="2"/>
  <c r="X515" i="2" s="1"/>
  <c r="R515" i="2"/>
  <c r="W514" i="2"/>
  <c r="X514" i="2" s="1"/>
  <c r="R514" i="2"/>
  <c r="W513" i="2"/>
  <c r="X513" i="2" s="1"/>
  <c r="R513" i="2"/>
  <c r="W512" i="2"/>
  <c r="R512" i="2"/>
  <c r="M512" i="2" s="1"/>
  <c r="H512" i="2"/>
  <c r="W511" i="2"/>
  <c r="X511" i="2" s="1"/>
  <c r="R511" i="2"/>
  <c r="F511" i="2"/>
  <c r="W506" i="2"/>
  <c r="X506" i="2" s="1"/>
  <c r="R506" i="2"/>
  <c r="W505" i="2"/>
  <c r="X505" i="2" s="1"/>
  <c r="W504" i="2"/>
  <c r="X504" i="2" s="1"/>
  <c r="W503" i="2"/>
  <c r="X503" i="2" s="1"/>
  <c r="W502" i="2"/>
  <c r="X502" i="2" s="1"/>
  <c r="R502" i="2"/>
  <c r="W501" i="2"/>
  <c r="X501" i="2" s="1"/>
  <c r="R501" i="2"/>
  <c r="W500" i="2"/>
  <c r="X500" i="2" s="1"/>
  <c r="R500" i="2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R492" i="2"/>
  <c r="H492" i="2"/>
  <c r="W491" i="2"/>
  <c r="X491" i="2" s="1"/>
  <c r="R491" i="2"/>
  <c r="F491" i="2"/>
  <c r="W472" i="2"/>
  <c r="X472" i="2" s="1"/>
  <c r="R472" i="2"/>
  <c r="W471" i="2"/>
  <c r="X471" i="2" s="1"/>
  <c r="R471" i="2"/>
  <c r="W470" i="2"/>
  <c r="X470" i="2" s="1"/>
  <c r="R470" i="2"/>
  <c r="W469" i="2"/>
  <c r="X469" i="2" s="1"/>
  <c r="R469" i="2"/>
  <c r="W468" i="2"/>
  <c r="R468" i="2"/>
  <c r="M468" i="2" s="1"/>
  <c r="H468" i="2"/>
  <c r="W467" i="2"/>
  <c r="X467" i="2" s="1"/>
  <c r="R467" i="2"/>
  <c r="F467" i="2"/>
  <c r="W466" i="2"/>
  <c r="X466" i="2" s="1"/>
  <c r="R466" i="2"/>
  <c r="F466" i="2"/>
  <c r="W463" i="2"/>
  <c r="X463" i="2" s="1"/>
  <c r="R463" i="2"/>
  <c r="W462" i="2"/>
  <c r="X462" i="2" s="1"/>
  <c r="R462" i="2"/>
  <c r="W461" i="2"/>
  <c r="X461" i="2" s="1"/>
  <c r="R461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M457" i="2" s="1"/>
  <c r="H457" i="2"/>
  <c r="W456" i="2"/>
  <c r="X456" i="2" s="1"/>
  <c r="F456" i="2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R448" i="2"/>
  <c r="M448" i="2" s="1"/>
  <c r="H448" i="2"/>
  <c r="W447" i="2"/>
  <c r="X447" i="2" s="1"/>
  <c r="R447" i="2"/>
  <c r="F447" i="2"/>
  <c r="W446" i="2"/>
  <c r="X446" i="2" s="1"/>
  <c r="R446" i="2"/>
  <c r="F446" i="2"/>
  <c r="W445" i="2"/>
  <c r="X445" i="2" s="1"/>
  <c r="R445" i="2"/>
  <c r="W444" i="2"/>
  <c r="X444" i="2" s="1"/>
  <c r="R444" i="2"/>
  <c r="W443" i="2"/>
  <c r="X443" i="2" s="1"/>
  <c r="R443" i="2"/>
  <c r="W442" i="2"/>
  <c r="X442" i="2" s="1"/>
  <c r="R442" i="2"/>
  <c r="M442" i="2" s="1"/>
  <c r="H442" i="2"/>
  <c r="W441" i="2"/>
  <c r="X441" i="2" s="1"/>
  <c r="R441" i="2"/>
  <c r="F441" i="2"/>
  <c r="W438" i="2"/>
  <c r="X438" i="2" s="1"/>
  <c r="R438" i="2"/>
  <c r="W437" i="2"/>
  <c r="X437" i="2" s="1"/>
  <c r="R437" i="2"/>
  <c r="W436" i="2"/>
  <c r="X436" i="2" s="1"/>
  <c r="R436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409" i="2" l="1"/>
  <c r="L409" i="2" s="1"/>
  <c r="K343" i="2"/>
  <c r="K344" i="2"/>
  <c r="K575" i="2"/>
  <c r="K654" i="2"/>
  <c r="K655" i="2"/>
  <c r="K690" i="2"/>
  <c r="K1220" i="2"/>
  <c r="K1219" i="2"/>
  <c r="K1218" i="2"/>
  <c r="K1199" i="2"/>
  <c r="K683" i="2"/>
  <c r="K1037" i="2"/>
  <c r="K695" i="2"/>
  <c r="K694" i="2"/>
  <c r="K693" i="2"/>
  <c r="K692" i="2"/>
  <c r="K691" i="2"/>
  <c r="K684" i="2"/>
  <c r="K474" i="2"/>
  <c r="K473" i="2"/>
  <c r="K481" i="2"/>
  <c r="L481" i="2" s="1"/>
  <c r="K475" i="2"/>
  <c r="K477" i="2"/>
  <c r="K480" i="2"/>
  <c r="K476" i="2"/>
  <c r="K479" i="2"/>
  <c r="L479" i="2" s="1"/>
  <c r="K482" i="2"/>
  <c r="L482" i="2" s="1"/>
  <c r="K342" i="2"/>
  <c r="K478" i="2"/>
  <c r="L478" i="2" s="1"/>
  <c r="K410" i="2"/>
  <c r="L410" i="2" s="1"/>
  <c r="K682" i="2"/>
  <c r="K1198" i="2"/>
  <c r="K1922" i="2"/>
  <c r="K1358" i="2"/>
  <c r="K1923" i="2"/>
  <c r="K1920" i="2"/>
  <c r="K1357" i="2"/>
  <c r="K1315" i="2"/>
  <c r="K1314" i="2"/>
  <c r="K1313" i="2"/>
  <c r="K1312" i="2"/>
  <c r="K1288" i="2"/>
  <c r="K1289" i="2"/>
  <c r="K501" i="2"/>
  <c r="L501" i="2" s="1"/>
  <c r="K1921" i="2"/>
  <c r="K807" i="2"/>
  <c r="K471" i="2"/>
  <c r="K469" i="2"/>
  <c r="K470" i="2"/>
  <c r="K472" i="2"/>
  <c r="K1550" i="2"/>
  <c r="K725" i="2"/>
  <c r="K1510" i="2"/>
  <c r="L1510" i="2" s="1"/>
  <c r="K1562" i="2"/>
  <c r="L1562" i="2" s="1"/>
  <c r="K1557" i="2"/>
  <c r="L1557" i="2" s="1"/>
  <c r="K1537" i="2"/>
  <c r="L1537" i="2" s="1"/>
  <c r="L1314" i="2"/>
  <c r="L408" i="2"/>
  <c r="K406" i="2"/>
  <c r="K405" i="2"/>
  <c r="K404" i="2"/>
  <c r="K403" i="2"/>
  <c r="K1885" i="2"/>
  <c r="K1864" i="2"/>
  <c r="L1864" i="2" s="1"/>
  <c r="K1561" i="2"/>
  <c r="K1426" i="2"/>
  <c r="L1426" i="2" s="1"/>
  <c r="K1924" i="2"/>
  <c r="L1924" i="2" s="1"/>
  <c r="K1617" i="2"/>
  <c r="K1616" i="2"/>
  <c r="K1615" i="2"/>
  <c r="K939" i="2"/>
  <c r="L939" i="2" s="1"/>
  <c r="K938" i="2"/>
  <c r="L879" i="2"/>
  <c r="L684" i="2"/>
  <c r="K685" i="2"/>
  <c r="L685" i="2" s="1"/>
  <c r="K1551" i="2"/>
  <c r="L1551" i="2" s="1"/>
  <c r="K881" i="2"/>
  <c r="K1783" i="2"/>
  <c r="K1782" i="2"/>
  <c r="K1054" i="2"/>
  <c r="K673" i="2"/>
  <c r="L673" i="2" s="1"/>
  <c r="K674" i="2"/>
  <c r="K630" i="2"/>
  <c r="K1872" i="2"/>
  <c r="L1872" i="2" s="1"/>
  <c r="K1871" i="2"/>
  <c r="K1200" i="2"/>
  <c r="K1504" i="2"/>
  <c r="L1504" i="2" s="1"/>
  <c r="K1503" i="2"/>
  <c r="K1207" i="2"/>
  <c r="L693" i="2"/>
  <c r="L691" i="2"/>
  <c r="K1206" i="2"/>
  <c r="L1206" i="2" s="1"/>
  <c r="K656" i="2"/>
  <c r="K1205" i="2"/>
  <c r="L1205" i="2" s="1"/>
  <c r="L695" i="2"/>
  <c r="K1946" i="2"/>
  <c r="K1945" i="2"/>
  <c r="K1947" i="2"/>
  <c r="K1944" i="2"/>
  <c r="H1957" i="2"/>
  <c r="K1526" i="2"/>
  <c r="L1526" i="2" s="1"/>
  <c r="K1525" i="2"/>
  <c r="K1515" i="2"/>
  <c r="L1515" i="2" s="1"/>
  <c r="K1536" i="2"/>
  <c r="L1536" i="2" s="1"/>
  <c r="Y784" i="2"/>
  <c r="Z784" i="2" s="1"/>
  <c r="L502" i="2"/>
  <c r="K1545" i="2"/>
  <c r="K458" i="2"/>
  <c r="K459" i="2"/>
  <c r="K460" i="2"/>
  <c r="K1797" i="2"/>
  <c r="K1798" i="2"/>
  <c r="K1796" i="2"/>
  <c r="K1509" i="2"/>
  <c r="L1509" i="2" s="1"/>
  <c r="L1313" i="2"/>
  <c r="L692" i="2"/>
  <c r="K360" i="2"/>
  <c r="K696" i="2"/>
  <c r="L696" i="2" s="1"/>
  <c r="K949" i="2"/>
  <c r="K1948" i="2"/>
  <c r="K1943" i="2"/>
  <c r="K1942" i="2"/>
  <c r="K1234" i="2"/>
  <c r="L1234" i="2" s="1"/>
  <c r="K1143" i="2"/>
  <c r="L1143" i="2" s="1"/>
  <c r="K1142" i="2"/>
  <c r="K1579" i="2"/>
  <c r="K461" i="2"/>
  <c r="K1527" i="2"/>
  <c r="L1527" i="2" s="1"/>
  <c r="K1950" i="2"/>
  <c r="K1949" i="2"/>
  <c r="K770" i="2"/>
  <c r="K1618" i="2"/>
  <c r="L1618" i="2" s="1"/>
  <c r="K905" i="2"/>
  <c r="L905" i="2" s="1"/>
  <c r="K1508" i="2"/>
  <c r="K1493" i="2"/>
  <c r="K657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3" i="2"/>
  <c r="K1952" i="2"/>
  <c r="L1952" i="2" s="1"/>
  <c r="K1953" i="2"/>
  <c r="L1953" i="2" s="1"/>
  <c r="K1377" i="2"/>
  <c r="K1552" i="2"/>
  <c r="L1552" i="2" s="1"/>
  <c r="K894" i="2"/>
  <c r="L894" i="2" s="1"/>
  <c r="K895" i="2"/>
  <c r="L895" i="2" s="1"/>
  <c r="K1498" i="2"/>
  <c r="K1304" i="2"/>
  <c r="K1306" i="2"/>
  <c r="K1305" i="2"/>
  <c r="K1307" i="2"/>
  <c r="O1941" i="2"/>
  <c r="K658" i="2"/>
  <c r="K1125" i="2"/>
  <c r="K1208" i="2"/>
  <c r="K1940" i="2"/>
  <c r="K1939" i="2"/>
  <c r="L1939" i="2" s="1"/>
  <c r="K1938" i="2"/>
  <c r="K1520" i="2"/>
  <c r="L1520" i="2" s="1"/>
  <c r="K1519" i="2"/>
  <c r="K675" i="2"/>
  <c r="K632" i="2"/>
  <c r="K631" i="2"/>
  <c r="K1925" i="2"/>
  <c r="L1925" i="2" s="1"/>
  <c r="K1494" i="2"/>
  <c r="L1494" i="2" s="1"/>
  <c r="K1521" i="2"/>
  <c r="L1521" i="2" s="1"/>
  <c r="K1546" i="2"/>
  <c r="L1546" i="2" s="1"/>
  <c r="K302" i="2"/>
  <c r="L302" i="2" s="1"/>
  <c r="K452" i="2"/>
  <c r="K303" i="2"/>
  <c r="K453" i="2"/>
  <c r="K781" i="2"/>
  <c r="K780" i="2"/>
  <c r="K650" i="2"/>
  <c r="H111" i="2"/>
  <c r="K1126" i="2"/>
  <c r="K1631" i="2"/>
  <c r="L1631" i="2" s="1"/>
  <c r="K1632" i="2"/>
  <c r="K1769" i="2"/>
  <c r="L1769" i="2" s="1"/>
  <c r="K1770" i="2"/>
  <c r="L1770" i="2" s="1"/>
  <c r="K1398" i="2"/>
  <c r="O1565" i="2"/>
  <c r="O1560" i="2"/>
  <c r="K1308" i="2"/>
  <c r="L1308" i="2" s="1"/>
  <c r="K454" i="2"/>
  <c r="L454" i="2" s="1"/>
  <c r="K845" i="2"/>
  <c r="L845" i="2" s="1"/>
  <c r="K771" i="2"/>
  <c r="K978" i="2"/>
  <c r="K1564" i="2"/>
  <c r="K1563" i="2"/>
  <c r="K1556" i="2"/>
  <c r="K1559" i="2"/>
  <c r="K1558" i="2"/>
  <c r="K626" i="2"/>
  <c r="K90" i="7" s="1"/>
  <c r="K659" i="2"/>
  <c r="K1704" i="2"/>
  <c r="K1703" i="2"/>
  <c r="K1670" i="2"/>
  <c r="L1670" i="2" s="1"/>
  <c r="K1592" i="2"/>
  <c r="K444" i="2"/>
  <c r="K676" i="2"/>
  <c r="K1124" i="2"/>
  <c r="K1863" i="2"/>
  <c r="K835" i="2"/>
  <c r="O314" i="2"/>
  <c r="K1127" i="2"/>
  <c r="K985" i="2"/>
  <c r="L985" i="2" s="1"/>
  <c r="K500" i="2"/>
  <c r="K836" i="2"/>
  <c r="K762" i="2"/>
  <c r="K1951" i="2"/>
  <c r="K914" i="2"/>
  <c r="L914" i="2" s="1"/>
  <c r="K913" i="2"/>
  <c r="L913" i="2" s="1"/>
  <c r="K1705" i="2"/>
  <c r="K660" i="2"/>
  <c r="K1784" i="2"/>
  <c r="K1328" i="2"/>
  <c r="K1790" i="2"/>
  <c r="K991" i="2"/>
  <c r="L546" i="2"/>
  <c r="K772" i="2"/>
  <c r="K1329" i="2"/>
  <c r="O1595" i="2"/>
  <c r="K1594" i="2"/>
  <c r="K1593" i="2"/>
  <c r="K1011" i="2"/>
  <c r="K1886" i="2"/>
  <c r="K1660" i="2"/>
  <c r="L1660" i="2" s="1"/>
  <c r="K1061" i="2"/>
  <c r="K783" i="2"/>
  <c r="K1887" i="2"/>
  <c r="L1887" i="2" s="1"/>
  <c r="K1707" i="2"/>
  <c r="L1707" i="2" s="1"/>
  <c r="K1708" i="2"/>
  <c r="K1706" i="2"/>
  <c r="L1706" i="2" s="1"/>
  <c r="K627" i="2"/>
  <c r="K91" i="7" s="1"/>
  <c r="K111" i="2"/>
  <c r="K1633" i="2"/>
  <c r="L1633" i="2" s="1"/>
  <c r="O61" i="2"/>
  <c r="K907" i="2"/>
  <c r="K1303" i="2"/>
  <c r="L1303" i="2" s="1"/>
  <c r="K906" i="2"/>
  <c r="L906" i="2" s="1"/>
  <c r="L505" i="2"/>
  <c r="L504" i="2"/>
  <c r="K1818" i="2"/>
  <c r="K301" i="2"/>
  <c r="L301" i="2" s="1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9" i="2"/>
  <c r="L769" i="2" s="1"/>
  <c r="K849" i="2"/>
  <c r="L849" i="2" s="1"/>
  <c r="K1144" i="2"/>
  <c r="L1144" i="2" s="1"/>
  <c r="K445" i="2"/>
  <c r="L445" i="2" s="1"/>
  <c r="K908" i="2"/>
  <c r="L908" i="2" s="1"/>
  <c r="K1799" i="2"/>
  <c r="K1327" i="2"/>
  <c r="K499" i="2"/>
  <c r="L499" i="2" s="1"/>
  <c r="K498" i="2"/>
  <c r="L498" i="2" s="1"/>
  <c r="O629" i="2"/>
  <c r="O93" i="7" s="1"/>
  <c r="K1316" i="2"/>
  <c r="L1316" i="2" s="1"/>
  <c r="K628" i="2"/>
  <c r="K92" i="7" s="1"/>
  <c r="K288" i="2"/>
  <c r="K1580" i="2"/>
  <c r="L1580" i="2" s="1"/>
  <c r="K871" i="2"/>
  <c r="L871" i="2" s="1"/>
  <c r="K497" i="2"/>
  <c r="L497" i="2" s="1"/>
  <c r="K1800" i="2"/>
  <c r="K1233" i="2"/>
  <c r="L1233" i="2" s="1"/>
  <c r="L426" i="2"/>
  <c r="H248" i="6"/>
  <c r="X817" i="2"/>
  <c r="K462" i="2"/>
  <c r="L462" i="2" s="1"/>
  <c r="K1601" i="2"/>
  <c r="L1601" i="2" s="1"/>
  <c r="K968" i="2"/>
  <c r="L968" i="2" s="1"/>
  <c r="K304" i="2"/>
  <c r="L304" i="2" s="1"/>
  <c r="K782" i="2"/>
  <c r="K334" i="2"/>
  <c r="L334" i="2" s="1"/>
  <c r="K576" i="2"/>
  <c r="L576" i="2" s="1"/>
  <c r="K768" i="2"/>
  <c r="K763" i="2"/>
  <c r="L763" i="2" s="1"/>
  <c r="K1204" i="2"/>
  <c r="L1204" i="2" s="1"/>
  <c r="K633" i="2"/>
  <c r="L633" i="2" s="1"/>
  <c r="L1037" i="2"/>
  <c r="O1147" i="2"/>
  <c r="K1145" i="2"/>
  <c r="L1145" i="2" s="1"/>
  <c r="K1146" i="2"/>
  <c r="L690" i="2"/>
  <c r="L1871" i="2"/>
  <c r="K333" i="2"/>
  <c r="L333" i="2" s="1"/>
  <c r="K332" i="2"/>
  <c r="K402" i="2"/>
  <c r="O1555" i="2"/>
  <c r="K1850" i="2"/>
  <c r="L1850" i="2" s="1"/>
  <c r="K574" i="2"/>
  <c r="K806" i="2"/>
  <c r="K1554" i="2"/>
  <c r="K1553" i="2"/>
  <c r="K463" i="2"/>
  <c r="L463" i="2" s="1"/>
  <c r="K464" i="2"/>
  <c r="L464" i="2" s="1"/>
  <c r="K937" i="2"/>
  <c r="L937" i="2" s="1"/>
  <c r="K1339" i="2"/>
  <c r="K483" i="2"/>
  <c r="L483" i="2" s="1"/>
  <c r="K543" i="2"/>
  <c r="L543" i="2" s="1"/>
  <c r="K814" i="2"/>
  <c r="K672" i="2"/>
  <c r="L672" i="2" s="1"/>
  <c r="K1661" i="2"/>
  <c r="L1661" i="2" s="1"/>
  <c r="K948" i="2"/>
  <c r="K945" i="2"/>
  <c r="K287" i="2"/>
  <c r="K874" i="2"/>
  <c r="L874" i="2" s="1"/>
  <c r="K947" i="2"/>
  <c r="L947" i="2" s="1"/>
  <c r="L50" i="7" s="1"/>
  <c r="K946" i="2"/>
  <c r="K489" i="2"/>
  <c r="L489" i="2" s="1"/>
  <c r="K487" i="2"/>
  <c r="L487" i="2" s="1"/>
  <c r="K488" i="2"/>
  <c r="L488" i="2" s="1"/>
  <c r="K486" i="2"/>
  <c r="L486" i="2" s="1"/>
  <c r="K485" i="2"/>
  <c r="L485" i="2" s="1"/>
  <c r="O293" i="2"/>
  <c r="K1874" i="2"/>
  <c r="L1874" i="2" s="1"/>
  <c r="K484" i="2"/>
  <c r="L484" i="2" s="1"/>
  <c r="K904" i="2"/>
  <c r="L904" i="2" s="1"/>
  <c r="K1873" i="2"/>
  <c r="L1873" i="2" s="1"/>
  <c r="L427" i="2"/>
  <c r="K1294" i="2"/>
  <c r="L1294" i="2" s="1"/>
  <c r="O833" i="2"/>
  <c r="K829" i="2"/>
  <c r="O1587" i="2"/>
  <c r="P247" i="6" s="1"/>
  <c r="O983" i="2"/>
  <c r="O705" i="2"/>
  <c r="K1584" i="2"/>
  <c r="L244" i="6" s="1"/>
  <c r="K1585" i="2"/>
  <c r="L245" i="6" s="1"/>
  <c r="K1586" i="2"/>
  <c r="L246" i="6" s="1"/>
  <c r="K1424" i="2"/>
  <c r="L1424" i="2" s="1"/>
  <c r="K542" i="2"/>
  <c r="K634" i="2"/>
  <c r="L634" i="2" s="1"/>
  <c r="K896" i="2"/>
  <c r="L896" i="2" s="1"/>
  <c r="K723" i="2"/>
  <c r="L723" i="2" s="1"/>
  <c r="K1473" i="2"/>
  <c r="L1473" i="2" s="1"/>
  <c r="K1474" i="2"/>
  <c r="K1472" i="2"/>
  <c r="K813" i="2"/>
  <c r="K490" i="2"/>
  <c r="L490" i="2" s="1"/>
  <c r="K1425" i="2"/>
  <c r="L1425" i="2" s="1"/>
  <c r="K465" i="2"/>
  <c r="L465" i="2" s="1"/>
  <c r="K1915" i="2"/>
  <c r="L1915" i="2" s="1"/>
  <c r="K1149" i="2"/>
  <c r="L1149" i="2" s="1"/>
  <c r="K1878" i="2"/>
  <c r="L1878" i="2" s="1"/>
  <c r="K1340" i="2"/>
  <c r="K331" i="2"/>
  <c r="L331" i="2" s="1"/>
  <c r="K808" i="2"/>
  <c r="O1549" i="2"/>
  <c r="K1128" i="2"/>
  <c r="K1271" i="2"/>
  <c r="K1270" i="2"/>
  <c r="K1548" i="2"/>
  <c r="K1547" i="2"/>
  <c r="K496" i="2"/>
  <c r="L496" i="2" s="1"/>
  <c r="K1671" i="2"/>
  <c r="L1671" i="2" s="1"/>
  <c r="K446" i="2"/>
  <c r="L446" i="2" s="1"/>
  <c r="O1591" i="2"/>
  <c r="O1544" i="2"/>
  <c r="K1914" i="2"/>
  <c r="L1914" i="2" s="1"/>
  <c r="K1431" i="2"/>
  <c r="K1916" i="2"/>
  <c r="L1916" i="2" s="1"/>
  <c r="K1543" i="2"/>
  <c r="K1541" i="2"/>
  <c r="K1542" i="2"/>
  <c r="S1292" i="2"/>
  <c r="M1292" i="2" s="1"/>
  <c r="O1513" i="2"/>
  <c r="O1540" i="2"/>
  <c r="O1534" i="2"/>
  <c r="K1847" i="2"/>
  <c r="L1847" i="2" s="1"/>
  <c r="K1511" i="2"/>
  <c r="K1533" i="2"/>
  <c r="K1531" i="2"/>
  <c r="K1532" i="2"/>
  <c r="K1512" i="2"/>
  <c r="K1539" i="2"/>
  <c r="K1538" i="2"/>
  <c r="K1535" i="2"/>
  <c r="K1763" i="2"/>
  <c r="L1763" i="2" s="1"/>
  <c r="K972" i="2"/>
  <c r="K671" i="2"/>
  <c r="L671" i="2" s="1"/>
  <c r="K1378" i="2"/>
  <c r="L1378" i="2" s="1"/>
  <c r="K1376" i="2"/>
  <c r="K1379" i="2"/>
  <c r="L1379" i="2" s="1"/>
  <c r="K1380" i="2"/>
  <c r="L1380" i="2" s="1"/>
  <c r="X1289" i="2"/>
  <c r="X1292" i="2"/>
  <c r="K495" i="2"/>
  <c r="L495" i="2" s="1"/>
  <c r="K689" i="2"/>
  <c r="L689" i="2" s="1"/>
  <c r="K1272" i="2"/>
  <c r="K1620" i="2"/>
  <c r="L1620" i="2" s="1"/>
  <c r="K1619" i="2"/>
  <c r="L1619" i="2" s="1"/>
  <c r="K912" i="2"/>
  <c r="L912" i="2" s="1"/>
  <c r="K494" i="2"/>
  <c r="O1009" i="2"/>
  <c r="K1053" i="2"/>
  <c r="K1148" i="2"/>
  <c r="K1038" i="2"/>
  <c r="L1038" i="2" s="1"/>
  <c r="K1420" i="2"/>
  <c r="L1420" i="2" s="1"/>
  <c r="K1419" i="2"/>
  <c r="L1419" i="2" s="1"/>
  <c r="K1418" i="2"/>
  <c r="L1418" i="2" s="1"/>
  <c r="K962" i="2"/>
  <c r="K963" i="2"/>
  <c r="K1892" i="2"/>
  <c r="L1892" i="2" s="1"/>
  <c r="K1891" i="2"/>
  <c r="L1891" i="2" s="1"/>
  <c r="K1003" i="2"/>
  <c r="K1008" i="2"/>
  <c r="K1004" i="2"/>
  <c r="L1004" i="2" s="1"/>
  <c r="K1006" i="2"/>
  <c r="L1006" i="2" s="1"/>
  <c r="K1007" i="2"/>
  <c r="L1007" i="2" s="1"/>
  <c r="K1005" i="2"/>
  <c r="L1005" i="2" s="1"/>
  <c r="K996" i="2"/>
  <c r="K1421" i="2"/>
  <c r="L1421" i="2" s="1"/>
  <c r="K1893" i="2"/>
  <c r="L1893" i="2" s="1"/>
  <c r="K1894" i="2"/>
  <c r="L1894" i="2" s="1"/>
  <c r="K307" i="2"/>
  <c r="K466" i="2"/>
  <c r="L466" i="2" s="1"/>
  <c r="K1673" i="2"/>
  <c r="L1673" i="2" s="1"/>
  <c r="K918" i="2"/>
  <c r="L918" i="2" s="1"/>
  <c r="K917" i="2"/>
  <c r="L917" i="2" s="1"/>
  <c r="K916" i="2"/>
  <c r="L916" i="2" s="1"/>
  <c r="K915" i="2"/>
  <c r="L915" i="2" s="1"/>
  <c r="K1663" i="2"/>
  <c r="L1663" i="2" s="1"/>
  <c r="K1664" i="2"/>
  <c r="L1664" i="2" s="1"/>
  <c r="K1662" i="2"/>
  <c r="L1662" i="2" s="1"/>
  <c r="K1665" i="2"/>
  <c r="L1665" i="2" s="1"/>
  <c r="K1381" i="2"/>
  <c r="L1381" i="2" s="1"/>
  <c r="M209" i="2"/>
  <c r="M225" i="2" s="1"/>
  <c r="K1588" i="2"/>
  <c r="K1589" i="2"/>
  <c r="K1575" i="2"/>
  <c r="L1575" i="2" s="1"/>
  <c r="K1590" i="2"/>
  <c r="K1060" i="2"/>
  <c r="K1879" i="2"/>
  <c r="L1879" i="2" s="1"/>
  <c r="L348" i="2"/>
  <c r="K984" i="2"/>
  <c r="K1430" i="2"/>
  <c r="L1430" i="2" s="1"/>
  <c r="K670" i="2"/>
  <c r="L670" i="2" s="1"/>
  <c r="K1896" i="2"/>
  <c r="L1896" i="2" s="1"/>
  <c r="K1895" i="2"/>
  <c r="L1895" i="2" s="1"/>
  <c r="O1583" i="2"/>
  <c r="K1581" i="2"/>
  <c r="K1582" i="2"/>
  <c r="K305" i="2"/>
  <c r="L305" i="2" s="1"/>
  <c r="K920" i="2"/>
  <c r="L920" i="2" s="1"/>
  <c r="K921" i="2"/>
  <c r="L921" i="2" s="1"/>
  <c r="K922" i="2"/>
  <c r="L922" i="2" s="1"/>
  <c r="K923" i="2"/>
  <c r="L923" i="2" s="1"/>
  <c r="K925" i="2"/>
  <c r="L925" i="2" s="1"/>
  <c r="K924" i="2"/>
  <c r="L924" i="2" s="1"/>
  <c r="K919" i="2"/>
  <c r="L919" i="2" s="1"/>
  <c r="K1897" i="2"/>
  <c r="L1897" i="2" s="1"/>
  <c r="K1898" i="2"/>
  <c r="L1898" i="2" s="1"/>
  <c r="K1232" i="2"/>
  <c r="L1232" i="2" s="1"/>
  <c r="K761" i="2"/>
  <c r="L761" i="2" s="1"/>
  <c r="K992" i="2"/>
  <c r="K1026" i="2"/>
  <c r="K528" i="2"/>
  <c r="K530" i="2"/>
  <c r="L530" i="2" s="1"/>
  <c r="K529" i="2"/>
  <c r="K527" i="2"/>
  <c r="K411" i="2"/>
  <c r="K412" i="2"/>
  <c r="L412" i="2" s="1"/>
  <c r="K413" i="2"/>
  <c r="L413" i="2" s="1"/>
  <c r="K414" i="2"/>
  <c r="L414" i="2" s="1"/>
  <c r="L1358" i="2"/>
  <c r="K1397" i="2"/>
  <c r="L1397" i="2" s="1"/>
  <c r="K415" i="2"/>
  <c r="L415" i="2" s="1"/>
  <c r="K998" i="2"/>
  <c r="K649" i="2"/>
  <c r="K1834" i="2"/>
  <c r="L1834" i="2" s="1"/>
  <c r="L531" i="2"/>
  <c r="K417" i="2"/>
  <c r="L417" i="2" s="1"/>
  <c r="K418" i="2"/>
  <c r="L418" i="2" s="1"/>
  <c r="K419" i="2"/>
  <c r="L419" i="2" s="1"/>
  <c r="K420" i="2"/>
  <c r="L420" i="2" s="1"/>
  <c r="K421" i="2"/>
  <c r="L421" i="2" s="1"/>
  <c r="L507" i="2"/>
  <c r="K416" i="2"/>
  <c r="L416" i="2" s="1"/>
  <c r="K455" i="2"/>
  <c r="L455" i="2" s="1"/>
  <c r="L349" i="2"/>
  <c r="K944" i="2"/>
  <c r="K821" i="2"/>
  <c r="K820" i="2"/>
  <c r="K819" i="2"/>
  <c r="K1293" i="2"/>
  <c r="L1293" i="2" s="1"/>
  <c r="O1578" i="2"/>
  <c r="O1573" i="2"/>
  <c r="K1253" i="2"/>
  <c r="L1253" i="2" s="1"/>
  <c r="K1577" i="2"/>
  <c r="K1576" i="2"/>
  <c r="K1570" i="2"/>
  <c r="K1574" i="2"/>
  <c r="K1571" i="2"/>
  <c r="K1572" i="2"/>
  <c r="K999" i="2"/>
  <c r="K837" i="2"/>
  <c r="R1957" i="2"/>
  <c r="X1" i="2" s="1"/>
  <c r="R614" i="2"/>
  <c r="X2" i="2" s="1"/>
  <c r="O229" i="2"/>
  <c r="K1094" i="2"/>
  <c r="M239" i="2"/>
  <c r="O1956" i="2"/>
  <c r="K1955" i="2"/>
  <c r="K1954" i="2"/>
  <c r="L1954" i="2" s="1"/>
  <c r="K1602" i="2"/>
  <c r="L1602" i="2" s="1"/>
  <c r="K1254" i="2"/>
  <c r="L1254" i="2" s="1"/>
  <c r="K773" i="2"/>
  <c r="L773" i="2" s="1"/>
  <c r="K1855" i="2"/>
  <c r="L1855" i="2" s="1"/>
  <c r="R1600" i="2"/>
  <c r="X3" i="2" s="1"/>
  <c r="K979" i="2"/>
  <c r="L979" i="2" s="1"/>
  <c r="K981" i="2"/>
  <c r="L981" i="2" s="1"/>
  <c r="K982" i="2"/>
  <c r="K980" i="2"/>
  <c r="L980" i="2" s="1"/>
  <c r="K815" i="2"/>
  <c r="O1569" i="2"/>
  <c r="K1567" i="2"/>
  <c r="K1568" i="2"/>
  <c r="K1309" i="2"/>
  <c r="L1309" i="2" s="1"/>
  <c r="K1566" i="2"/>
  <c r="M61" i="2"/>
  <c r="M88" i="2" s="1"/>
  <c r="O989" i="2"/>
  <c r="K878" i="2"/>
  <c r="K986" i="2"/>
  <c r="L986" i="2" s="1"/>
  <c r="K987" i="2"/>
  <c r="L987" i="2" s="1"/>
  <c r="K988" i="2"/>
  <c r="O977" i="2"/>
  <c r="O1518" i="2"/>
  <c r="O1507" i="2"/>
  <c r="O1497" i="2"/>
  <c r="O1502" i="2"/>
  <c r="O1530" i="2"/>
  <c r="O251" i="2"/>
  <c r="O1524" i="2"/>
  <c r="K973" i="2"/>
  <c r="L973" i="2" s="1"/>
  <c r="K976" i="2"/>
  <c r="K975" i="2"/>
  <c r="L975" i="2" s="1"/>
  <c r="K974" i="2"/>
  <c r="L974" i="2" s="1"/>
  <c r="K1505" i="2"/>
  <c r="K1523" i="2"/>
  <c r="K1495" i="2"/>
  <c r="K1528" i="2"/>
  <c r="K1496" i="2"/>
  <c r="K1516" i="2"/>
  <c r="K1529" i="2"/>
  <c r="K1522" i="2"/>
  <c r="K1501" i="2"/>
  <c r="K1514" i="2"/>
  <c r="K1506" i="2"/>
  <c r="K1517" i="2"/>
  <c r="O1243" i="2"/>
  <c r="K1382" i="2"/>
  <c r="L1382" i="2" s="1"/>
  <c r="S775" i="2"/>
  <c r="M776" i="2" s="1"/>
  <c r="K774" i="2"/>
  <c r="L774" i="2" s="1"/>
  <c r="K1059" i="2"/>
  <c r="K1804" i="2"/>
  <c r="O1064" i="2"/>
  <c r="S1058" i="2"/>
  <c r="M1058" i="2"/>
  <c r="K1842" i="2"/>
  <c r="K812" i="2"/>
  <c r="K1252" i="2"/>
  <c r="X92" i="2"/>
  <c r="K1055" i="2"/>
  <c r="K818" i="2"/>
  <c r="K1072" i="2"/>
  <c r="O1492" i="2"/>
  <c r="K1490" i="2"/>
  <c r="K1489" i="2"/>
  <c r="K1491" i="2"/>
  <c r="Y1251" i="2"/>
  <c r="Z1251" i="2" s="1"/>
  <c r="K966" i="2"/>
  <c r="O1256" i="2"/>
  <c r="K834" i="2"/>
  <c r="L834" i="2" s="1"/>
  <c r="K1902" i="2"/>
  <c r="L1902" i="2" s="1"/>
  <c r="K1269" i="2"/>
  <c r="K1630" i="2"/>
  <c r="L1630" i="2" s="1"/>
  <c r="K1109" i="2"/>
  <c r="K1131" i="2"/>
  <c r="K1132" i="2"/>
  <c r="K1287" i="2"/>
  <c r="L1287" i="2" s="1"/>
  <c r="K778" i="2"/>
  <c r="K1724" i="2"/>
  <c r="K1337" i="2"/>
  <c r="K997" i="2"/>
  <c r="K927" i="2"/>
  <c r="L927" i="2" s="1"/>
  <c r="K928" i="2"/>
  <c r="K926" i="2"/>
  <c r="L926" i="2" s="1"/>
  <c r="K1479" i="2"/>
  <c r="L1479" i="2" s="1"/>
  <c r="K1835" i="2"/>
  <c r="L1835" i="2" s="1"/>
  <c r="M92" i="2"/>
  <c r="K1056" i="2"/>
  <c r="N145" i="6"/>
  <c r="X111" i="2"/>
  <c r="K1052" i="2"/>
  <c r="X105" i="2"/>
  <c r="K88" i="2"/>
  <c r="H88" i="2"/>
  <c r="K1193" i="2"/>
  <c r="K1785" i="2"/>
  <c r="L1785" i="2" s="1"/>
  <c r="K1191" i="2"/>
  <c r="K1192" i="2"/>
  <c r="O202" i="2"/>
  <c r="O1919" i="2"/>
  <c r="K779" i="2"/>
  <c r="K1194" i="2"/>
  <c r="L1194" i="2" s="1"/>
  <c r="M165" i="6" s="1"/>
  <c r="K1022" i="2"/>
  <c r="L1022" i="2" s="1"/>
  <c r="K1023" i="2"/>
  <c r="L1023" i="2" s="1"/>
  <c r="K1483" i="2"/>
  <c r="K1468" i="2"/>
  <c r="L1468" i="2" s="1"/>
  <c r="K1338" i="2"/>
  <c r="K1359" i="2"/>
  <c r="L1359" i="2" s="1"/>
  <c r="X286" i="2"/>
  <c r="K1360" i="2"/>
  <c r="L1360" i="2" s="1"/>
  <c r="K940" i="2"/>
  <c r="L940" i="2" s="1"/>
  <c r="K1160" i="2"/>
  <c r="K1621" i="2"/>
  <c r="L1621" i="2" s="1"/>
  <c r="K950" i="2"/>
  <c r="K1475" i="2"/>
  <c r="L1475" i="2" s="1"/>
  <c r="K1484" i="2"/>
  <c r="L1484" i="2" s="1"/>
  <c r="K1485" i="2"/>
  <c r="L1485" i="2" s="1"/>
  <c r="K1480" i="2"/>
  <c r="K1478" i="2"/>
  <c r="K1481" i="2"/>
  <c r="O1482" i="2"/>
  <c r="K1791" i="2"/>
  <c r="L1791" i="2" s="1"/>
  <c r="K1298" i="2"/>
  <c r="K1622" i="2"/>
  <c r="L1622" i="2" s="1"/>
  <c r="O1477" i="2"/>
  <c r="K1476" i="2"/>
  <c r="O1471" i="2"/>
  <c r="K1470" i="2"/>
  <c r="K1469" i="2"/>
  <c r="K1467" i="2"/>
  <c r="K677" i="2"/>
  <c r="L677" i="2" s="1"/>
  <c r="O1274" i="2"/>
  <c r="P237" i="6" s="1"/>
  <c r="K1427" i="2"/>
  <c r="F230" i="6"/>
  <c r="F228" i="6"/>
  <c r="K1247" i="2"/>
  <c r="K754" i="2"/>
  <c r="K678" i="2"/>
  <c r="L678" i="2" s="1"/>
  <c r="K1731" i="2"/>
  <c r="L1731" i="2" s="1"/>
  <c r="O1910" i="2"/>
  <c r="O1913" i="2"/>
  <c r="K1911" i="2"/>
  <c r="K1908" i="2"/>
  <c r="K686" i="2"/>
  <c r="L686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4" i="2"/>
  <c r="A930" i="2" s="1"/>
  <c r="O864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3" i="2"/>
  <c r="N1173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6" i="2"/>
  <c r="I1336" i="2"/>
  <c r="I744" i="2"/>
  <c r="L958" i="2"/>
  <c r="N958" i="2" s="1"/>
  <c r="M129" i="6"/>
  <c r="M131" i="6" s="1"/>
  <c r="A123" i="6" s="1"/>
  <c r="L1781" i="2"/>
  <c r="N1781" i="2" s="1"/>
  <c r="I391" i="2"/>
  <c r="I741" i="2"/>
  <c r="L1761" i="2"/>
  <c r="P1761" i="2" s="1"/>
  <c r="I738" i="2"/>
  <c r="M206" i="6"/>
  <c r="M207" i="6" s="1"/>
  <c r="A202" i="6" s="1"/>
  <c r="I1243" i="2"/>
  <c r="L1751" i="2"/>
  <c r="P1751" i="2" s="1"/>
  <c r="I1190" i="2"/>
  <c r="L645" i="2"/>
  <c r="N645" i="2" s="1"/>
  <c r="I1322" i="2"/>
  <c r="I733" i="2"/>
  <c r="I139" i="2"/>
  <c r="L322" i="2"/>
  <c r="N322" i="2" s="1"/>
  <c r="L1723" i="2"/>
  <c r="P1723" i="2" s="1"/>
  <c r="L1833" i="2"/>
  <c r="P1833" i="2" s="1"/>
  <c r="S1093" i="2"/>
  <c r="M1093" i="2" s="1"/>
  <c r="M1343" i="2" s="1"/>
  <c r="N201" i="6" s="1"/>
  <c r="K700" i="2"/>
  <c r="L700" i="2" s="1"/>
  <c r="K620" i="2"/>
  <c r="K1685" i="2"/>
  <c r="L1685" i="2" s="1"/>
  <c r="K1686" i="2"/>
  <c r="L1686" i="2" s="1"/>
  <c r="O97" i="2"/>
  <c r="Y621" i="2"/>
  <c r="X625" i="2"/>
  <c r="X134" i="2"/>
  <c r="X135" i="2"/>
  <c r="K1299" i="2"/>
  <c r="K1000" i="2"/>
  <c r="K1095" i="2"/>
  <c r="M286" i="2"/>
  <c r="K622" i="2"/>
  <c r="O1907" i="2"/>
  <c r="K1903" i="2"/>
  <c r="L1903" i="2" s="1"/>
  <c r="K1904" i="2"/>
  <c r="L1904" i="2" s="1"/>
  <c r="K1905" i="2"/>
  <c r="L1905" i="2" s="1"/>
  <c r="K1906" i="2"/>
  <c r="K646" i="2"/>
  <c r="K652" i="2"/>
  <c r="K647" i="2"/>
  <c r="K1246" i="2"/>
  <c r="S688" i="2"/>
  <c r="M688" i="2" s="1"/>
  <c r="K1043" i="2"/>
  <c r="L1043" i="2" s="1"/>
  <c r="K1159" i="2"/>
  <c r="I225" i="2"/>
  <c r="K225" i="2"/>
  <c r="K1870" i="2"/>
  <c r="L1870" i="2" s="1"/>
  <c r="X684" i="2"/>
  <c r="X688" i="2"/>
  <c r="K701" i="2"/>
  <c r="L701" i="2" s="1"/>
  <c r="K875" i="2"/>
  <c r="L875" i="2" s="1"/>
  <c r="K702" i="2"/>
  <c r="L702" i="2" s="1"/>
  <c r="K704" i="2"/>
  <c r="K703" i="2"/>
  <c r="L703" i="2" s="1"/>
  <c r="K635" i="2"/>
  <c r="L635" i="2" s="1"/>
  <c r="K1282" i="2"/>
  <c r="L1282" i="2" s="1"/>
  <c r="K1044" i="2"/>
  <c r="L1044" i="2" s="1"/>
  <c r="K637" i="2"/>
  <c r="L637" i="2" s="1"/>
  <c r="K636" i="2"/>
  <c r="L636" i="2" s="1"/>
  <c r="K706" i="2"/>
  <c r="L706" i="2" s="1"/>
  <c r="O1429" i="2"/>
  <c r="O711" i="2"/>
  <c r="O571" i="2"/>
  <c r="K710" i="2"/>
  <c r="K708" i="2"/>
  <c r="L708" i="2" s="1"/>
  <c r="K709" i="2"/>
  <c r="L709" i="2" s="1"/>
  <c r="K707" i="2"/>
  <c r="L707" i="2" s="1"/>
  <c r="O286" i="2"/>
  <c r="M341" i="2"/>
  <c r="O541" i="2"/>
  <c r="K1732" i="2"/>
  <c r="L1732" i="2" s="1"/>
  <c r="K1257" i="2"/>
  <c r="L1257" i="2" s="1"/>
  <c r="K1010" i="2"/>
  <c r="L1010" i="2" s="1"/>
  <c r="K1802" i="2"/>
  <c r="X340" i="2"/>
  <c r="K1432" i="2"/>
  <c r="L1432" i="2" s="1"/>
  <c r="K1711" i="2"/>
  <c r="L1711" i="2" s="1"/>
  <c r="K1623" i="2"/>
  <c r="L1623" i="2" s="1"/>
  <c r="K777" i="2"/>
  <c r="X816" i="2"/>
  <c r="K840" i="2"/>
  <c r="L840" i="2" s="1"/>
  <c r="N24" i="6"/>
  <c r="K786" i="2"/>
  <c r="L786" i="2" s="1"/>
  <c r="K1096" i="2"/>
  <c r="K1040" i="2"/>
  <c r="L1040" i="2" s="1"/>
  <c r="K679" i="2"/>
  <c r="L679" i="2" s="1"/>
  <c r="K1019" i="2"/>
  <c r="X784" i="2"/>
  <c r="K1453" i="2"/>
  <c r="T107" i="15" s="1"/>
  <c r="K621" i="2"/>
  <c r="L621" i="2" s="1"/>
  <c r="O823" i="2"/>
  <c r="P243" i="6" s="1"/>
  <c r="O184" i="2"/>
  <c r="K1455" i="2"/>
  <c r="L1455" i="2" s="1"/>
  <c r="K1457" i="2"/>
  <c r="T111" i="15" s="1"/>
  <c r="K1116" i="2"/>
  <c r="O828" i="2"/>
  <c r="O839" i="2" s="1"/>
  <c r="O722" i="2"/>
  <c r="K824" i="2"/>
  <c r="L824" i="2" s="1"/>
  <c r="X15" i="15"/>
  <c r="K713" i="2"/>
  <c r="L713" i="2" s="1"/>
  <c r="K1226" i="2"/>
  <c r="L1226" i="2" s="1"/>
  <c r="O1130" i="2"/>
  <c r="P104" i="6" s="1"/>
  <c r="K1123" i="2"/>
  <c r="K1821" i="2"/>
  <c r="L1821" i="2" s="1"/>
  <c r="K712" i="2"/>
  <c r="L712" i="2" s="1"/>
  <c r="K714" i="2"/>
  <c r="L714" i="2" s="1"/>
  <c r="K787" i="2"/>
  <c r="L787" i="2" s="1"/>
  <c r="K717" i="2"/>
  <c r="L717" i="2" s="1"/>
  <c r="K715" i="2"/>
  <c r="L715" i="2" s="1"/>
  <c r="K716" i="2"/>
  <c r="L716" i="2" s="1"/>
  <c r="K1077" i="2"/>
  <c r="K718" i="2"/>
  <c r="L718" i="2" s="1"/>
  <c r="K719" i="2"/>
  <c r="L719" i="2" s="1"/>
  <c r="K1853" i="2"/>
  <c r="L1853" i="2" s="1"/>
  <c r="K1854" i="2"/>
  <c r="L1854" i="2" s="1"/>
  <c r="K720" i="2"/>
  <c r="L720" i="2" s="1"/>
  <c r="X29" i="15"/>
  <c r="K1051" i="2"/>
  <c r="O817" i="2"/>
  <c r="P231" i="6" s="1"/>
  <c r="X28" i="15"/>
  <c r="X995" i="2"/>
  <c r="O1458" i="2"/>
  <c r="K1456" i="2"/>
  <c r="L1456" i="2" s="1"/>
  <c r="K872" i="2"/>
  <c r="L872" i="2" s="1"/>
  <c r="M995" i="2"/>
  <c r="M73" i="7" s="1"/>
  <c r="M640" i="2"/>
  <c r="X639" i="2"/>
  <c r="O567" i="2"/>
  <c r="K990" i="2"/>
  <c r="X928" i="2"/>
  <c r="K1076" i="2"/>
  <c r="X634" i="2"/>
  <c r="X635" i="2"/>
  <c r="K1276" i="2"/>
  <c r="L1276" i="2" s="1"/>
  <c r="K886" i="2"/>
  <c r="L886" i="2" s="1"/>
  <c r="H68" i="4"/>
  <c r="G69" i="4" s="1"/>
  <c r="G255" i="4" s="1"/>
  <c r="K1801" i="2"/>
  <c r="K959" i="2"/>
  <c r="K1075" i="2"/>
  <c r="K1074" i="2"/>
  <c r="O667" i="2"/>
  <c r="O89" i="7" s="1"/>
  <c r="K1258" i="2"/>
  <c r="L1258" i="2" s="1"/>
  <c r="K88" i="7"/>
  <c r="K89" i="7" s="1"/>
  <c r="G159" i="15"/>
  <c r="M1158" i="2"/>
  <c r="K1227" i="2"/>
  <c r="L1227" i="2" s="1"/>
  <c r="K1020" i="2"/>
  <c r="L1020" i="2" s="1"/>
  <c r="K1934" i="2"/>
  <c r="L1934" i="2" s="1"/>
  <c r="K1155" i="2"/>
  <c r="L1155" i="2" s="1"/>
  <c r="K1668" i="2"/>
  <c r="L1668" i="2" s="1"/>
  <c r="K1361" i="2"/>
  <c r="L1361" i="2" s="1"/>
  <c r="X233" i="2"/>
  <c r="K1762" i="2"/>
  <c r="L1762" i="2" s="1"/>
  <c r="K1451" i="2"/>
  <c r="L1451" i="2" s="1"/>
  <c r="O102" i="2"/>
  <c r="O111" i="2" s="1"/>
  <c r="O1454" i="2"/>
  <c r="K1604" i="2"/>
  <c r="L1604" i="2" s="1"/>
  <c r="K1452" i="2"/>
  <c r="L1452" i="2" s="1"/>
  <c r="X624" i="2"/>
  <c r="K887" i="2"/>
  <c r="L887" i="2" s="1"/>
  <c r="K1259" i="2"/>
  <c r="L1259" i="2" s="1"/>
  <c r="K1260" i="2"/>
  <c r="L1260" i="2" s="1"/>
  <c r="O594" i="2"/>
  <c r="AA154" i="15" s="1"/>
  <c r="O590" i="2"/>
  <c r="K624" i="2"/>
  <c r="K857" i="2"/>
  <c r="O1450" i="2"/>
  <c r="K1448" i="2"/>
  <c r="L1448" i="2" s="1"/>
  <c r="K1449" i="2"/>
  <c r="T103" i="15" s="1"/>
  <c r="K1447" i="2"/>
  <c r="L1447" i="2" s="1"/>
  <c r="S759" i="2"/>
  <c r="M759" i="2" s="1"/>
  <c r="M40" i="7" s="1"/>
  <c r="O1442" i="2"/>
  <c r="O1446" i="2"/>
  <c r="K1440" i="2"/>
  <c r="L1440" i="2" s="1"/>
  <c r="K1443" i="2"/>
  <c r="L1443" i="2" s="1"/>
  <c r="K1444" i="2"/>
  <c r="L1444" i="2" s="1"/>
  <c r="K1445" i="2"/>
  <c r="T99" i="15" s="1"/>
  <c r="K1439" i="2"/>
  <c r="L1439" i="2" s="1"/>
  <c r="K1441" i="2"/>
  <c r="T95" i="15" s="1"/>
  <c r="O1438" i="2"/>
  <c r="K1437" i="2"/>
  <c r="T91" i="15" s="1"/>
  <c r="K1435" i="2"/>
  <c r="L1435" i="2" s="1"/>
  <c r="K1436" i="2"/>
  <c r="L1436" i="2" s="1"/>
  <c r="X781" i="2"/>
  <c r="K1248" i="2"/>
  <c r="X759" i="2"/>
  <c r="W142" i="15"/>
  <c r="O586" i="2"/>
  <c r="O560" i="2"/>
  <c r="M184" i="2"/>
  <c r="K841" i="2"/>
  <c r="K842" i="2"/>
  <c r="L842" i="2" s="1"/>
  <c r="K753" i="2"/>
  <c r="L753" i="2" s="1"/>
  <c r="K752" i="2"/>
  <c r="L752" i="2" s="1"/>
  <c r="X193" i="2"/>
  <c r="O799" i="2"/>
  <c r="K903" i="2"/>
  <c r="L903" i="2" s="1"/>
  <c r="X621" i="2"/>
  <c r="K1245" i="2"/>
  <c r="O1355" i="2"/>
  <c r="AA25" i="15" s="1"/>
  <c r="K1843" i="2"/>
  <c r="L1843" i="2" s="1"/>
  <c r="A6" i="4"/>
  <c r="O1462" i="2"/>
  <c r="K1669" i="2"/>
  <c r="L1669" i="2" s="1"/>
  <c r="K1672" i="2"/>
  <c r="L1672" i="2" s="1"/>
  <c r="K1461" i="2"/>
  <c r="T115" i="15" s="1"/>
  <c r="K1460" i="2"/>
  <c r="L1460" i="2" s="1"/>
  <c r="K1459" i="2"/>
  <c r="L1459" i="2" s="1"/>
  <c r="W134" i="15"/>
  <c r="I525" i="2"/>
  <c r="N133" i="15"/>
  <c r="N134" i="15" s="1"/>
  <c r="O318" i="2"/>
  <c r="K1899" i="2"/>
  <c r="L1899" i="2" s="1"/>
  <c r="X901" i="2"/>
  <c r="X39" i="2"/>
  <c r="O377" i="2"/>
  <c r="K1935" i="2"/>
  <c r="L1935" i="2" s="1"/>
  <c r="O1434" i="2"/>
  <c r="K1433" i="2"/>
  <c r="K1101" i="2"/>
  <c r="L1101" i="2" s="1"/>
  <c r="K1102" i="2"/>
  <c r="L1102" i="2" s="1"/>
  <c r="K1275" i="2"/>
  <c r="L1275" i="2" s="1"/>
  <c r="K1244" i="2"/>
  <c r="K1463" i="2"/>
  <c r="L1463" i="2" s="1"/>
  <c r="K1021" i="2"/>
  <c r="L1021" i="2" s="1"/>
  <c r="K724" i="2"/>
  <c r="L724" i="2" s="1"/>
  <c r="K788" i="2"/>
  <c r="L788" i="2" s="1"/>
  <c r="K1073" i="2"/>
  <c r="O1423" i="2"/>
  <c r="K1422" i="2"/>
  <c r="O1417" i="2"/>
  <c r="K809" i="2"/>
  <c r="K1414" i="2"/>
  <c r="L1414" i="2" s="1"/>
  <c r="K1415" i="2"/>
  <c r="L1415" i="2" s="1"/>
  <c r="K1416" i="2"/>
  <c r="T79" i="15" s="1"/>
  <c r="O805" i="2"/>
  <c r="K1277" i="2"/>
  <c r="L1277" i="2" s="1"/>
  <c r="K1228" i="2"/>
  <c r="L1228" i="2" s="1"/>
  <c r="K1330" i="2"/>
  <c r="K789" i="2"/>
  <c r="L789" i="2" s="1"/>
  <c r="K1153" i="2"/>
  <c r="L1153" i="2" s="1"/>
  <c r="K1341" i="2"/>
  <c r="F192" i="6"/>
  <c r="O1332" i="2"/>
  <c r="P174" i="6" s="1"/>
  <c r="K1733" i="2"/>
  <c r="L1733" i="2" s="1"/>
  <c r="O1466" i="2"/>
  <c r="K1465" i="2"/>
  <c r="K1464" i="2"/>
  <c r="L1464" i="2" s="1"/>
  <c r="K1350" i="2"/>
  <c r="L1350" i="2" s="1"/>
  <c r="K1195" i="2"/>
  <c r="K648" i="2"/>
  <c r="K1212" i="2"/>
  <c r="L1212" i="2" s="1"/>
  <c r="K1214" i="2"/>
  <c r="L1214" i="2" s="1"/>
  <c r="K1213" i="2"/>
  <c r="L1213" i="2" s="1"/>
  <c r="K873" i="2"/>
  <c r="L873" i="2" s="1"/>
  <c r="K1215" i="2"/>
  <c r="L1215" i="2" s="1"/>
  <c r="K1603" i="2"/>
  <c r="L1603" i="2" s="1"/>
  <c r="O139" i="2"/>
  <c r="K1789" i="2"/>
  <c r="L1789" i="2" s="1"/>
  <c r="S799" i="2"/>
  <c r="M799" i="2" s="1"/>
  <c r="F223" i="6"/>
  <c r="X1250" i="2"/>
  <c r="K792" i="2"/>
  <c r="L792" i="2" s="1"/>
  <c r="K1624" i="2"/>
  <c r="L1624" i="2" s="1"/>
  <c r="Y1231" i="2"/>
  <c r="Z1231" i="2" s="1"/>
  <c r="K651" i="2"/>
  <c r="K800" i="2"/>
  <c r="L800" i="2" s="1"/>
  <c r="O1413" i="2"/>
  <c r="K1410" i="2"/>
  <c r="L1410" i="2" s="1"/>
  <c r="K1411" i="2"/>
  <c r="L1411" i="2" s="1"/>
  <c r="K1412" i="2"/>
  <c r="T75" i="15" s="1"/>
  <c r="K1088" i="2"/>
  <c r="L1088" i="2" s="1"/>
  <c r="O177" i="2"/>
  <c r="O811" i="2"/>
  <c r="K1712" i="2"/>
  <c r="L1712" i="2" s="1"/>
  <c r="K1078" i="2"/>
  <c r="S1079" i="2"/>
  <c r="K638" i="2"/>
  <c r="L638" i="2" s="1"/>
  <c r="X1230" i="2"/>
  <c r="Y1080" i="2"/>
  <c r="S1070" i="2"/>
  <c r="M1071" i="2" s="1"/>
  <c r="M1080" i="2" s="1"/>
  <c r="N69" i="6" s="1"/>
  <c r="K161" i="2"/>
  <c r="O1409" i="2"/>
  <c r="K1408" i="2"/>
  <c r="T71" i="15" s="1"/>
  <c r="K1406" i="2"/>
  <c r="L1406" i="2" s="1"/>
  <c r="K1407" i="2"/>
  <c r="L1407" i="2" s="1"/>
  <c r="F69" i="15"/>
  <c r="F71" i="15"/>
  <c r="F70" i="15"/>
  <c r="X847" i="2"/>
  <c r="Y847" i="2"/>
  <c r="K1225" i="2"/>
  <c r="L1225" i="2" s="1"/>
  <c r="K1385" i="2"/>
  <c r="L1385" i="2" s="1"/>
  <c r="O268" i="2"/>
  <c r="N39" i="6"/>
  <c r="K960" i="2"/>
  <c r="O1405" i="2"/>
  <c r="F67" i="15"/>
  <c r="F66" i="15"/>
  <c r="F65" i="15"/>
  <c r="K1403" i="2"/>
  <c r="L1403" i="2" s="1"/>
  <c r="K1402" i="2"/>
  <c r="L1402" i="2" s="1"/>
  <c r="K1404" i="2"/>
  <c r="T67" i="15" s="1"/>
  <c r="P45" i="15"/>
  <c r="I111" i="2"/>
  <c r="O27" i="7"/>
  <c r="I160" i="2"/>
  <c r="I161" i="2" s="1"/>
  <c r="I1349" i="2"/>
  <c r="U125" i="15"/>
  <c r="I33" i="15"/>
  <c r="V33" i="15"/>
  <c r="H58" i="15"/>
  <c r="U58" i="15"/>
  <c r="I1182" i="2"/>
  <c r="A223" i="4"/>
  <c r="L213" i="6"/>
  <c r="L39" i="15"/>
  <c r="L60" i="6"/>
  <c r="Q75" i="6"/>
  <c r="F222" i="6"/>
  <c r="P125" i="15"/>
  <c r="M39" i="15"/>
  <c r="L125" i="15"/>
  <c r="Q129" i="15"/>
  <c r="A71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22" i="2"/>
  <c r="Y125" i="15" s="1"/>
  <c r="K33" i="15"/>
  <c r="F7" i="12"/>
  <c r="O1396" i="2"/>
  <c r="AA64" i="15" s="1"/>
  <c r="K790" i="2"/>
  <c r="Q224" i="6" s="1"/>
  <c r="H125" i="15"/>
  <c r="W125" i="15"/>
  <c r="K1392" i="2"/>
  <c r="L1392" i="2" s="1"/>
  <c r="K1391" i="2"/>
  <c r="L1391" i="2" s="1"/>
  <c r="K1394" i="2"/>
  <c r="L1394" i="2" s="1"/>
  <c r="K1395" i="2"/>
  <c r="T63" i="15" s="1"/>
  <c r="K1393" i="2"/>
  <c r="L1393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7" i="2"/>
  <c r="L697" i="2" s="1"/>
  <c r="K721" i="2"/>
  <c r="T124" i="15" s="1"/>
  <c r="K942" i="2"/>
  <c r="K863" i="2"/>
  <c r="K726" i="2"/>
  <c r="L726" i="2" s="1"/>
  <c r="O1883" i="2"/>
  <c r="O1805" i="2"/>
  <c r="O1795" i="2"/>
  <c r="O1869" i="2"/>
  <c r="S391" i="2"/>
  <c r="M391" i="2" s="1"/>
  <c r="Y1355" i="2"/>
  <c r="M111" i="2"/>
  <c r="M110" i="2" s="1"/>
  <c r="X1231" i="2"/>
  <c r="S1251" i="2"/>
  <c r="M1251" i="2" s="1"/>
  <c r="N153" i="6" s="1"/>
  <c r="O87" i="2"/>
  <c r="O161" i="2"/>
  <c r="O525" i="2"/>
  <c r="O750" i="2"/>
  <c r="O767" i="2"/>
  <c r="O884" i="2"/>
  <c r="O965" i="2"/>
  <c r="O67" i="7" s="1"/>
  <c r="O1197" i="2"/>
  <c r="P168" i="6" s="1"/>
  <c r="O1599" i="2"/>
  <c r="O1824" i="2"/>
  <c r="O92" i="2"/>
  <c r="O391" i="2"/>
  <c r="O448" i="2"/>
  <c r="O699" i="2"/>
  <c r="O785" i="2"/>
  <c r="P24" i="6" s="1"/>
  <c r="O856" i="2"/>
  <c r="O1002" i="2"/>
  <c r="P39" i="6" s="1"/>
  <c r="O1165" i="2"/>
  <c r="P122" i="6" s="1"/>
  <c r="O1336" i="2"/>
  <c r="O1852" i="2"/>
  <c r="O341" i="2"/>
  <c r="O468" i="2"/>
  <c r="O929" i="2"/>
  <c r="O995" i="2"/>
  <c r="O73" i="7" s="1"/>
  <c r="O1108" i="2"/>
  <c r="O1239" i="2"/>
  <c r="O1262" i="2"/>
  <c r="O1297" i="2"/>
  <c r="O1349" i="2"/>
  <c r="O1683" i="2"/>
  <c r="O1735" i="2"/>
  <c r="O1841" i="2"/>
  <c r="O1846" i="2"/>
  <c r="O1877" i="2"/>
  <c r="O1901" i="2"/>
  <c r="O1933" i="2"/>
  <c r="O1937" i="2"/>
  <c r="O124" i="2"/>
  <c r="O278" i="2"/>
  <c r="O328" i="2"/>
  <c r="O512" i="2"/>
  <c r="O520" i="2" s="1"/>
  <c r="O582" i="2"/>
  <c r="O602" i="2"/>
  <c r="O18" i="7" s="1"/>
  <c r="O605" i="2"/>
  <c r="O21" i="7" s="1"/>
  <c r="O613" i="2"/>
  <c r="O31" i="7" s="1"/>
  <c r="O653" i="2"/>
  <c r="P188" i="6" s="1"/>
  <c r="O688" i="2"/>
  <c r="O744" i="2"/>
  <c r="O776" i="2"/>
  <c r="O870" i="2"/>
  <c r="O46" i="7" s="1"/>
  <c r="O971" i="2"/>
  <c r="O1018" i="2"/>
  <c r="O1093" i="2"/>
  <c r="O1100" i="2"/>
  <c r="O80" i="7" s="1"/>
  <c r="O1141" i="2"/>
  <c r="O1152" i="2"/>
  <c r="O1224" i="2"/>
  <c r="O1286" i="2"/>
  <c r="O1318" i="2"/>
  <c r="O1375" i="2"/>
  <c r="AA45" i="15" s="1"/>
  <c r="O1390" i="2"/>
  <c r="AA58" i="15" s="1"/>
  <c r="O1667" i="2"/>
  <c r="O1675" i="2"/>
  <c r="O1692" i="2"/>
  <c r="O1714" i="2"/>
  <c r="O119" i="2"/>
  <c r="O442" i="2"/>
  <c r="O625" i="2"/>
  <c r="O759" i="2"/>
  <c r="O40" i="7" s="1"/>
  <c r="O848" i="2"/>
  <c r="O955" i="2"/>
  <c r="O60" i="7" s="1"/>
  <c r="O1042" i="2"/>
  <c r="O1203" i="2"/>
  <c r="P145" i="6" s="1"/>
  <c r="O1767" i="2"/>
  <c r="O1861" i="2"/>
  <c r="O233" i="2"/>
  <c r="O239" i="2" s="1"/>
  <c r="O246" i="2"/>
  <c r="O457" i="2"/>
  <c r="O492" i="2"/>
  <c r="O578" i="2"/>
  <c r="O728" i="2"/>
  <c r="O911" i="2"/>
  <c r="O943" i="2"/>
  <c r="O1058" i="2"/>
  <c r="P47" i="6" s="1"/>
  <c r="O1158" i="2"/>
  <c r="O1231" i="2"/>
  <c r="O1251" i="2"/>
  <c r="P153" i="6" s="1"/>
  <c r="O1281" i="2"/>
  <c r="O1322" i="2"/>
  <c r="O1363" i="2"/>
  <c r="O135" i="2"/>
  <c r="O168" i="2"/>
  <c r="O263" i="2"/>
  <c r="O598" i="2"/>
  <c r="AA158" i="15" s="1"/>
  <c r="O611" i="2"/>
  <c r="O29" i="7" s="1"/>
  <c r="O640" i="2"/>
  <c r="O663" i="2"/>
  <c r="O681" i="2"/>
  <c r="O877" i="2"/>
  <c r="O892" i="2"/>
  <c r="O901" i="2"/>
  <c r="O1025" i="2"/>
  <c r="O1050" i="2"/>
  <c r="O1071" i="2"/>
  <c r="O1115" i="2"/>
  <c r="O1211" i="2"/>
  <c r="O1292" i="2"/>
  <c r="O1302" i="2"/>
  <c r="O85" i="7" s="1"/>
  <c r="O1311" i="2"/>
  <c r="O1369" i="2"/>
  <c r="AA39" i="15" s="1"/>
  <c r="O1384" i="2"/>
  <c r="O1608" i="2"/>
  <c r="O1626" i="2"/>
  <c r="O1637" i="2"/>
  <c r="O1656" i="2"/>
  <c r="O1774" i="2"/>
  <c r="O1788" i="2"/>
  <c r="O1401" i="2"/>
  <c r="K661" i="2"/>
  <c r="L661" i="2" s="1"/>
  <c r="K851" i="2"/>
  <c r="L851" i="2" s="1"/>
  <c r="K882" i="2"/>
  <c r="L882" i="2" s="1"/>
  <c r="K941" i="2"/>
  <c r="L941" i="2" s="1"/>
  <c r="K1236" i="2"/>
  <c r="L1236" i="2" s="1"/>
  <c r="K1249" i="2"/>
  <c r="K748" i="2"/>
  <c r="L748" i="2" s="1"/>
  <c r="K861" i="2"/>
  <c r="L861" i="2" s="1"/>
  <c r="K1039" i="2"/>
  <c r="L1039" i="2" s="1"/>
  <c r="K1079" i="2"/>
  <c r="L68" i="6" s="1"/>
  <c r="K1087" i="2"/>
  <c r="L1087" i="2" s="1"/>
  <c r="K1089" i="2"/>
  <c r="L1089" i="2" s="1"/>
  <c r="K1090" i="2"/>
  <c r="L1090" i="2" s="1"/>
  <c r="K1091" i="2"/>
  <c r="L1091" i="2" s="1"/>
  <c r="K1092" i="2"/>
  <c r="K1140" i="2"/>
  <c r="Q179" i="6" s="1"/>
  <c r="K1150" i="2"/>
  <c r="L1150" i="2" s="1"/>
  <c r="K1151" i="2"/>
  <c r="K623" i="2"/>
  <c r="L623" i="2" s="1"/>
  <c r="K765" i="2"/>
  <c r="L765" i="2" s="1"/>
  <c r="K862" i="2"/>
  <c r="L862" i="2" s="1"/>
  <c r="K970" i="2"/>
  <c r="K994" i="2"/>
  <c r="K1013" i="2"/>
  <c r="L1013" i="2" s="1"/>
  <c r="K1014" i="2"/>
  <c r="L1014" i="2" s="1"/>
  <c r="K1015" i="2"/>
  <c r="L1015" i="2" s="1"/>
  <c r="K1016" i="2"/>
  <c r="L1016" i="2" s="1"/>
  <c r="K1017" i="2"/>
  <c r="K1103" i="2"/>
  <c r="L1103" i="2" s="1"/>
  <c r="K1104" i="2"/>
  <c r="L1104" i="2" s="1"/>
  <c r="K1105" i="2"/>
  <c r="L1105" i="2" s="1"/>
  <c r="K1106" i="2"/>
  <c r="L1106" i="2" s="1"/>
  <c r="K1107" i="2"/>
  <c r="K1138" i="2"/>
  <c r="L1138" i="2" s="1"/>
  <c r="L161" i="6"/>
  <c r="M58" i="7"/>
  <c r="K1290" i="2"/>
  <c r="L1290" i="2" s="1"/>
  <c r="K1386" i="2"/>
  <c r="L1386" i="2" s="1"/>
  <c r="K1388" i="2"/>
  <c r="L1388" i="2" s="1"/>
  <c r="K161" i="6"/>
  <c r="L225" i="6"/>
  <c r="L115" i="6"/>
  <c r="K1651" i="2"/>
  <c r="L1651" i="2" s="1"/>
  <c r="K1235" i="2"/>
  <c r="L1235" i="2" s="1"/>
  <c r="K1201" i="2"/>
  <c r="K1062" i="2"/>
  <c r="K1041" i="2"/>
  <c r="K898" i="2"/>
  <c r="L898" i="2" s="1"/>
  <c r="K883" i="2"/>
  <c r="K860" i="2"/>
  <c r="L860" i="2" s="1"/>
  <c r="K766" i="2"/>
  <c r="K760" i="2"/>
  <c r="K751" i="2"/>
  <c r="L751" i="2" s="1"/>
  <c r="K967" i="2"/>
  <c r="L967" i="2" s="1"/>
  <c r="K890" i="2"/>
  <c r="K745" i="2"/>
  <c r="L745" i="2" s="1"/>
  <c r="K1688" i="2"/>
  <c r="L1688" i="2" s="1"/>
  <c r="K1680" i="2"/>
  <c r="L1680" i="2" s="1"/>
  <c r="K1229" i="2"/>
  <c r="L1229" i="2" s="1"/>
  <c r="K1196" i="2"/>
  <c r="K1164" i="2"/>
  <c r="K1162" i="2"/>
  <c r="K1156" i="2"/>
  <c r="L1156" i="2" s="1"/>
  <c r="K1139" i="2"/>
  <c r="L1139" i="2" s="1"/>
  <c r="K1048" i="2"/>
  <c r="L1048" i="2" s="1"/>
  <c r="K1046" i="2"/>
  <c r="L1046" i="2" s="1"/>
  <c r="K1024" i="2"/>
  <c r="K964" i="2"/>
  <c r="K888" i="2"/>
  <c r="L888" i="2" s="1"/>
  <c r="K865" i="2"/>
  <c r="K36" i="7"/>
  <c r="K727" i="2"/>
  <c r="K1368" i="2"/>
  <c r="T38" i="15" s="1"/>
  <c r="K1352" i="2"/>
  <c r="L1352" i="2" s="1"/>
  <c r="K1230" i="2"/>
  <c r="K1222" i="2"/>
  <c r="L1222" i="2" s="1"/>
  <c r="K1157" i="2"/>
  <c r="Q114" i="6" s="1"/>
  <c r="K1154" i="2"/>
  <c r="L1154" i="2" s="1"/>
  <c r="K1097" i="2"/>
  <c r="K1067" i="2"/>
  <c r="L1067" i="2" s="1"/>
  <c r="K1001" i="2"/>
  <c r="K961" i="2"/>
  <c r="K55" i="7"/>
  <c r="K42" i="7"/>
  <c r="K859" i="2"/>
  <c r="L859" i="2" s="1"/>
  <c r="K854" i="2"/>
  <c r="L854" i="2" s="1"/>
  <c r="K844" i="2"/>
  <c r="L844" i="2" s="1"/>
  <c r="K662" i="2"/>
  <c r="K680" i="2"/>
  <c r="K687" i="2"/>
  <c r="K747" i="2"/>
  <c r="L747" i="2" s="1"/>
  <c r="K843" i="2"/>
  <c r="K846" i="2"/>
  <c r="L846" i="2" s="1"/>
  <c r="K853" i="2"/>
  <c r="L853" i="2" s="1"/>
  <c r="K855" i="2"/>
  <c r="K43" i="7"/>
  <c r="K900" i="2"/>
  <c r="K1057" i="2"/>
  <c r="K1065" i="2"/>
  <c r="L1065" i="2" s="1"/>
  <c r="K1068" i="2"/>
  <c r="L1068" i="2" s="1"/>
  <c r="K1099" i="2"/>
  <c r="K1137" i="2"/>
  <c r="L1137" i="2" s="1"/>
  <c r="K1210" i="2"/>
  <c r="K1223" i="2"/>
  <c r="K764" i="2"/>
  <c r="L764" i="2" s="1"/>
  <c r="K850" i="2"/>
  <c r="L850" i="2" s="1"/>
  <c r="K1045" i="2"/>
  <c r="L1045" i="2" s="1"/>
  <c r="K1049" i="2"/>
  <c r="K1066" i="2"/>
  <c r="L1066" i="2" s="1"/>
  <c r="K1069" i="2"/>
  <c r="L1069" i="2" s="1"/>
  <c r="K1163" i="2"/>
  <c r="K1221" i="2"/>
  <c r="L1221" i="2" s="1"/>
  <c r="K1237" i="2"/>
  <c r="L1237" i="2" s="1"/>
  <c r="K749" i="2"/>
  <c r="K784" i="2"/>
  <c r="K858" i="2"/>
  <c r="L858" i="2" s="1"/>
  <c r="K889" i="2"/>
  <c r="L889" i="2" s="1"/>
  <c r="K909" i="2"/>
  <c r="L909" i="2" s="1"/>
  <c r="K1047" i="2"/>
  <c r="L1047" i="2" s="1"/>
  <c r="K639" i="2"/>
  <c r="K698" i="2"/>
  <c r="K746" i="2"/>
  <c r="L746" i="2" s="1"/>
  <c r="K775" i="2"/>
  <c r="K847" i="2"/>
  <c r="K852" i="2"/>
  <c r="L852" i="2" s="1"/>
  <c r="K893" i="2"/>
  <c r="L893" i="2" s="1"/>
  <c r="K897" i="2"/>
  <c r="L897" i="2" s="1"/>
  <c r="K899" i="2"/>
  <c r="L899" i="2" s="1"/>
  <c r="K910" i="2"/>
  <c r="K969" i="2"/>
  <c r="L969" i="2" s="1"/>
  <c r="K1012" i="2"/>
  <c r="L1012" i="2" s="1"/>
  <c r="K1063" i="2"/>
  <c r="K1098" i="2"/>
  <c r="K1161" i="2"/>
  <c r="K1209" i="2"/>
  <c r="L1209" i="2" s="1"/>
  <c r="K1261" i="2"/>
  <c r="H33" i="15"/>
  <c r="K1300" i="2"/>
  <c r="K1636" i="2"/>
  <c r="K1649" i="2"/>
  <c r="L1649" i="2" s="1"/>
  <c r="K1794" i="2"/>
  <c r="K1202" i="2"/>
  <c r="K1238" i="2"/>
  <c r="K1283" i="2"/>
  <c r="L1283" i="2" s="1"/>
  <c r="K1295" i="2"/>
  <c r="L1295" i="2" s="1"/>
  <c r="K1356" i="2"/>
  <c r="L1356" i="2" s="1"/>
  <c r="K1374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8" i="2"/>
  <c r="L1278" i="2" s="1"/>
  <c r="K1279" i="2"/>
  <c r="L1279" i="2" s="1"/>
  <c r="K1291" i="2"/>
  <c r="K1310" i="2"/>
  <c r="T18" i="15" s="1"/>
  <c r="K1353" i="2"/>
  <c r="L1353" i="2" s="1"/>
  <c r="K1365" i="2"/>
  <c r="L1365" i="2" s="1"/>
  <c r="K1371" i="2"/>
  <c r="L1371" i="2" s="1"/>
  <c r="K1373" i="2"/>
  <c r="L1373" i="2" s="1"/>
  <c r="K1486" i="2"/>
  <c r="L1486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5" i="2"/>
  <c r="K1296" i="2"/>
  <c r="K1342" i="2"/>
  <c r="K1362" i="2"/>
  <c r="K1364" i="2"/>
  <c r="L1364" i="2" s="1"/>
  <c r="K1367" i="2"/>
  <c r="L1367" i="2" s="1"/>
  <c r="K1370" i="2"/>
  <c r="L1370" i="2" s="1"/>
  <c r="K1383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50" i="2"/>
  <c r="K1284" i="2"/>
  <c r="L1284" i="2" s="1"/>
  <c r="K1351" i="2"/>
  <c r="L1351" i="2" s="1"/>
  <c r="K1354" i="2"/>
  <c r="T24" i="15" s="1"/>
  <c r="K1366" i="2"/>
  <c r="L1366" i="2" s="1"/>
  <c r="K1372" i="2"/>
  <c r="L1372" i="2" s="1"/>
  <c r="K1387" i="2"/>
  <c r="L1387" i="2" s="1"/>
  <c r="K1389" i="2"/>
  <c r="T57" i="15" s="1"/>
  <c r="K1487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400" i="2"/>
  <c r="K1399" i="2"/>
  <c r="L1399" i="2" s="1"/>
  <c r="K213" i="6"/>
  <c r="S492" i="2"/>
  <c r="M492" i="2" s="1"/>
  <c r="X1070" i="2"/>
  <c r="Y1071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11" i="2"/>
  <c r="L622" i="2" l="1"/>
  <c r="I624" i="2"/>
  <c r="L1315" i="2"/>
  <c r="A224" i="4"/>
  <c r="I1955" i="2"/>
  <c r="L949" i="2"/>
  <c r="L52" i="7" s="1"/>
  <c r="K52" i="7"/>
  <c r="L360" i="2"/>
  <c r="L375" i="2" s="1"/>
  <c r="K375" i="2"/>
  <c r="I519" i="2"/>
  <c r="K520" i="2"/>
  <c r="L513" i="2"/>
  <c r="I1318" i="2"/>
  <c r="L878" i="2"/>
  <c r="I883" i="2"/>
  <c r="W1" i="2"/>
  <c r="K1941" i="2"/>
  <c r="L1938" i="2"/>
  <c r="I1940" i="2"/>
  <c r="I1941" i="2" s="1"/>
  <c r="I1506" i="2"/>
  <c r="I1523" i="2"/>
  <c r="I1548" i="2"/>
  <c r="I1554" i="2"/>
  <c r="K93" i="7"/>
  <c r="L1563" i="2"/>
  <c r="I1564" i="2"/>
  <c r="L1561" i="2"/>
  <c r="K1565" i="2"/>
  <c r="L1556" i="2"/>
  <c r="K1560" i="2"/>
  <c r="I1559" i="2"/>
  <c r="L1558" i="2"/>
  <c r="L480" i="2"/>
  <c r="L1923" i="2"/>
  <c r="L1922" i="2"/>
  <c r="I942" i="2"/>
  <c r="L407" i="2"/>
  <c r="L1289" i="2"/>
  <c r="L500" i="2"/>
  <c r="L1207" i="2"/>
  <c r="L762" i="2"/>
  <c r="I1496" i="2"/>
  <c r="L675" i="2"/>
  <c r="L676" i="2"/>
  <c r="K492" i="2"/>
  <c r="L405" i="2"/>
  <c r="L406" i="2"/>
  <c r="L477" i="2"/>
  <c r="L476" i="2"/>
  <c r="L461" i="2"/>
  <c r="L1307" i="2"/>
  <c r="L836" i="2"/>
  <c r="L1951" i="2"/>
  <c r="L1949" i="2"/>
  <c r="L1950" i="2"/>
  <c r="L1797" i="2"/>
  <c r="L1288" i="2"/>
  <c r="L1705" i="2"/>
  <c r="L1703" i="2"/>
  <c r="L1704" i="2"/>
  <c r="L506" i="2"/>
  <c r="L1304" i="2"/>
  <c r="L1305" i="2"/>
  <c r="L683" i="2"/>
  <c r="L1357" i="2"/>
  <c r="L1219" i="2"/>
  <c r="L657" i="2"/>
  <c r="L656" i="2"/>
  <c r="L658" i="2"/>
  <c r="L473" i="2"/>
  <c r="L694" i="2"/>
  <c r="L475" i="2"/>
  <c r="L474" i="2"/>
  <c r="L682" i="2"/>
  <c r="L1208" i="2"/>
  <c r="L1220" i="2"/>
  <c r="L1790" i="2"/>
  <c r="L725" i="2"/>
  <c r="L460" i="2"/>
  <c r="L659" i="2"/>
  <c r="L545" i="2"/>
  <c r="L347" i="2"/>
  <c r="L346" i="2"/>
  <c r="L1616" i="2"/>
  <c r="L1708" i="2"/>
  <c r="L470" i="2"/>
  <c r="L469" i="2"/>
  <c r="L938" i="2"/>
  <c r="L674" i="2"/>
  <c r="L575" i="2"/>
  <c r="L344" i="2"/>
  <c r="L345" i="2"/>
  <c r="L1782" i="2"/>
  <c r="L1783" i="2"/>
  <c r="L1784" i="2"/>
  <c r="L655" i="2"/>
  <c r="L1398" i="2"/>
  <c r="L660" i="2"/>
  <c r="L544" i="2"/>
  <c r="L772" i="2"/>
  <c r="L771" i="2"/>
  <c r="I194" i="2"/>
  <c r="H194" i="2"/>
  <c r="L547" i="2"/>
  <c r="L770" i="2"/>
  <c r="L1632" i="2"/>
  <c r="L1617" i="2"/>
  <c r="L881" i="2"/>
  <c r="L630" i="2"/>
  <c r="L1885" i="2"/>
  <c r="L1011" i="2"/>
  <c r="L1218" i="2"/>
  <c r="L631" i="2"/>
  <c r="L1948" i="2"/>
  <c r="L1945" i="2"/>
  <c r="L1943" i="2"/>
  <c r="L1944" i="2"/>
  <c r="L1946" i="2"/>
  <c r="L1947" i="2"/>
  <c r="L907" i="2"/>
  <c r="L403" i="2"/>
  <c r="I1594" i="2"/>
  <c r="L1593" i="2"/>
  <c r="K1595" i="2"/>
  <c r="L1592" i="2"/>
  <c r="I1582" i="2"/>
  <c r="L1615" i="2"/>
  <c r="L654" i="2"/>
  <c r="I784" i="2"/>
  <c r="L425" i="2"/>
  <c r="L459" i="2"/>
  <c r="L1921" i="2"/>
  <c r="L1920" i="2"/>
  <c r="L1886" i="2"/>
  <c r="L632" i="2"/>
  <c r="L342" i="2"/>
  <c r="L1306" i="2"/>
  <c r="L503" i="2"/>
  <c r="L880" i="2"/>
  <c r="L1863" i="2"/>
  <c r="L453" i="2"/>
  <c r="L22" i="6"/>
  <c r="L783" i="2"/>
  <c r="M22" i="6" s="1"/>
  <c r="I628" i="2"/>
  <c r="L626" i="2"/>
  <c r="L90" i="7" s="1"/>
  <c r="P219" i="6"/>
  <c r="O1135" i="2"/>
  <c r="P109" i="6" s="1"/>
  <c r="O88" i="2"/>
  <c r="L1431" i="2"/>
  <c r="I1433" i="2"/>
  <c r="I292" i="2"/>
  <c r="L288" i="2"/>
  <c r="L627" i="2"/>
  <c r="L91" i="7" s="1"/>
  <c r="K629" i="2"/>
  <c r="I1428" i="2"/>
  <c r="I1429" i="2" s="1"/>
  <c r="L841" i="2"/>
  <c r="L843" i="2"/>
  <c r="I1146" i="2"/>
  <c r="I1147" i="2" s="1"/>
  <c r="L1142" i="2"/>
  <c r="K1147" i="2"/>
  <c r="I1529" i="2"/>
  <c r="L1553" i="2"/>
  <c r="L1550" i="2"/>
  <c r="K1555" i="2"/>
  <c r="I816" i="2"/>
  <c r="J230" i="6" s="1"/>
  <c r="J231" i="6" s="1"/>
  <c r="I1063" i="2"/>
  <c r="J52" i="6" s="1"/>
  <c r="J53" i="6" s="1"/>
  <c r="K293" i="2"/>
  <c r="L287" i="2"/>
  <c r="L247" i="6"/>
  <c r="I832" i="2"/>
  <c r="K833" i="2"/>
  <c r="L829" i="2"/>
  <c r="I1586" i="2"/>
  <c r="J246" i="6" s="1"/>
  <c r="J247" i="6" s="1"/>
  <c r="L1585" i="2"/>
  <c r="M245" i="6" s="1"/>
  <c r="L1584" i="2"/>
  <c r="M244" i="6" s="1"/>
  <c r="K1587" i="2"/>
  <c r="I988" i="2"/>
  <c r="I970" i="2"/>
  <c r="L1312" i="2"/>
  <c r="K1318" i="2"/>
  <c r="L760" i="2"/>
  <c r="I766" i="2"/>
  <c r="I1577" i="2"/>
  <c r="K468" i="2"/>
  <c r="L1842" i="2"/>
  <c r="I1845" i="2"/>
  <c r="L1547" i="2"/>
  <c r="L1545" i="2"/>
  <c r="K1549" i="2"/>
  <c r="I447" i="2"/>
  <c r="I448" i="2" s="1"/>
  <c r="I964" i="2"/>
  <c r="I66" i="7" s="1"/>
  <c r="I67" i="7" s="1"/>
  <c r="I1543" i="2"/>
  <c r="L1542" i="2"/>
  <c r="K1544" i="2"/>
  <c r="L1541" i="2"/>
  <c r="O225" i="2"/>
  <c r="L966" i="2"/>
  <c r="L1535" i="2"/>
  <c r="K1540" i="2"/>
  <c r="L1538" i="2"/>
  <c r="I1539" i="2"/>
  <c r="L1532" i="2"/>
  <c r="I1533" i="2"/>
  <c r="L1508" i="2"/>
  <c r="K1513" i="2"/>
  <c r="K1534" i="2"/>
  <c r="L1531" i="2"/>
  <c r="L1511" i="2"/>
  <c r="I1512" i="2"/>
  <c r="I1342" i="2"/>
  <c r="J200" i="6" s="1"/>
  <c r="J201" i="6" s="1"/>
  <c r="I313" i="2"/>
  <c r="I314" i="2" s="1"/>
  <c r="I456" i="2"/>
  <c r="I457" i="2" s="1"/>
  <c r="I976" i="2"/>
  <c r="I977" i="2" s="1"/>
  <c r="I1129" i="2"/>
  <c r="J103" i="6" s="1"/>
  <c r="J104" i="6" s="1"/>
  <c r="L102" i="6"/>
  <c r="L1128" i="2"/>
  <c r="M102" i="6" s="1"/>
  <c r="I1202" i="2"/>
  <c r="J144" i="6" s="1"/>
  <c r="J145" i="6" s="1"/>
  <c r="I698" i="2"/>
  <c r="L235" i="6"/>
  <c r="L1272" i="2"/>
  <c r="M235" i="6" s="1"/>
  <c r="I1422" i="2"/>
  <c r="L33" i="6"/>
  <c r="L996" i="2"/>
  <c r="M33" i="6" s="1"/>
  <c r="K1009" i="2"/>
  <c r="I1008" i="2"/>
  <c r="I1009" i="2" s="1"/>
  <c r="L1003" i="2"/>
  <c r="L471" i="2"/>
  <c r="L472" i="2"/>
  <c r="K312" i="2"/>
  <c r="L307" i="2"/>
  <c r="L312" i="2" s="1"/>
  <c r="L1376" i="2"/>
  <c r="I1383" i="2"/>
  <c r="L1589" i="2"/>
  <c r="I1590" i="2"/>
  <c r="K1591" i="2"/>
  <c r="L1588" i="2"/>
  <c r="L1728" i="2"/>
  <c r="I1734" i="2"/>
  <c r="I1735" i="2" s="1"/>
  <c r="I511" i="2"/>
  <c r="I512" i="2" s="1"/>
  <c r="K1583" i="2"/>
  <c r="L1579" i="2"/>
  <c r="L1581" i="2"/>
  <c r="K560" i="2"/>
  <c r="L542" i="2"/>
  <c r="I559" i="2"/>
  <c r="I560" i="2" s="1"/>
  <c r="L411" i="2"/>
  <c r="K423" i="2"/>
  <c r="L1026" i="2"/>
  <c r="I1030" i="2"/>
  <c r="I1031" i="2" s="1"/>
  <c r="K1031" i="2"/>
  <c r="K10" i="8"/>
  <c r="I822" i="2"/>
  <c r="J242" i="6" s="1"/>
  <c r="L837" i="2"/>
  <c r="I838" i="2"/>
  <c r="I652" i="2"/>
  <c r="J187" i="6" s="1"/>
  <c r="J188" i="6" s="1"/>
  <c r="L424" i="2"/>
  <c r="I441" i="2"/>
  <c r="L574" i="2"/>
  <c r="K578" i="2"/>
  <c r="L444" i="2"/>
  <c r="K448" i="2"/>
  <c r="L527" i="2"/>
  <c r="K541" i="2"/>
  <c r="I540" i="2"/>
  <c r="I541" i="2" s="1"/>
  <c r="I577" i="2"/>
  <c r="I578" i="2" s="1"/>
  <c r="L458" i="2"/>
  <c r="I467" i="2"/>
  <c r="I468" i="2" s="1"/>
  <c r="I422" i="2"/>
  <c r="I423" i="2" s="1"/>
  <c r="L404" i="2"/>
  <c r="L452" i="2"/>
  <c r="K457" i="2"/>
  <c r="K306" i="2"/>
  <c r="L303" i="2"/>
  <c r="L306" i="2" s="1"/>
  <c r="L494" i="2"/>
  <c r="K512" i="2"/>
  <c r="K359" i="2"/>
  <c r="L343" i="2"/>
  <c r="L332" i="2"/>
  <c r="L339" i="2" s="1"/>
  <c r="K339" i="2"/>
  <c r="L240" i="6"/>
  <c r="L820" i="2"/>
  <c r="M240" i="6" s="1"/>
  <c r="L241" i="6"/>
  <c r="L821" i="2"/>
  <c r="M241" i="6" s="1"/>
  <c r="Q241" i="6"/>
  <c r="I1572" i="2"/>
  <c r="L1571" i="2"/>
  <c r="K1578" i="2"/>
  <c r="L1574" i="2"/>
  <c r="L1570" i="2"/>
  <c r="K1573" i="2"/>
  <c r="L1576" i="2"/>
  <c r="L1377" i="2"/>
  <c r="L1427" i="2"/>
  <c r="L1942" i="2"/>
  <c r="K1956" i="2"/>
  <c r="I1255" i="2"/>
  <c r="I1256" i="2" s="1"/>
  <c r="K955" i="2"/>
  <c r="I982" i="2"/>
  <c r="L978" i="2"/>
  <c r="K983" i="2"/>
  <c r="L228" i="6"/>
  <c r="L814" i="2"/>
  <c r="M228" i="6" s="1"/>
  <c r="L101" i="6"/>
  <c r="L1127" i="2"/>
  <c r="M101" i="6" s="1"/>
  <c r="L99" i="6"/>
  <c r="L1125" i="2"/>
  <c r="M99" i="6" s="1"/>
  <c r="L229" i="6"/>
  <c r="L815" i="2"/>
  <c r="M229" i="6" s="1"/>
  <c r="L100" i="6"/>
  <c r="L1126" i="2"/>
  <c r="M100" i="6" s="1"/>
  <c r="L1566" i="2"/>
  <c r="K1569" i="2"/>
  <c r="L1567" i="2"/>
  <c r="I1568" i="2"/>
  <c r="P89" i="6"/>
  <c r="O1122" i="2"/>
  <c r="W3" i="2" s="1"/>
  <c r="L984" i="2"/>
  <c r="K989" i="2"/>
  <c r="L972" i="2"/>
  <c r="K977" i="2"/>
  <c r="L1493" i="2"/>
  <c r="K1497" i="2"/>
  <c r="L1503" i="2"/>
  <c r="K1507" i="2"/>
  <c r="K1524" i="2"/>
  <c r="L1519" i="2"/>
  <c r="I1517" i="2"/>
  <c r="L1516" i="2"/>
  <c r="K1518" i="2"/>
  <c r="L1514" i="2"/>
  <c r="L1528" i="2"/>
  <c r="L1495" i="2"/>
  <c r="L1522" i="2"/>
  <c r="L1498" i="2"/>
  <c r="K1502" i="2"/>
  <c r="L1505" i="2"/>
  <c r="L1499" i="2"/>
  <c r="I1501" i="2"/>
  <c r="L1525" i="2"/>
  <c r="K1530" i="2"/>
  <c r="L835" i="2"/>
  <c r="L1116" i="2"/>
  <c r="M90" i="6" s="1"/>
  <c r="L90" i="6"/>
  <c r="L96" i="6" s="1"/>
  <c r="L768" i="2"/>
  <c r="I775" i="2"/>
  <c r="N47" i="6"/>
  <c r="L1252" i="2"/>
  <c r="K1256" i="2"/>
  <c r="L807" i="2"/>
  <c r="M215" i="6" s="1"/>
  <c r="L215" i="6"/>
  <c r="L808" i="2"/>
  <c r="M216" i="6" s="1"/>
  <c r="L216" i="6"/>
  <c r="L809" i="2"/>
  <c r="M217" i="6" s="1"/>
  <c r="L217" i="6"/>
  <c r="L806" i="2"/>
  <c r="M214" i="6" s="1"/>
  <c r="L214" i="6"/>
  <c r="L1059" i="2"/>
  <c r="M48" i="6" s="1"/>
  <c r="L48" i="6"/>
  <c r="Q52" i="6"/>
  <c r="L52" i="6"/>
  <c r="L1061" i="2"/>
  <c r="M50" i="6" s="1"/>
  <c r="L50" i="6"/>
  <c r="L1060" i="2"/>
  <c r="L49" i="6"/>
  <c r="L1062" i="2"/>
  <c r="M51" i="6" s="1"/>
  <c r="L51" i="6"/>
  <c r="L61" i="6"/>
  <c r="L1072" i="2"/>
  <c r="M61" i="6" s="1"/>
  <c r="L1489" i="2"/>
  <c r="K1492" i="2"/>
  <c r="L1490" i="2"/>
  <c r="I1491" i="2"/>
  <c r="I1001" i="2"/>
  <c r="J38" i="6" s="1"/>
  <c r="J39" i="6" s="1"/>
  <c r="L83" i="6"/>
  <c r="L89" i="6" s="1"/>
  <c r="L1109" i="2"/>
  <c r="M83" i="6" s="1"/>
  <c r="K1115" i="2"/>
  <c r="I1114" i="2"/>
  <c r="I1470" i="2"/>
  <c r="L1132" i="2"/>
  <c r="M106" i="6" s="1"/>
  <c r="Q106" i="6"/>
  <c r="L106" i="6"/>
  <c r="L105" i="6"/>
  <c r="I1134" i="2"/>
  <c r="K1135" i="2"/>
  <c r="L1131" i="2"/>
  <c r="L1078" i="2"/>
  <c r="M67" i="6" s="1"/>
  <c r="L67" i="6"/>
  <c r="L1074" i="2"/>
  <c r="M63" i="6" s="1"/>
  <c r="L63" i="6"/>
  <c r="L1076" i="2"/>
  <c r="M65" i="6" s="1"/>
  <c r="L65" i="6"/>
  <c r="L1073" i="2"/>
  <c r="M62" i="6" s="1"/>
  <c r="L62" i="6"/>
  <c r="L1075" i="2"/>
  <c r="M64" i="6" s="1"/>
  <c r="L64" i="6"/>
  <c r="L650" i="2"/>
  <c r="M185" i="6" s="1"/>
  <c r="L185" i="6"/>
  <c r="L649" i="2"/>
  <c r="M184" i="6" s="1"/>
  <c r="L184" i="6"/>
  <c r="L1077" i="2"/>
  <c r="M66" i="6" s="1"/>
  <c r="L66" i="6"/>
  <c r="L651" i="2"/>
  <c r="M186" i="6" s="1"/>
  <c r="L186" i="6"/>
  <c r="L647" i="2"/>
  <c r="M182" i="6" s="1"/>
  <c r="L182" i="6"/>
  <c r="L187" i="6"/>
  <c r="L646" i="2"/>
  <c r="M181" i="6" s="1"/>
  <c r="L181" i="6"/>
  <c r="L1148" i="2"/>
  <c r="I1151" i="2"/>
  <c r="L648" i="2"/>
  <c r="M183" i="6" s="1"/>
  <c r="L183" i="6"/>
  <c r="I1331" i="2"/>
  <c r="L45" i="6"/>
  <c r="Q45" i="6"/>
  <c r="L1056" i="2"/>
  <c r="M45" i="6" s="1"/>
  <c r="I1851" i="2"/>
  <c r="I1099" i="2"/>
  <c r="I79" i="7" s="1"/>
  <c r="I80" i="7" s="1"/>
  <c r="L165" i="6"/>
  <c r="L1019" i="2"/>
  <c r="I1024" i="2"/>
  <c r="L1483" i="2"/>
  <c r="I1487" i="2"/>
  <c r="I1488" i="2" s="1"/>
  <c r="I55" i="7"/>
  <c r="I60" i="7" s="1"/>
  <c r="L950" i="2"/>
  <c r="L53" i="7" s="1"/>
  <c r="K53" i="7"/>
  <c r="K50" i="7"/>
  <c r="I1476" i="2"/>
  <c r="I1301" i="2"/>
  <c r="I84" i="7" s="1"/>
  <c r="I85" i="7" s="1"/>
  <c r="L1478" i="2"/>
  <c r="K1482" i="2"/>
  <c r="L1480" i="2"/>
  <c r="I1481" i="2"/>
  <c r="L1818" i="2"/>
  <c r="I1823" i="2"/>
  <c r="I1273" i="2"/>
  <c r="L1474" i="2"/>
  <c r="L1472" i="2"/>
  <c r="K1477" i="2"/>
  <c r="K1471" i="2"/>
  <c r="L1467" i="2"/>
  <c r="L1469" i="2"/>
  <c r="I680" i="2"/>
  <c r="L234" i="6"/>
  <c r="L1271" i="2"/>
  <c r="M234" i="6" s="1"/>
  <c r="L233" i="6"/>
  <c r="L1270" i="2"/>
  <c r="M233" i="6" s="1"/>
  <c r="L232" i="6"/>
  <c r="L1269" i="2"/>
  <c r="K1274" i="2"/>
  <c r="L1192" i="2"/>
  <c r="M163" i="6" s="1"/>
  <c r="L163" i="6"/>
  <c r="L1193" i="2"/>
  <c r="M164" i="6" s="1"/>
  <c r="L164" i="6"/>
  <c r="L167" i="6"/>
  <c r="L1191" i="2"/>
  <c r="M162" i="6" s="1"/>
  <c r="L162" i="6"/>
  <c r="L1195" i="2"/>
  <c r="M166" i="6" s="1"/>
  <c r="L166" i="6"/>
  <c r="L754" i="2"/>
  <c r="L35" i="7" s="1"/>
  <c r="K35" i="7"/>
  <c r="I1291" i="2"/>
  <c r="I1909" i="2"/>
  <c r="L1908" i="2"/>
  <c r="K1910" i="2"/>
  <c r="I1912" i="2"/>
  <c r="L1911" i="2"/>
  <c r="K1913" i="2"/>
  <c r="L1884" i="2"/>
  <c r="I1900" i="2"/>
  <c r="L1724" i="2"/>
  <c r="K194" i="2"/>
  <c r="L1819" i="2"/>
  <c r="L1161" i="2"/>
  <c r="M118" i="6" s="1"/>
  <c r="L118" i="6"/>
  <c r="L1200" i="2"/>
  <c r="M142" i="6" s="1"/>
  <c r="L142" i="6"/>
  <c r="L1339" i="2"/>
  <c r="M197" i="6" s="1"/>
  <c r="L197" i="6"/>
  <c r="L1298" i="2"/>
  <c r="L81" i="7" s="1"/>
  <c r="K81" i="7"/>
  <c r="Q144" i="6"/>
  <c r="L144" i="6"/>
  <c r="L1098" i="2"/>
  <c r="L78" i="7" s="1"/>
  <c r="K78" i="7"/>
  <c r="L1249" i="2"/>
  <c r="M151" i="6" s="1"/>
  <c r="L151" i="6"/>
  <c r="L1096" i="2"/>
  <c r="L76" i="7" s="1"/>
  <c r="K76" i="7"/>
  <c r="L1337" i="2"/>
  <c r="M195" i="6" s="1"/>
  <c r="L195" i="6"/>
  <c r="L1328" i="2"/>
  <c r="M170" i="6" s="1"/>
  <c r="L170" i="6"/>
  <c r="L1051" i="2"/>
  <c r="M40" i="6" s="1"/>
  <c r="L40" i="6"/>
  <c r="L819" i="2"/>
  <c r="M239" i="6" s="1"/>
  <c r="L239" i="6"/>
  <c r="L777" i="2"/>
  <c r="L16" i="6"/>
  <c r="Q16" i="6"/>
  <c r="L1094" i="2"/>
  <c r="K74" i="7"/>
  <c r="L1055" i="2"/>
  <c r="M44" i="6" s="1"/>
  <c r="L44" i="6"/>
  <c r="L1163" i="2"/>
  <c r="M120" i="6" s="1"/>
  <c r="L120" i="6"/>
  <c r="L1201" i="2"/>
  <c r="M143" i="6" s="1"/>
  <c r="L143" i="6"/>
  <c r="L1330" i="2"/>
  <c r="M172" i="6" s="1"/>
  <c r="L172" i="6"/>
  <c r="L1244" i="2"/>
  <c r="M146" i="6" s="1"/>
  <c r="L146" i="6"/>
  <c r="L1329" i="2"/>
  <c r="M171" i="6" s="1"/>
  <c r="L171" i="6"/>
  <c r="L1054" i="2"/>
  <c r="M43" i="6" s="1"/>
  <c r="L43" i="6"/>
  <c r="L1053" i="2"/>
  <c r="M42" i="6" s="1"/>
  <c r="L42" i="6"/>
  <c r="L997" i="2"/>
  <c r="M34" i="6" s="1"/>
  <c r="L34" i="6"/>
  <c r="L944" i="2"/>
  <c r="K47" i="7"/>
  <c r="O79" i="7"/>
  <c r="K79" i="7"/>
  <c r="L782" i="2"/>
  <c r="M21" i="6" s="1"/>
  <c r="L21" i="6"/>
  <c r="L1162" i="2"/>
  <c r="M119" i="6" s="1"/>
  <c r="L119" i="6"/>
  <c r="L1248" i="2"/>
  <c r="M150" i="6" s="1"/>
  <c r="L150" i="6"/>
  <c r="L812" i="2"/>
  <c r="M226" i="6" s="1"/>
  <c r="L226" i="6"/>
  <c r="L1246" i="2"/>
  <c r="M148" i="6" s="1"/>
  <c r="L148" i="6"/>
  <c r="Q152" i="6"/>
  <c r="L152" i="6"/>
  <c r="L961" i="2"/>
  <c r="L63" i="7" s="1"/>
  <c r="K63" i="7"/>
  <c r="L121" i="6"/>
  <c r="L813" i="2"/>
  <c r="M227" i="6" s="1"/>
  <c r="L227" i="6"/>
  <c r="L778" i="2"/>
  <c r="M17" i="6" s="1"/>
  <c r="L17" i="6"/>
  <c r="L1247" i="2"/>
  <c r="M149" i="6" s="1"/>
  <c r="L149" i="6"/>
  <c r="L1300" i="2"/>
  <c r="L83" i="7" s="1"/>
  <c r="K83" i="7"/>
  <c r="L865" i="2"/>
  <c r="L41" i="7" s="1"/>
  <c r="K41" i="7"/>
  <c r="K46" i="7" s="1"/>
  <c r="L1245" i="2"/>
  <c r="M147" i="6" s="1"/>
  <c r="L147" i="6"/>
  <c r="L779" i="2"/>
  <c r="M18" i="6" s="1"/>
  <c r="L18" i="6"/>
  <c r="L948" i="2"/>
  <c r="L51" i="7" s="1"/>
  <c r="K51" i="7"/>
  <c r="Q46" i="6"/>
  <c r="L46" i="6"/>
  <c r="Q38" i="6"/>
  <c r="L38" i="6"/>
  <c r="L962" i="2"/>
  <c r="L64" i="7" s="1"/>
  <c r="K64" i="7"/>
  <c r="L960" i="2"/>
  <c r="L62" i="7" s="1"/>
  <c r="K62" i="7"/>
  <c r="L1341" i="2"/>
  <c r="M199" i="6" s="1"/>
  <c r="L199" i="6"/>
  <c r="L1327" i="2"/>
  <c r="M169" i="6" s="1"/>
  <c r="L169" i="6"/>
  <c r="L1160" i="2"/>
  <c r="M117" i="6" s="1"/>
  <c r="L117" i="6"/>
  <c r="L963" i="2"/>
  <c r="L65" i="7" s="1"/>
  <c r="K65" i="7"/>
  <c r="L781" i="2"/>
  <c r="M20" i="6" s="1"/>
  <c r="L20" i="6"/>
  <c r="L946" i="2"/>
  <c r="L49" i="7" s="1"/>
  <c r="K49" i="7"/>
  <c r="L959" i="2"/>
  <c r="L61" i="7" s="1"/>
  <c r="K61" i="7"/>
  <c r="L818" i="2"/>
  <c r="M238" i="6" s="1"/>
  <c r="L238" i="6"/>
  <c r="L1052" i="2"/>
  <c r="M41" i="6" s="1"/>
  <c r="L41" i="6"/>
  <c r="L945" i="2"/>
  <c r="L48" i="7" s="1"/>
  <c r="K48" i="7"/>
  <c r="L1198" i="2"/>
  <c r="M140" i="6" s="1"/>
  <c r="L140" i="6"/>
  <c r="L200" i="6"/>
  <c r="Q23" i="6"/>
  <c r="L23" i="6"/>
  <c r="L1097" i="2"/>
  <c r="L77" i="7" s="1"/>
  <c r="K77" i="7"/>
  <c r="L1199" i="2"/>
  <c r="M141" i="6" s="1"/>
  <c r="L141" i="6"/>
  <c r="L1338" i="2"/>
  <c r="M196" i="6" s="1"/>
  <c r="L196" i="6"/>
  <c r="L999" i="2"/>
  <c r="M36" i="6" s="1"/>
  <c r="L36" i="6"/>
  <c r="L1124" i="2"/>
  <c r="M98" i="6" s="1"/>
  <c r="L98" i="6"/>
  <c r="L1159" i="2"/>
  <c r="M116" i="6" s="1"/>
  <c r="L116" i="6"/>
  <c r="L1000" i="2"/>
  <c r="M37" i="6" s="1"/>
  <c r="L37" i="6"/>
  <c r="L1340" i="2"/>
  <c r="M198" i="6" s="1"/>
  <c r="L198" i="6"/>
  <c r="O66" i="7"/>
  <c r="K66" i="7"/>
  <c r="L998" i="2"/>
  <c r="M35" i="6" s="1"/>
  <c r="L35" i="6"/>
  <c r="L1123" i="2"/>
  <c r="M97" i="6" s="1"/>
  <c r="L97" i="6"/>
  <c r="L780" i="2"/>
  <c r="M19" i="6" s="1"/>
  <c r="L19" i="6"/>
  <c r="L1095" i="2"/>
  <c r="L75" i="7" s="1"/>
  <c r="K75" i="7"/>
  <c r="L1299" i="2"/>
  <c r="L82" i="7" s="1"/>
  <c r="K82" i="7"/>
  <c r="L990" i="2"/>
  <c r="L68" i="7" s="1"/>
  <c r="K68" i="7"/>
  <c r="L991" i="2"/>
  <c r="L69" i="7" s="1"/>
  <c r="K69" i="7"/>
  <c r="O72" i="7"/>
  <c r="K72" i="7"/>
  <c r="L993" i="2"/>
  <c r="L71" i="7" s="1"/>
  <c r="K71" i="7"/>
  <c r="L992" i="2"/>
  <c r="L70" i="7" s="1"/>
  <c r="K70" i="7"/>
  <c r="L857" i="2"/>
  <c r="K864" i="2"/>
  <c r="L758" i="2"/>
  <c r="L39" i="7" s="1"/>
  <c r="K39" i="7"/>
  <c r="L1802" i="2"/>
  <c r="L1799" i="2"/>
  <c r="L1796" i="2"/>
  <c r="K1805" i="2"/>
  <c r="L1798" i="2"/>
  <c r="L1801" i="2"/>
  <c r="L1800" i="2"/>
  <c r="L1803" i="2"/>
  <c r="I625" i="2"/>
  <c r="L620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9" i="2"/>
  <c r="I1932" i="2"/>
  <c r="I704" i="2"/>
  <c r="I1860" i="2"/>
  <c r="I1861" i="2" s="1"/>
  <c r="K705" i="2"/>
  <c r="K711" i="2"/>
  <c r="I710" i="2"/>
  <c r="L710" i="2" s="1"/>
  <c r="I1794" i="2"/>
  <c r="I928" i="2"/>
  <c r="K839" i="2"/>
  <c r="I1691" i="2"/>
  <c r="I1636" i="2"/>
  <c r="I749" i="2"/>
  <c r="I1607" i="2"/>
  <c r="A7" i="4"/>
  <c r="A8" i="4" s="1"/>
  <c r="O193" i="2"/>
  <c r="W2" i="2" s="1"/>
  <c r="K823" i="2"/>
  <c r="I1457" i="2"/>
  <c r="I1868" i="2"/>
  <c r="K1122" i="2"/>
  <c r="I1121" i="2"/>
  <c r="J95" i="6" s="1"/>
  <c r="J96" i="6" s="1"/>
  <c r="I827" i="2"/>
  <c r="L827" i="2" s="1"/>
  <c r="K828" i="2"/>
  <c r="I855" i="2"/>
  <c r="O110" i="2"/>
  <c r="I721" i="2"/>
  <c r="K1130" i="2"/>
  <c r="K817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8" i="2"/>
  <c r="H159" i="15"/>
  <c r="I1285" i="2"/>
  <c r="I1286" i="2" s="1"/>
  <c r="I1804" i="2"/>
  <c r="I1310" i="2"/>
  <c r="I1713" i="2"/>
  <c r="I1714" i="2" s="1"/>
  <c r="I1625" i="2"/>
  <c r="I1626" i="2" s="1"/>
  <c r="I1079" i="2"/>
  <c r="J68" i="6" s="1"/>
  <c r="K667" i="2"/>
  <c r="X31" i="15"/>
  <c r="I1041" i="2"/>
  <c r="X16" i="15"/>
  <c r="I1164" i="2"/>
  <c r="J121" i="6" s="1"/>
  <c r="J122" i="6" s="1"/>
  <c r="X17" i="15"/>
  <c r="T105" i="15"/>
  <c r="X105" i="15" s="1"/>
  <c r="K1454" i="2"/>
  <c r="T106" i="15"/>
  <c r="I1453" i="2"/>
  <c r="K31" i="8"/>
  <c r="K32" i="8" s="1"/>
  <c r="I1261" i="2"/>
  <c r="X30" i="15"/>
  <c r="E76" i="4"/>
  <c r="K1450" i="2"/>
  <c r="I1449" i="2"/>
  <c r="T93" i="15"/>
  <c r="K1442" i="2"/>
  <c r="T98" i="15"/>
  <c r="X98" i="15" s="1"/>
  <c r="I1445" i="2"/>
  <c r="T97" i="15"/>
  <c r="K1446" i="2"/>
  <c r="T94" i="15"/>
  <c r="X94" i="15" s="1"/>
  <c r="I1441" i="2"/>
  <c r="I1437" i="2"/>
  <c r="K1438" i="2"/>
  <c r="X14" i="15"/>
  <c r="Q146" i="6"/>
  <c r="I1250" i="2"/>
  <c r="J152" i="6" s="1"/>
  <c r="J153" i="6" s="1"/>
  <c r="O401" i="2"/>
  <c r="I1400" i="2"/>
  <c r="I1876" i="2"/>
  <c r="I662" i="2"/>
  <c r="K1462" i="2"/>
  <c r="I1461" i="2"/>
  <c r="X85" i="15"/>
  <c r="K1434" i="2"/>
  <c r="K1423" i="2"/>
  <c r="X82" i="15"/>
  <c r="I810" i="2"/>
  <c r="J218" i="6" s="1"/>
  <c r="T78" i="15"/>
  <c r="X78" i="15" s="1"/>
  <c r="I1416" i="2"/>
  <c r="T77" i="15"/>
  <c r="K1417" i="2"/>
  <c r="I1230" i="2"/>
  <c r="T1600" i="2"/>
  <c r="O1488" i="2"/>
  <c r="I790" i="2"/>
  <c r="L790" i="2" s="1"/>
  <c r="K1332" i="2"/>
  <c r="J13" i="8"/>
  <c r="T120" i="15"/>
  <c r="I1465" i="2"/>
  <c r="K1466" i="2"/>
  <c r="I876" i="2"/>
  <c r="Q192" i="6"/>
  <c r="I759" i="2"/>
  <c r="Q223" i="6"/>
  <c r="X47" i="15"/>
  <c r="I727" i="2"/>
  <c r="I1362" i="2"/>
  <c r="K799" i="2"/>
  <c r="I798" i="2"/>
  <c r="Q25" i="6"/>
  <c r="I890" i="2"/>
  <c r="I1216" i="2"/>
  <c r="Q189" i="6"/>
  <c r="K1217" i="2"/>
  <c r="Q191" i="6"/>
  <c r="Q190" i="6"/>
  <c r="O1217" i="2"/>
  <c r="K805" i="2"/>
  <c r="I804" i="2"/>
  <c r="Q208" i="6"/>
  <c r="T73" i="15"/>
  <c r="K1413" i="2"/>
  <c r="T74" i="15"/>
  <c r="X74" i="15" s="1"/>
  <c r="I1412" i="2"/>
  <c r="X27" i="15"/>
  <c r="K811" i="2"/>
  <c r="AA125" i="15"/>
  <c r="O423" i="2"/>
  <c r="T70" i="15"/>
  <c r="I1408" i="2"/>
  <c r="T69" i="15"/>
  <c r="X69" i="15" s="1"/>
  <c r="K1409" i="2"/>
  <c r="I1280" i="2"/>
  <c r="I3" i="8"/>
  <c r="O1343" i="2"/>
  <c r="P201" i="6" s="1"/>
  <c r="N1761" i="2"/>
  <c r="A1743" i="2"/>
  <c r="M805" i="2"/>
  <c r="M811" i="2" s="1"/>
  <c r="N219" i="6" s="1"/>
  <c r="N1751" i="2"/>
  <c r="A1715" i="2"/>
  <c r="N1723" i="2"/>
  <c r="A319" i="2"/>
  <c r="K877" i="2"/>
  <c r="M791" i="2"/>
  <c r="T66" i="15"/>
  <c r="X66" i="15" s="1"/>
  <c r="I1404" i="2"/>
  <c r="P958" i="2"/>
  <c r="A956" i="2"/>
  <c r="P261" i="2"/>
  <c r="A1775" i="2"/>
  <c r="P645" i="2"/>
  <c r="A641" i="2"/>
  <c r="K1405" i="2"/>
  <c r="A1693" i="2"/>
  <c r="N1702" i="2"/>
  <c r="P1781" i="2"/>
  <c r="A1825" i="2"/>
  <c r="A1752" i="2"/>
  <c r="N1833" i="2"/>
  <c r="A225" i="4"/>
  <c r="A226" i="4" s="1"/>
  <c r="T56" i="15"/>
  <c r="X56" i="15" s="1"/>
  <c r="A72" i="4"/>
  <c r="O33" i="7"/>
  <c r="P53" i="6"/>
  <c r="M401" i="2"/>
  <c r="I1766" i="2"/>
  <c r="I1049" i="2"/>
  <c r="P239" i="2"/>
  <c r="O1080" i="2"/>
  <c r="P69" i="6" s="1"/>
  <c r="F8" i="12"/>
  <c r="Q220" i="6"/>
  <c r="K791" i="2"/>
  <c r="Q222" i="6"/>
  <c r="Q221" i="6"/>
  <c r="Q147" i="6"/>
  <c r="O38" i="7"/>
  <c r="A1609" i="2"/>
  <c r="I1070" i="2"/>
  <c r="T62" i="15"/>
  <c r="X62" i="15" s="1"/>
  <c r="T59" i="15"/>
  <c r="K1396" i="2"/>
  <c r="T61" i="15"/>
  <c r="X61" i="15" s="1"/>
  <c r="T60" i="15"/>
  <c r="X60" i="15" s="1"/>
  <c r="I1395" i="2"/>
  <c r="A1166" i="2"/>
  <c r="Q143" i="6"/>
  <c r="Q54" i="6"/>
  <c r="O32" i="7"/>
  <c r="K1093" i="2"/>
  <c r="I1389" i="2"/>
  <c r="K750" i="2"/>
  <c r="K965" i="2"/>
  <c r="Q151" i="6"/>
  <c r="I1092" i="2"/>
  <c r="K1025" i="2"/>
  <c r="K653" i="2"/>
  <c r="K625" i="2"/>
  <c r="O791" i="2"/>
  <c r="K1311" i="2"/>
  <c r="K1108" i="2"/>
  <c r="I847" i="2"/>
  <c r="N125" i="15"/>
  <c r="K1165" i="2"/>
  <c r="I1107" i="2"/>
  <c r="P1173" i="2"/>
  <c r="K1281" i="2"/>
  <c r="T55" i="15"/>
  <c r="X55" i="15" s="1"/>
  <c r="I687" i="2"/>
  <c r="N239" i="2"/>
  <c r="Q154" i="6"/>
  <c r="I1598" i="2"/>
  <c r="K884" i="2"/>
  <c r="I1368" i="2"/>
  <c r="X26" i="15"/>
  <c r="K688" i="2"/>
  <c r="A1736" i="2"/>
  <c r="N1742" i="2"/>
  <c r="K1203" i="2"/>
  <c r="T34" i="15"/>
  <c r="X34" i="15" s="1"/>
  <c r="K1100" i="2"/>
  <c r="K1488" i="2"/>
  <c r="K1297" i="2"/>
  <c r="I1354" i="2"/>
  <c r="N1614" i="2"/>
  <c r="K901" i="2"/>
  <c r="K776" i="2"/>
  <c r="K663" i="2"/>
  <c r="K1042" i="2"/>
  <c r="K681" i="2"/>
  <c r="K848" i="2"/>
  <c r="Q148" i="6"/>
  <c r="K971" i="2"/>
  <c r="K1355" i="2"/>
  <c r="K1302" i="2"/>
  <c r="K1375" i="2"/>
  <c r="K767" i="2"/>
  <c r="K1002" i="2"/>
  <c r="I1210" i="2"/>
  <c r="K1141" i="2"/>
  <c r="K759" i="2"/>
  <c r="O36" i="7"/>
  <c r="K943" i="2"/>
  <c r="I900" i="2"/>
  <c r="K1390" i="2"/>
  <c r="T36" i="15"/>
  <c r="X36" i="15" s="1"/>
  <c r="K995" i="2"/>
  <c r="K1197" i="2"/>
  <c r="I1140" i="2"/>
  <c r="K1152" i="2"/>
  <c r="I1017" i="2"/>
  <c r="I994" i="2"/>
  <c r="I72" i="7" s="1"/>
  <c r="I73" i="7" s="1"/>
  <c r="K1071" i="2"/>
  <c r="K870" i="2"/>
  <c r="K640" i="2"/>
  <c r="T53" i="15"/>
  <c r="X53" i="15" s="1"/>
  <c r="K1262" i="2"/>
  <c r="I1196" i="2"/>
  <c r="K728" i="2"/>
  <c r="K892" i="2"/>
  <c r="K1286" i="2"/>
  <c r="K1080" i="2"/>
  <c r="K1064" i="2"/>
  <c r="K856" i="2"/>
  <c r="K722" i="2"/>
  <c r="I639" i="2"/>
  <c r="K1050" i="2"/>
  <c r="K1018" i="2"/>
  <c r="K1231" i="2"/>
  <c r="K1211" i="2"/>
  <c r="K1767" i="2"/>
  <c r="K1608" i="2"/>
  <c r="H1958" i="2"/>
  <c r="I1238" i="2"/>
  <c r="K1239" i="2"/>
  <c r="I863" i="2"/>
  <c r="I864" i="2" s="1"/>
  <c r="K1058" i="2"/>
  <c r="I1057" i="2"/>
  <c r="J46" i="6" s="1"/>
  <c r="J47" i="6" s="1"/>
  <c r="I1157" i="2"/>
  <c r="K1158" i="2"/>
  <c r="K785" i="2"/>
  <c r="K699" i="2"/>
  <c r="K1937" i="2"/>
  <c r="K1846" i="2"/>
  <c r="K1251" i="2"/>
  <c r="K1852" i="2"/>
  <c r="K1292" i="2"/>
  <c r="K1788" i="2"/>
  <c r="K1683" i="2"/>
  <c r="I1296" i="2"/>
  <c r="I1297" i="2" s="1"/>
  <c r="I1374" i="2"/>
  <c r="K911" i="2"/>
  <c r="K1877" i="2"/>
  <c r="I1682" i="2"/>
  <c r="I1787" i="2"/>
  <c r="K1384" i="2"/>
  <c r="Q150" i="6"/>
  <c r="I910" i="2"/>
  <c r="K1667" i="2"/>
  <c r="I1666" i="2"/>
  <c r="K1363" i="2"/>
  <c r="I1918" i="2"/>
  <c r="K1919" i="2"/>
  <c r="K929" i="2"/>
  <c r="K1901" i="2"/>
  <c r="K1369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401" i="2"/>
  <c r="K1933" i="2"/>
  <c r="K1841" i="2"/>
  <c r="I1936" i="2"/>
  <c r="K1861" i="2"/>
  <c r="K1343" i="2"/>
  <c r="K1774" i="2"/>
  <c r="K1637" i="2"/>
  <c r="K1714" i="2"/>
  <c r="K1675" i="2"/>
  <c r="I1773" i="2"/>
  <c r="K1224" i="2"/>
  <c r="I1223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4" i="2"/>
  <c r="I376" i="2" l="1"/>
  <c r="I377" i="2" s="1"/>
  <c r="E250" i="4"/>
  <c r="I250" i="4" s="1"/>
  <c r="E32" i="4"/>
  <c r="E5" i="4"/>
  <c r="I1956" i="2"/>
  <c r="E66" i="4"/>
  <c r="E140" i="4"/>
  <c r="E222" i="4"/>
  <c r="I520" i="2"/>
  <c r="E200" i="4"/>
  <c r="I200" i="4" s="1"/>
  <c r="J1529" i="2" s="1"/>
  <c r="J1530" i="2" s="1"/>
  <c r="E218" i="4"/>
  <c r="I218" i="4" s="1"/>
  <c r="J1564" i="2" s="1"/>
  <c r="J1565" i="2" s="1"/>
  <c r="E219" i="4"/>
  <c r="I219" i="4" s="1"/>
  <c r="J1559" i="2" s="1"/>
  <c r="J1560" i="2" s="1"/>
  <c r="I1565" i="2"/>
  <c r="I1560" i="2"/>
  <c r="I629" i="2"/>
  <c r="I92" i="7"/>
  <c r="I93" i="7" s="1"/>
  <c r="I94" i="7" s="1"/>
  <c r="K1600" i="2"/>
  <c r="L359" i="2"/>
  <c r="J23" i="6"/>
  <c r="J24" i="6" s="1"/>
  <c r="I1595" i="2"/>
  <c r="E216" i="4"/>
  <c r="I216" i="4" s="1"/>
  <c r="J628" i="2" s="1"/>
  <c r="J92" i="7" s="1"/>
  <c r="J93" i="7" s="1"/>
  <c r="L195" i="2"/>
  <c r="E92" i="4"/>
  <c r="E220" i="4"/>
  <c r="I220" i="4" s="1"/>
  <c r="J1146" i="2" s="1"/>
  <c r="E215" i="4"/>
  <c r="I215" i="4" s="1"/>
  <c r="J1554" i="2" s="1"/>
  <c r="J1555" i="2" s="1"/>
  <c r="A73" i="4"/>
  <c r="E7" i="4"/>
  <c r="I1555" i="2"/>
  <c r="I293" i="2"/>
  <c r="E132" i="4"/>
  <c r="E128" i="4"/>
  <c r="E37" i="4"/>
  <c r="E202" i="4"/>
  <c r="I202" i="4" s="1"/>
  <c r="J982" i="2" s="1"/>
  <c r="J983" i="2" s="1"/>
  <c r="E191" i="4"/>
  <c r="E50" i="4"/>
  <c r="E213" i="4"/>
  <c r="I213" i="4" s="1"/>
  <c r="J1539" i="2" s="1"/>
  <c r="J1540" i="2" s="1"/>
  <c r="E214" i="4"/>
  <c r="I214" i="4" s="1"/>
  <c r="J1548" i="2" s="1"/>
  <c r="J1549" i="2" s="1"/>
  <c r="J243" i="6"/>
  <c r="I833" i="2"/>
  <c r="E210" i="4"/>
  <c r="I210" i="4" s="1"/>
  <c r="J1586" i="2" s="1"/>
  <c r="I1587" i="2"/>
  <c r="E211" i="4"/>
  <c r="I211" i="4" s="1"/>
  <c r="J1533" i="2" s="1"/>
  <c r="J1534" i="2" s="1"/>
  <c r="E235" i="4"/>
  <c r="E212" i="4"/>
  <c r="I212" i="4" s="1"/>
  <c r="J1512" i="2" s="1"/>
  <c r="J1513" i="2" s="1"/>
  <c r="E217" i="4"/>
  <c r="I217" i="4" s="1"/>
  <c r="J1543" i="2" s="1"/>
  <c r="J1544" i="2" s="1"/>
  <c r="E16" i="4"/>
  <c r="I1549" i="2"/>
  <c r="E146" i="4"/>
  <c r="I146" i="4" s="1"/>
  <c r="J1342" i="2" s="1"/>
  <c r="I1544" i="2"/>
  <c r="I1513" i="2"/>
  <c r="I1534" i="2"/>
  <c r="I1540" i="2"/>
  <c r="E206" i="4"/>
  <c r="I206" i="4" s="1"/>
  <c r="J1008" i="2" s="1"/>
  <c r="E207" i="4"/>
  <c r="I207" i="4" s="1"/>
  <c r="J976" i="2" s="1"/>
  <c r="E99" i="4"/>
  <c r="I491" i="2"/>
  <c r="I492" i="2" s="1"/>
  <c r="K314" i="2"/>
  <c r="E208" i="4"/>
  <c r="I208" i="4" s="1"/>
  <c r="I1591" i="2"/>
  <c r="E205" i="4"/>
  <c r="I205" i="4" s="1"/>
  <c r="J1582" i="2" s="1"/>
  <c r="J1583" i="2" s="1"/>
  <c r="I1583" i="2"/>
  <c r="E203" i="4"/>
  <c r="I203" i="4" s="1"/>
  <c r="J1577" i="2" s="1"/>
  <c r="J1578" i="2" s="1"/>
  <c r="E138" i="4"/>
  <c r="E22" i="4"/>
  <c r="E199" i="4"/>
  <c r="I199" i="4" s="1"/>
  <c r="J1523" i="2" s="1"/>
  <c r="M49" i="8"/>
  <c r="E170" i="4"/>
  <c r="I170" i="4" s="1"/>
  <c r="J1400" i="2" s="1"/>
  <c r="J1401" i="2" s="1"/>
  <c r="K341" i="2"/>
  <c r="I340" i="2"/>
  <c r="I341" i="2" s="1"/>
  <c r="K377" i="2"/>
  <c r="E227" i="4"/>
  <c r="E78" i="4"/>
  <c r="E204" i="4"/>
  <c r="I204" i="4" s="1"/>
  <c r="J1572" i="2" s="1"/>
  <c r="J1573" i="2" s="1"/>
  <c r="E81" i="4"/>
  <c r="I81" i="4" s="1"/>
  <c r="E201" i="4"/>
  <c r="I201" i="4" s="1"/>
  <c r="J988" i="2" s="1"/>
  <c r="E90" i="4"/>
  <c r="E84" i="4"/>
  <c r="I84" i="4" s="1"/>
  <c r="J866" i="2" s="1"/>
  <c r="E82" i="4"/>
  <c r="I82" i="4" s="1"/>
  <c r="J756" i="2" s="1"/>
  <c r="I1578" i="2"/>
  <c r="I1573" i="2"/>
  <c r="E134" i="4"/>
  <c r="E252" i="4"/>
  <c r="M16" i="6"/>
  <c r="L47" i="7"/>
  <c r="E209" i="4"/>
  <c r="I209" i="4" s="1"/>
  <c r="J1568" i="2" s="1"/>
  <c r="J1569" i="2" s="1"/>
  <c r="I983" i="2"/>
  <c r="I1569" i="2"/>
  <c r="I989" i="2"/>
  <c r="X5" i="2"/>
  <c r="X6" i="2"/>
  <c r="E197" i="4"/>
  <c r="I197" i="4" s="1"/>
  <c r="J1506" i="2" s="1"/>
  <c r="J1507" i="2" s="1"/>
  <c r="E196" i="4"/>
  <c r="I196" i="4" s="1"/>
  <c r="J1501" i="2" s="1"/>
  <c r="J1502" i="2" s="1"/>
  <c r="E195" i="4"/>
  <c r="I195" i="4" s="1"/>
  <c r="J1496" i="2" s="1"/>
  <c r="J1497" i="2" s="1"/>
  <c r="E198" i="4"/>
  <c r="I198" i="4" s="1"/>
  <c r="J1517" i="2" s="1"/>
  <c r="J1518" i="2" s="1"/>
  <c r="I1530" i="2"/>
  <c r="I1502" i="2"/>
  <c r="I1507" i="2"/>
  <c r="I1518" i="2"/>
  <c r="I1524" i="2"/>
  <c r="I1497" i="2"/>
  <c r="E137" i="4"/>
  <c r="E192" i="4"/>
  <c r="I192" i="4" s="1"/>
  <c r="J1491" i="2" s="1"/>
  <c r="J1492" i="2" s="1"/>
  <c r="L219" i="6"/>
  <c r="L53" i="6"/>
  <c r="M49" i="6"/>
  <c r="I1492" i="2"/>
  <c r="E48" i="4"/>
  <c r="E47" i="4"/>
  <c r="E150" i="4"/>
  <c r="I1115" i="2"/>
  <c r="J88" i="6"/>
  <c r="J89" i="6" s="1"/>
  <c r="M105" i="6"/>
  <c r="J108" i="6"/>
  <c r="J109" i="6" s="1"/>
  <c r="I1135" i="2"/>
  <c r="L109" i="6"/>
  <c r="L188" i="6"/>
  <c r="L69" i="6"/>
  <c r="W4" i="2"/>
  <c r="E24" i="4"/>
  <c r="E23" i="4"/>
  <c r="K40" i="7"/>
  <c r="E63" i="4"/>
  <c r="E194" i="4"/>
  <c r="I194" i="4" s="1"/>
  <c r="J1481" i="2" s="1"/>
  <c r="I1482" i="2"/>
  <c r="E193" i="4"/>
  <c r="E190" i="4"/>
  <c r="I190" i="4" s="1"/>
  <c r="J1273" i="2" s="1"/>
  <c r="L1273" i="2" s="1"/>
  <c r="M236" i="6" s="1"/>
  <c r="J236" i="6"/>
  <c r="J237" i="6" s="1"/>
  <c r="I1274" i="2"/>
  <c r="I1477" i="2"/>
  <c r="E188" i="4"/>
  <c r="I1471" i="2"/>
  <c r="L237" i="6"/>
  <c r="E133" i="4"/>
  <c r="M232" i="6"/>
  <c r="J167" i="6"/>
  <c r="J168" i="6" s="1"/>
  <c r="L168" i="6"/>
  <c r="E248" i="4"/>
  <c r="E249" i="4"/>
  <c r="J173" i="6"/>
  <c r="J174" i="6" s="1"/>
  <c r="I1332" i="2"/>
  <c r="I1913" i="2"/>
  <c r="I1910" i="2"/>
  <c r="E236" i="4"/>
  <c r="E126" i="4"/>
  <c r="E86" i="4"/>
  <c r="E65" i="4"/>
  <c r="E64" i="4"/>
  <c r="E67" i="4"/>
  <c r="E29" i="4"/>
  <c r="E105" i="4"/>
  <c r="L104" i="6"/>
  <c r="L174" i="6"/>
  <c r="L145" i="6"/>
  <c r="L243" i="6"/>
  <c r="L231" i="6"/>
  <c r="E75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1" i="4"/>
  <c r="I251" i="4" s="1"/>
  <c r="E187" i="4"/>
  <c r="M47" i="8"/>
  <c r="T92" i="15"/>
  <c r="T45" i="15"/>
  <c r="Q180" i="6"/>
  <c r="Q82" i="6"/>
  <c r="T104" i="15"/>
  <c r="I1692" i="2"/>
  <c r="I1774" i="2"/>
  <c r="I1852" i="2"/>
  <c r="I1767" i="2"/>
  <c r="I1883" i="2"/>
  <c r="I767" i="2"/>
  <c r="I1080" i="2"/>
  <c r="I1901" i="2"/>
  <c r="I1599" i="2"/>
  <c r="I1656" i="2"/>
  <c r="I1788" i="2"/>
  <c r="I884" i="2"/>
  <c r="I1281" i="2"/>
  <c r="I1042" i="2"/>
  <c r="I1608" i="2"/>
  <c r="I929" i="2"/>
  <c r="I943" i="2"/>
  <c r="I1919" i="2"/>
  <c r="I1846" i="2"/>
  <c r="I1108" i="2"/>
  <c r="I1025" i="2"/>
  <c r="I965" i="2"/>
  <c r="I1841" i="2"/>
  <c r="I971" i="2"/>
  <c r="N24" i="15"/>
  <c r="N25" i="15" s="1"/>
  <c r="I1363" i="2"/>
  <c r="I1152" i="2"/>
  <c r="I750" i="2"/>
  <c r="I699" i="2"/>
  <c r="I848" i="2"/>
  <c r="I1683" i="2"/>
  <c r="M60" i="6"/>
  <c r="I877" i="2"/>
  <c r="I1805" i="2"/>
  <c r="I1224" i="2"/>
  <c r="I1018" i="2"/>
  <c r="I1203" i="2"/>
  <c r="N38" i="15"/>
  <c r="N39" i="15" s="1"/>
  <c r="M81" i="6"/>
  <c r="M82" i="6" s="1"/>
  <c r="A76" i="6" s="1"/>
  <c r="I728" i="2"/>
  <c r="I1637" i="2"/>
  <c r="I1933" i="2"/>
  <c r="I681" i="2"/>
  <c r="I1211" i="2"/>
  <c r="I1050" i="2"/>
  <c r="N115" i="15"/>
  <c r="N116" i="15" s="1"/>
  <c r="T116" i="15"/>
  <c r="I1795" i="2"/>
  <c r="I1667" i="2"/>
  <c r="N44" i="15"/>
  <c r="N45" i="15" s="1"/>
  <c r="I785" i="2"/>
  <c r="N91" i="15"/>
  <c r="N92" i="15" s="1"/>
  <c r="N103" i="15"/>
  <c r="N104" i="15" s="1"/>
  <c r="M179" i="6"/>
  <c r="M180" i="6" s="1"/>
  <c r="A175" i="6" s="1"/>
  <c r="I1675" i="2"/>
  <c r="N67" i="15"/>
  <c r="N68" i="15" s="1"/>
  <c r="I663" i="2"/>
  <c r="X101" i="15"/>
  <c r="I1311" i="2"/>
  <c r="I1869" i="2"/>
  <c r="I839" i="2"/>
  <c r="I911" i="2"/>
  <c r="Q115" i="6"/>
  <c r="T25" i="15"/>
  <c r="I688" i="2"/>
  <c r="I1390" i="2"/>
  <c r="I1231" i="2"/>
  <c r="I1877" i="2"/>
  <c r="I1165" i="2"/>
  <c r="I856" i="2"/>
  <c r="I1292" i="2"/>
  <c r="I776" i="2"/>
  <c r="I1239" i="2"/>
  <c r="I1158" i="2"/>
  <c r="I901" i="2"/>
  <c r="I892" i="2"/>
  <c r="I1401" i="2"/>
  <c r="I1262" i="2"/>
  <c r="I653" i="2"/>
  <c r="I1907" i="2"/>
  <c r="M39" i="8"/>
  <c r="I640" i="2"/>
  <c r="E189" i="4"/>
  <c r="I189" i="4" s="1"/>
  <c r="J1470" i="2" s="1"/>
  <c r="E103" i="4"/>
  <c r="I705" i="2"/>
  <c r="I711" i="2"/>
  <c r="E36" i="4"/>
  <c r="E11" i="4"/>
  <c r="E9" i="4"/>
  <c r="E106" i="4"/>
  <c r="E73" i="4"/>
  <c r="I73" i="4" s="1"/>
  <c r="J698" i="2" s="1"/>
  <c r="I1130" i="2"/>
  <c r="E12" i="4"/>
  <c r="E42" i="4"/>
  <c r="E30" i="4"/>
  <c r="E243" i="4"/>
  <c r="E231" i="4"/>
  <c r="I231" i="4" s="1"/>
  <c r="J1607" i="2" s="1"/>
  <c r="L1607" i="2" s="1"/>
  <c r="L1608" i="2" s="1"/>
  <c r="E129" i="4"/>
  <c r="I129" i="4" s="1"/>
  <c r="J1296" i="2" s="1"/>
  <c r="L1296" i="2" s="1"/>
  <c r="L1297" i="2" s="1"/>
  <c r="E119" i="4"/>
  <c r="E101" i="4"/>
  <c r="I101" i="4" s="1"/>
  <c r="J1099" i="2" s="1"/>
  <c r="E34" i="4"/>
  <c r="E17" i="4"/>
  <c r="F17" i="4" s="1"/>
  <c r="E230" i="4"/>
  <c r="E154" i="4"/>
  <c r="I154" i="4" s="1"/>
  <c r="J970" i="2" s="1"/>
  <c r="L970" i="2" s="1"/>
  <c r="L971" i="2" s="1"/>
  <c r="E112" i="4"/>
  <c r="E242" i="4"/>
  <c r="E237" i="4"/>
  <c r="E226" i="4"/>
  <c r="I226" i="4" s="1"/>
  <c r="E153" i="4"/>
  <c r="E109" i="4"/>
  <c r="E95" i="4"/>
  <c r="I95" i="4" s="1"/>
  <c r="J964" i="2" s="1"/>
  <c r="E15" i="4"/>
  <c r="E72" i="4"/>
  <c r="E57" i="4"/>
  <c r="F57" i="4" s="1"/>
  <c r="E225" i="4"/>
  <c r="E145" i="4"/>
  <c r="E125" i="4"/>
  <c r="E108" i="4"/>
  <c r="E93" i="4"/>
  <c r="E43" i="4"/>
  <c r="E91" i="4"/>
  <c r="E25" i="4"/>
  <c r="E223" i="4"/>
  <c r="E124" i="4"/>
  <c r="E107" i="4"/>
  <c r="E80" i="4"/>
  <c r="I80" i="4" s="1"/>
  <c r="J680" i="2" s="1"/>
  <c r="L680" i="2" s="1"/>
  <c r="L681" i="2" s="1"/>
  <c r="E26" i="4"/>
  <c r="E8" i="4"/>
  <c r="E122" i="4"/>
  <c r="E79" i="4"/>
  <c r="E234" i="4"/>
  <c r="E41" i="4"/>
  <c r="E253" i="4"/>
  <c r="I253" i="4" s="1"/>
  <c r="J1860" i="2" s="1"/>
  <c r="L1860" i="2" s="1"/>
  <c r="L1861" i="2" s="1"/>
  <c r="E233" i="4"/>
  <c r="E184" i="4"/>
  <c r="E135" i="4"/>
  <c r="E121" i="4"/>
  <c r="E104" i="4"/>
  <c r="E55" i="4"/>
  <c r="F55" i="4" s="1"/>
  <c r="E87" i="4"/>
  <c r="E53" i="4"/>
  <c r="F53" i="4" s="1"/>
  <c r="E20" i="4"/>
  <c r="F20" i="4" s="1"/>
  <c r="E31" i="4"/>
  <c r="E245" i="4"/>
  <c r="E232" i="4"/>
  <c r="E162" i="4"/>
  <c r="I162" i="4" s="1"/>
  <c r="J1362" i="2" s="1"/>
  <c r="L1362" i="2" s="1"/>
  <c r="L1363" i="2" s="1"/>
  <c r="E120" i="4"/>
  <c r="E77" i="4"/>
  <c r="I77" i="4" s="1"/>
  <c r="J639" i="2" s="1"/>
  <c r="L639" i="2" s="1"/>
  <c r="L640" i="2" s="1"/>
  <c r="E127" i="4"/>
  <c r="E21" i="4"/>
  <c r="E117" i="4"/>
  <c r="E240" i="4"/>
  <c r="E111" i="4"/>
  <c r="E131" i="4"/>
  <c r="E238" i="4"/>
  <c r="I238" i="4" s="1"/>
  <c r="J1787" i="2" s="1"/>
  <c r="L1787" i="2" s="1"/>
  <c r="L1788" i="2" s="1"/>
  <c r="E186" i="4"/>
  <c r="I823" i="2"/>
  <c r="E246" i="4"/>
  <c r="E94" i="4"/>
  <c r="I94" i="4" s="1"/>
  <c r="E143" i="4"/>
  <c r="E157" i="4"/>
  <c r="I157" i="4" s="1"/>
  <c r="E169" i="4"/>
  <c r="I169" i="4" s="1"/>
  <c r="E181" i="4"/>
  <c r="E51" i="4"/>
  <c r="F51" i="4" s="1"/>
  <c r="E247" i="4"/>
  <c r="E144" i="4"/>
  <c r="E158" i="4"/>
  <c r="E182" i="4"/>
  <c r="I182" i="4" s="1"/>
  <c r="J1461" i="2" s="1"/>
  <c r="L1461" i="2" s="1"/>
  <c r="E38" i="4"/>
  <c r="E147" i="4"/>
  <c r="I147" i="4" s="1"/>
  <c r="J1189" i="2" s="1"/>
  <c r="L1189" i="2" s="1"/>
  <c r="E224" i="4"/>
  <c r="E83" i="4"/>
  <c r="I83" i="4" s="1"/>
  <c r="J863" i="2" s="1"/>
  <c r="E96" i="4"/>
  <c r="E159" i="4"/>
  <c r="I159" i="4" s="1"/>
  <c r="J1317" i="2" s="1"/>
  <c r="E171" i="4"/>
  <c r="I171" i="4" s="1"/>
  <c r="J1408" i="2" s="1"/>
  <c r="L1408" i="2" s="1"/>
  <c r="E97" i="4"/>
  <c r="I97" i="4" s="1"/>
  <c r="J732" i="2" s="1"/>
  <c r="L732" i="2" s="1"/>
  <c r="E110" i="4"/>
  <c r="I110" i="4" s="1"/>
  <c r="J1598" i="2" s="1"/>
  <c r="L1598" i="2" s="1"/>
  <c r="L1599" i="2" s="1"/>
  <c r="A1596" i="2" s="1"/>
  <c r="E160" i="4"/>
  <c r="I160" i="4" s="1"/>
  <c r="E172" i="4"/>
  <c r="E39" i="4"/>
  <c r="E52" i="4"/>
  <c r="E71" i="4"/>
  <c r="I71" i="4" s="1"/>
  <c r="E98" i="4"/>
  <c r="I98" i="4" s="1"/>
  <c r="J737" i="2" s="1"/>
  <c r="L737" i="2" s="1"/>
  <c r="E239" i="4"/>
  <c r="E136" i="4"/>
  <c r="E148" i="4"/>
  <c r="E174" i="4"/>
  <c r="E27" i="4"/>
  <c r="F27" i="4" s="1"/>
  <c r="E54" i="4"/>
  <c r="E123" i="4"/>
  <c r="I123" i="4" s="1"/>
  <c r="E228" i="4"/>
  <c r="I228" i="4" s="1"/>
  <c r="E88" i="4"/>
  <c r="E100" i="4"/>
  <c r="I100" i="4" s="1"/>
  <c r="E113" i="4"/>
  <c r="E149" i="4"/>
  <c r="I149" i="4" s="1"/>
  <c r="J804" i="2" s="1"/>
  <c r="E163" i="4"/>
  <c r="I163" i="4" s="1"/>
  <c r="J1354" i="2" s="1"/>
  <c r="L1354" i="2" s="1"/>
  <c r="E175" i="4"/>
  <c r="I175" i="4" s="1"/>
  <c r="J1465" i="2" s="1"/>
  <c r="L1465" i="2" s="1"/>
  <c r="E28" i="4"/>
  <c r="F28" i="4" s="1"/>
  <c r="E59" i="4"/>
  <c r="F59" i="4" s="1"/>
  <c r="E18" i="4"/>
  <c r="E40" i="4"/>
  <c r="E229" i="4"/>
  <c r="I229" i="4" s="1"/>
  <c r="J1682" i="2" s="1"/>
  <c r="L1682" i="2" s="1"/>
  <c r="E241" i="4"/>
  <c r="E74" i="4"/>
  <c r="E89" i="4"/>
  <c r="I89" i="4" s="1"/>
  <c r="J1035" i="2" s="1"/>
  <c r="L1035" i="2" s="1"/>
  <c r="E114" i="4"/>
  <c r="E151" i="4"/>
  <c r="E164" i="4"/>
  <c r="I164" i="4" s="1"/>
  <c r="J1368" i="2" s="1"/>
  <c r="L1368" i="2" s="1"/>
  <c r="E176" i="4"/>
  <c r="E70" i="4"/>
  <c r="E13" i="4"/>
  <c r="F13" i="4" s="1"/>
  <c r="E56" i="4"/>
  <c r="F56" i="4" s="1"/>
  <c r="E168" i="4"/>
  <c r="E62" i="4"/>
  <c r="E183" i="4"/>
  <c r="E161" i="4"/>
  <c r="E102" i="4"/>
  <c r="E115" i="4"/>
  <c r="E139" i="4"/>
  <c r="I139" i="4" s="1"/>
  <c r="E165" i="4"/>
  <c r="E177" i="4"/>
  <c r="E14" i="4"/>
  <c r="F14" i="4" s="1"/>
  <c r="E45" i="4"/>
  <c r="E49" i="4"/>
  <c r="E116" i="4"/>
  <c r="E166" i="4"/>
  <c r="I166" i="4" s="1"/>
  <c r="J1383" i="2" s="1"/>
  <c r="E178" i="4"/>
  <c r="E33" i="4"/>
  <c r="E46" i="4"/>
  <c r="E60" i="4"/>
  <c r="E35" i="4"/>
  <c r="E244" i="4"/>
  <c r="E141" i="4"/>
  <c r="E155" i="4"/>
  <c r="E167" i="4"/>
  <c r="E179" i="4"/>
  <c r="E61" i="4"/>
  <c r="E180" i="4"/>
  <c r="I180" i="4" s="1"/>
  <c r="E185" i="4"/>
  <c r="I185" i="4" s="1"/>
  <c r="J1457" i="2" s="1"/>
  <c r="R111" i="15" s="1"/>
  <c r="R112" i="15" s="1"/>
  <c r="E118" i="4"/>
  <c r="E130" i="4"/>
  <c r="E142" i="4"/>
  <c r="E156" i="4"/>
  <c r="E19" i="4"/>
  <c r="E173" i="4"/>
  <c r="I1122" i="2"/>
  <c r="Q96" i="6"/>
  <c r="I828" i="2"/>
  <c r="I817" i="2"/>
  <c r="T112" i="15"/>
  <c r="X109" i="15"/>
  <c r="N111" i="15"/>
  <c r="I1458" i="2"/>
  <c r="N107" i="15"/>
  <c r="I1454" i="2"/>
  <c r="T108" i="15"/>
  <c r="X106" i="15"/>
  <c r="I1450" i="2"/>
  <c r="N95" i="15"/>
  <c r="I1442" i="2"/>
  <c r="T100" i="15"/>
  <c r="X97" i="15"/>
  <c r="N99" i="15"/>
  <c r="I1446" i="2"/>
  <c r="X93" i="15"/>
  <c r="T96" i="15"/>
  <c r="T19" i="15"/>
  <c r="I1438" i="2"/>
  <c r="M48" i="8"/>
  <c r="M46" i="8"/>
  <c r="I1462" i="2"/>
  <c r="I1434" i="2"/>
  <c r="T88" i="15"/>
  <c r="X86" i="15"/>
  <c r="I1423" i="2"/>
  <c r="T84" i="15"/>
  <c r="X81" i="15"/>
  <c r="T80" i="15"/>
  <c r="X77" i="15"/>
  <c r="N79" i="15"/>
  <c r="I1417" i="2"/>
  <c r="N120" i="15"/>
  <c r="I1466" i="2"/>
  <c r="Q32" i="6"/>
  <c r="M32" i="6"/>
  <c r="A25" i="6" s="1"/>
  <c r="I799" i="2"/>
  <c r="Q194" i="6"/>
  <c r="I1217" i="2"/>
  <c r="M193" i="6"/>
  <c r="M194" i="6" s="1"/>
  <c r="A189" i="6" s="1"/>
  <c r="Q213" i="6"/>
  <c r="M213" i="6"/>
  <c r="A208" i="6" s="1"/>
  <c r="I805" i="2"/>
  <c r="N75" i="15"/>
  <c r="I1413" i="2"/>
  <c r="X73" i="15"/>
  <c r="T76" i="15"/>
  <c r="I811" i="2"/>
  <c r="I2" i="8"/>
  <c r="K2" i="8" s="1"/>
  <c r="N71" i="15"/>
  <c r="I1409" i="2"/>
  <c r="T72" i="15"/>
  <c r="X70" i="15"/>
  <c r="T68" i="15"/>
  <c r="I1405" i="2"/>
  <c r="A9" i="4"/>
  <c r="A227" i="4"/>
  <c r="I1071" i="2"/>
  <c r="Q60" i="6"/>
  <c r="N19" i="15"/>
  <c r="I791" i="2"/>
  <c r="M225" i="6"/>
  <c r="A220" i="6" s="1"/>
  <c r="Q225" i="6"/>
  <c r="O58" i="7"/>
  <c r="I1002" i="2"/>
  <c r="X59" i="15"/>
  <c r="T64" i="15"/>
  <c r="N63" i="15"/>
  <c r="I1396" i="2"/>
  <c r="T33" i="15"/>
  <c r="I1343" i="2"/>
  <c r="I1355" i="2"/>
  <c r="I1093" i="2"/>
  <c r="M114" i="6"/>
  <c r="M115" i="6" s="1"/>
  <c r="N57" i="15"/>
  <c r="N58" i="15" s="1"/>
  <c r="I1251" i="2"/>
  <c r="I1064" i="2"/>
  <c r="I1369" i="2"/>
  <c r="I1302" i="2"/>
  <c r="I1375" i="2"/>
  <c r="I1141" i="2"/>
  <c r="T52" i="15"/>
  <c r="T125" i="15"/>
  <c r="T39" i="15"/>
  <c r="T58" i="15"/>
  <c r="I722" i="2"/>
  <c r="Q161" i="6"/>
  <c r="M159" i="6"/>
  <c r="M161" i="6" s="1"/>
  <c r="A154" i="6" s="1"/>
  <c r="I995" i="2"/>
  <c r="I1058" i="2"/>
  <c r="I1197" i="2"/>
  <c r="N33" i="15"/>
  <c r="I1384" i="2"/>
  <c r="I1100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6" i="4"/>
  <c r="N52" i="15"/>
  <c r="E254" i="4" l="1"/>
  <c r="J1913" i="2"/>
  <c r="J1940" i="2"/>
  <c r="A228" i="4"/>
  <c r="E6" i="4"/>
  <c r="J1655" i="2"/>
  <c r="L1559" i="2"/>
  <c r="L1560" i="2" s="1"/>
  <c r="P1560" i="2" s="1"/>
  <c r="L1564" i="2"/>
  <c r="L1565" i="2" s="1"/>
  <c r="P1565" i="2" s="1"/>
  <c r="I1600" i="2"/>
  <c r="I254" i="4"/>
  <c r="A74" i="4"/>
  <c r="L196" i="2"/>
  <c r="E221" i="4"/>
  <c r="I221" i="4" s="1"/>
  <c r="J749" i="2"/>
  <c r="L749" i="2" s="1"/>
  <c r="L750" i="2" s="1"/>
  <c r="L1554" i="2"/>
  <c r="L1555" i="2" s="1"/>
  <c r="N1555" i="2" s="1"/>
  <c r="A75" i="4"/>
  <c r="J66" i="4"/>
  <c r="F66" i="4"/>
  <c r="I66" i="4" s="1"/>
  <c r="J292" i="2" s="1"/>
  <c r="I378" i="2"/>
  <c r="K378" i="2"/>
  <c r="L1548" i="2"/>
  <c r="L1549" i="2" s="1"/>
  <c r="L1539" i="2"/>
  <c r="L1540" i="2" s="1"/>
  <c r="P1540" i="2" s="1"/>
  <c r="L248" i="6"/>
  <c r="J248" i="6"/>
  <c r="J1587" i="2"/>
  <c r="K246" i="6"/>
  <c r="K247" i="6" s="1"/>
  <c r="A54" i="6"/>
  <c r="L1586" i="2"/>
  <c r="L1533" i="2"/>
  <c r="L1534" i="2" s="1"/>
  <c r="P1534" i="2" s="1"/>
  <c r="L698" i="2"/>
  <c r="L699" i="2" s="1"/>
  <c r="L1512" i="2"/>
  <c r="L1513" i="2" s="1"/>
  <c r="P1513" i="2" s="1"/>
  <c r="L1543" i="2"/>
  <c r="L1544" i="2" s="1"/>
  <c r="P1544" i="2" s="1"/>
  <c r="J1591" i="2"/>
  <c r="L1582" i="2"/>
  <c r="L1583" i="2" s="1"/>
  <c r="P1583" i="2" s="1"/>
  <c r="L1577" i="2"/>
  <c r="L1578" i="2" s="1"/>
  <c r="P1578" i="2" s="1"/>
  <c r="J1524" i="2"/>
  <c r="L1572" i="2"/>
  <c r="L1573" i="2" s="1"/>
  <c r="N1573" i="2" s="1"/>
  <c r="I252" i="4"/>
  <c r="J1955" i="2" s="1"/>
  <c r="L982" i="2"/>
  <c r="L983" i="2" s="1"/>
  <c r="P983" i="2" s="1"/>
  <c r="L1568" i="2"/>
  <c r="L1569" i="2" s="1"/>
  <c r="L1383" i="2"/>
  <c r="L1384" i="2" s="1"/>
  <c r="J1348" i="2"/>
  <c r="L1348" i="2" s="1"/>
  <c r="L1523" i="2"/>
  <c r="L1524" i="2" s="1"/>
  <c r="N1524" i="2" s="1"/>
  <c r="L1496" i="2"/>
  <c r="L1497" i="2" s="1"/>
  <c r="N1497" i="2" s="1"/>
  <c r="L1506" i="2"/>
  <c r="L1507" i="2" s="1"/>
  <c r="P1507" i="2" s="1"/>
  <c r="L1501" i="2"/>
  <c r="L1502" i="2" s="1"/>
  <c r="N1502" i="2" s="1"/>
  <c r="L1529" i="2"/>
  <c r="L1530" i="2" s="1"/>
  <c r="P1530" i="2" s="1"/>
  <c r="L1317" i="2"/>
  <c r="L1318" i="2" s="1"/>
  <c r="L1242" i="2"/>
  <c r="L1243" i="2" s="1"/>
  <c r="L1517" i="2"/>
  <c r="L1518" i="2" s="1"/>
  <c r="P1518" i="2" s="1"/>
  <c r="L1491" i="2"/>
  <c r="L1492" i="2" s="1"/>
  <c r="N1492" i="2" s="1"/>
  <c r="L804" i="2"/>
  <c r="L805" i="2" s="1"/>
  <c r="I150" i="4"/>
  <c r="J810" i="2" s="1"/>
  <c r="J1267" i="2"/>
  <c r="L1267" i="2" s="1"/>
  <c r="A110" i="6"/>
  <c r="J38" i="7"/>
  <c r="L757" i="2"/>
  <c r="L38" i="7" s="1"/>
  <c r="W5" i="2"/>
  <c r="W6" i="2"/>
  <c r="J1482" i="2"/>
  <c r="L1481" i="2"/>
  <c r="L1482" i="2" s="1"/>
  <c r="N1482" i="2" s="1"/>
  <c r="I193" i="4"/>
  <c r="J1476" i="2" s="1"/>
  <c r="L1274" i="2"/>
  <c r="P1274" i="2" s="1"/>
  <c r="Q237" i="6" s="1"/>
  <c r="M237" i="6"/>
  <c r="K236" i="6"/>
  <c r="K237" i="6" s="1"/>
  <c r="J1274" i="2"/>
  <c r="I188" i="4"/>
  <c r="J1428" i="2"/>
  <c r="L1428" i="2" s="1"/>
  <c r="L1429" i="2" s="1"/>
  <c r="L1470" i="2"/>
  <c r="L1912" i="2"/>
  <c r="L1913" i="2" s="1"/>
  <c r="I249" i="4"/>
  <c r="J1909" i="2" s="1"/>
  <c r="I248" i="4"/>
  <c r="J1906" i="2" s="1"/>
  <c r="L1906" i="2" s="1"/>
  <c r="L1907" i="2" s="1"/>
  <c r="J67" i="4"/>
  <c r="F67" i="4"/>
  <c r="I67" i="4" s="1"/>
  <c r="J566" i="2" s="1"/>
  <c r="L566" i="2" s="1"/>
  <c r="F64" i="4"/>
  <c r="I64" i="4" s="1"/>
  <c r="J562" i="2" s="1"/>
  <c r="L562" i="2" s="1"/>
  <c r="J64" i="4"/>
  <c r="F65" i="4"/>
  <c r="I65" i="4" s="1"/>
  <c r="J65" i="4"/>
  <c r="F63" i="4"/>
  <c r="I63" i="4" s="1"/>
  <c r="J299" i="2" s="1"/>
  <c r="J37" i="7"/>
  <c r="L756" i="2"/>
  <c r="L37" i="7" s="1"/>
  <c r="L704" i="2"/>
  <c r="L705" i="2" s="1"/>
  <c r="J43" i="7"/>
  <c r="J624" i="2"/>
  <c r="L624" i="2" s="1"/>
  <c r="K94" i="7"/>
  <c r="L1099" i="2"/>
  <c r="J79" i="7"/>
  <c r="J80" i="7" s="1"/>
  <c r="L1342" i="2"/>
  <c r="K200" i="6"/>
  <c r="K201" i="6" s="1"/>
  <c r="L964" i="2"/>
  <c r="J66" i="7"/>
  <c r="J67" i="7" s="1"/>
  <c r="L863" i="2"/>
  <c r="J864" i="2"/>
  <c r="L864" i="2" s="1"/>
  <c r="L755" i="2"/>
  <c r="J36" i="7"/>
  <c r="L1807" i="2"/>
  <c r="L1400" i="2"/>
  <c r="L1401" i="2" s="1"/>
  <c r="N1401" i="2" s="1"/>
  <c r="L1457" i="2"/>
  <c r="L867" i="2"/>
  <c r="L43" i="7" s="1"/>
  <c r="J10" i="4"/>
  <c r="F10" i="4"/>
  <c r="I10" i="4" s="1"/>
  <c r="J96" i="2" s="1"/>
  <c r="L96" i="2" s="1"/>
  <c r="L97" i="2" s="1"/>
  <c r="A10" i="4"/>
  <c r="A11" i="4" s="1"/>
  <c r="I184" i="4"/>
  <c r="J666" i="2" s="1"/>
  <c r="J711" i="2"/>
  <c r="L711" i="2" s="1"/>
  <c r="N711" i="2" s="1"/>
  <c r="J1107" i="2"/>
  <c r="L1107" i="2" s="1"/>
  <c r="L1108" i="2" s="1"/>
  <c r="N1108" i="2" s="1"/>
  <c r="L570" i="2"/>
  <c r="L571" i="2" s="1"/>
  <c r="I131" i="4"/>
  <c r="J1079" i="2" s="1"/>
  <c r="F26" i="4"/>
  <c r="I26" i="4" s="1"/>
  <c r="J245" i="2" s="1"/>
  <c r="L245" i="2" s="1"/>
  <c r="L246" i="2" s="1"/>
  <c r="J1666" i="2"/>
  <c r="L1666" i="2" s="1"/>
  <c r="L1667" i="2" s="1"/>
  <c r="I143" i="4"/>
  <c r="I108" i="4"/>
  <c r="J766" i="2" s="1"/>
  <c r="L766" i="2" s="1"/>
  <c r="L767" i="2" s="1"/>
  <c r="I132" i="4"/>
  <c r="J1129" i="2" s="1"/>
  <c r="F11" i="4"/>
  <c r="I11" i="4" s="1"/>
  <c r="I241" i="4"/>
  <c r="J1794" i="2" s="1"/>
  <c r="L1794" i="2" s="1"/>
  <c r="L1795" i="2" s="1"/>
  <c r="I96" i="4"/>
  <c r="J740" i="2" s="1"/>
  <c r="L740" i="2" s="1"/>
  <c r="F22" i="4"/>
  <c r="I22" i="4" s="1"/>
  <c r="J223" i="2" s="1"/>
  <c r="I113" i="4"/>
  <c r="J1196" i="2" s="1"/>
  <c r="I87" i="4"/>
  <c r="J1049" i="2" s="1"/>
  <c r="L1049" i="2" s="1"/>
  <c r="I161" i="4"/>
  <c r="J1335" i="2" s="1"/>
  <c r="L1335" i="2" s="1"/>
  <c r="I224" i="4"/>
  <c r="J1936" i="2" s="1"/>
  <c r="I127" i="4"/>
  <c r="J1238" i="2" s="1"/>
  <c r="L1238" i="2" s="1"/>
  <c r="L1239" i="2" s="1"/>
  <c r="F39" i="4"/>
  <c r="I39" i="4" s="1"/>
  <c r="J390" i="2" s="1"/>
  <c r="I136" i="4"/>
  <c r="F9" i="4"/>
  <c r="I9" i="4" s="1"/>
  <c r="I151" i="4"/>
  <c r="F18" i="4"/>
  <c r="I18" i="4" s="1"/>
  <c r="J122" i="2" s="1"/>
  <c r="L122" i="2" s="1"/>
  <c r="I138" i="4"/>
  <c r="J1063" i="2" s="1"/>
  <c r="I239" i="4"/>
  <c r="J1766" i="2" s="1"/>
  <c r="I172" i="4"/>
  <c r="J1404" i="2" s="1"/>
  <c r="L1404" i="2" s="1"/>
  <c r="I234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09" i="4"/>
  <c r="J1261" i="2" s="1"/>
  <c r="L1261" i="2" s="1"/>
  <c r="I116" i="4"/>
  <c r="J1202" i="2" s="1"/>
  <c r="I176" i="4"/>
  <c r="J1422" i="2" s="1"/>
  <c r="L1422" i="2" s="1"/>
  <c r="L1423" i="2" s="1"/>
  <c r="I237" i="4"/>
  <c r="J1734" i="2" s="1"/>
  <c r="L1734" i="2" s="1"/>
  <c r="L1735" i="2" s="1"/>
  <c r="I130" i="4"/>
  <c r="J1070" i="2" s="1"/>
  <c r="L1070" i="2" s="1"/>
  <c r="F25" i="4"/>
  <c r="I25" i="4" s="1"/>
  <c r="F44" i="4"/>
  <c r="I44" i="4" s="1"/>
  <c r="J456" i="2" s="1"/>
  <c r="L456" i="2" s="1"/>
  <c r="L457" i="2" s="1"/>
  <c r="I86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9" i="2" s="1"/>
  <c r="L579" i="2" s="1"/>
  <c r="F12" i="4"/>
  <c r="I12" i="4" s="1"/>
  <c r="J109" i="2" s="1"/>
  <c r="L109" i="2" s="1"/>
  <c r="L111" i="2" s="1"/>
  <c r="I90" i="4"/>
  <c r="J1041" i="2" s="1"/>
  <c r="F24" i="4"/>
  <c r="I24" i="4" s="1"/>
  <c r="J208" i="2" s="1"/>
  <c r="I79" i="4"/>
  <c r="J687" i="2" s="1"/>
  <c r="L687" i="2" s="1"/>
  <c r="L688" i="2" s="1"/>
  <c r="F46" i="4"/>
  <c r="I46" i="4" s="1"/>
  <c r="I178" i="4"/>
  <c r="J1441" i="2" s="1"/>
  <c r="L1441" i="2" s="1"/>
  <c r="I78" i="4"/>
  <c r="J662" i="2" s="1"/>
  <c r="L662" i="2" s="1"/>
  <c r="L663" i="2" s="1"/>
  <c r="I111" i="4"/>
  <c r="J1487" i="2" s="1"/>
  <c r="L1487" i="2" s="1"/>
  <c r="L1488" i="2" s="1"/>
  <c r="I183" i="4"/>
  <c r="J1395" i="2" s="1"/>
  <c r="L1395" i="2" s="1"/>
  <c r="I167" i="4"/>
  <c r="J1389" i="2" s="1"/>
  <c r="L1389" i="2" s="1"/>
  <c r="I186" i="4"/>
  <c r="J1121" i="2" s="1"/>
  <c r="K95" i="6" s="1"/>
  <c r="K96" i="6" s="1"/>
  <c r="F38" i="4"/>
  <c r="I38" i="4" s="1"/>
  <c r="J327" i="2" s="1"/>
  <c r="L327" i="2" s="1"/>
  <c r="I88" i="4"/>
  <c r="J1030" i="2" s="1"/>
  <c r="F50" i="4"/>
  <c r="I50" i="4" s="1"/>
  <c r="J559" i="2" s="1"/>
  <c r="L559" i="2" s="1"/>
  <c r="L560" i="2" s="1"/>
  <c r="I126" i="4"/>
  <c r="J910" i="2" s="1"/>
  <c r="L910" i="2" s="1"/>
  <c r="L911" i="2" s="1"/>
  <c r="F41" i="4"/>
  <c r="I41" i="4" s="1"/>
  <c r="J422" i="2" s="1"/>
  <c r="L422" i="2" s="1"/>
  <c r="F48" i="4"/>
  <c r="I48" i="4" s="1"/>
  <c r="J511" i="2" s="1"/>
  <c r="I140" i="4"/>
  <c r="J784" i="2" s="1"/>
  <c r="I106" i="4"/>
  <c r="J1024" i="2" s="1"/>
  <c r="L1024" i="2" s="1"/>
  <c r="L1025" i="2" s="1"/>
  <c r="I114" i="4"/>
  <c r="O114" i="6" s="1"/>
  <c r="I128" i="4"/>
  <c r="J775" i="2" s="1"/>
  <c r="L775" i="2" s="1"/>
  <c r="L776" i="2" s="1"/>
  <c r="I247" i="4"/>
  <c r="J1845" i="2" s="1"/>
  <c r="L1845" i="2" s="1"/>
  <c r="L1846" i="2" s="1"/>
  <c r="I165" i="4"/>
  <c r="J1374" i="2" s="1"/>
  <c r="L1374" i="2" s="1"/>
  <c r="I174" i="4"/>
  <c r="J1416" i="2" s="1"/>
  <c r="L1416" i="2" s="1"/>
  <c r="I104" i="4"/>
  <c r="J890" i="2" s="1"/>
  <c r="L890" i="2" s="1"/>
  <c r="I153" i="4"/>
  <c r="J1310" i="2" s="1"/>
  <c r="L1310" i="2" s="1"/>
  <c r="L1311" i="2" s="1"/>
  <c r="I244" i="4"/>
  <c r="J1851" i="2" s="1"/>
  <c r="L1851" i="2" s="1"/>
  <c r="L1852" i="2" s="1"/>
  <c r="I145" i="4"/>
  <c r="J1092" i="2" s="1"/>
  <c r="L1092" i="2" s="1"/>
  <c r="I187" i="4"/>
  <c r="J822" i="2" s="1"/>
  <c r="I144" i="4"/>
  <c r="O74" i="6" s="1"/>
  <c r="F23" i="4"/>
  <c r="I23" i="4" s="1"/>
  <c r="J201" i="2" s="1"/>
  <c r="I142" i="4"/>
  <c r="F7" i="4"/>
  <c r="I7" i="4" s="1"/>
  <c r="I181" i="4"/>
  <c r="J1449" i="2" s="1"/>
  <c r="L1449" i="2" s="1"/>
  <c r="F15" i="4"/>
  <c r="I15" i="4" s="1"/>
  <c r="J134" i="2" s="1"/>
  <c r="L134" i="2" s="1"/>
  <c r="L135" i="2" s="1"/>
  <c r="F19" i="4"/>
  <c r="I19" i="4" s="1"/>
  <c r="I91" i="4"/>
  <c r="J942" i="2" s="1"/>
  <c r="L942" i="2" s="1"/>
  <c r="L943" i="2" s="1"/>
  <c r="I134" i="4"/>
  <c r="J652" i="2" s="1"/>
  <c r="I240" i="4"/>
  <c r="J1773" i="2" s="1"/>
  <c r="L1773" i="2" s="1"/>
  <c r="L1774" i="2" s="1"/>
  <c r="I168" i="4"/>
  <c r="I235" i="4"/>
  <c r="J1713" i="2" s="1"/>
  <c r="L1713" i="2" s="1"/>
  <c r="L1714" i="2" s="1"/>
  <c r="I141" i="4"/>
  <c r="J1280" i="2" s="1"/>
  <c r="L1280" i="2" s="1"/>
  <c r="I232" i="4"/>
  <c r="J1625" i="2" s="1"/>
  <c r="L1625" i="2" s="1"/>
  <c r="L1626" i="2" s="1"/>
  <c r="F42" i="4"/>
  <c r="I42" i="4" s="1"/>
  <c r="J441" i="2" s="1"/>
  <c r="L441" i="2" s="1"/>
  <c r="L442" i="2" s="1"/>
  <c r="I245" i="4"/>
  <c r="J1840" i="2" s="1"/>
  <c r="L1840" i="2" s="1"/>
  <c r="L1841" i="2" s="1"/>
  <c r="I118" i="4"/>
  <c r="J1180" i="2" s="1"/>
  <c r="L1180" i="2" s="1"/>
  <c r="I72" i="4"/>
  <c r="J876" i="2" s="1"/>
  <c r="L876" i="2" s="1"/>
  <c r="L877" i="2" s="1"/>
  <c r="F45" i="4"/>
  <c r="I45" i="4" s="1"/>
  <c r="J467" i="2" s="1"/>
  <c r="L467" i="2" s="1"/>
  <c r="L468" i="2" s="1"/>
  <c r="I120" i="4"/>
  <c r="I236" i="4"/>
  <c r="J1804" i="2" s="1"/>
  <c r="L1804" i="2" s="1"/>
  <c r="L1805" i="2" s="1"/>
  <c r="I155" i="4"/>
  <c r="J743" i="2" s="1"/>
  <c r="L743" i="2" s="1"/>
  <c r="I93" i="4"/>
  <c r="J1285" i="2" s="1"/>
  <c r="L1285" i="2" s="1"/>
  <c r="L1286" i="2" s="1"/>
  <c r="F30" i="4"/>
  <c r="I30" i="4" s="1"/>
  <c r="J267" i="2" s="1"/>
  <c r="L267" i="2" s="1"/>
  <c r="L268" i="2" s="1"/>
  <c r="I135" i="4"/>
  <c r="J1001" i="2" s="1"/>
  <c r="I92" i="4"/>
  <c r="J1291" i="2" s="1"/>
  <c r="L1291" i="2" s="1"/>
  <c r="L1292" i="2" s="1"/>
  <c r="N1292" i="2" s="1"/>
  <c r="I102" i="4"/>
  <c r="J855" i="2" s="1"/>
  <c r="L855" i="2" s="1"/>
  <c r="I158" i="4"/>
  <c r="J1325" i="2" s="1"/>
  <c r="L1325" i="2" s="1"/>
  <c r="I173" i="4"/>
  <c r="J1412" i="2" s="1"/>
  <c r="L1412" i="2" s="1"/>
  <c r="I179" i="4"/>
  <c r="I156" i="4"/>
  <c r="J1321" i="2" s="1"/>
  <c r="L1321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7" i="4"/>
  <c r="J1674" i="2" s="1"/>
  <c r="L1674" i="2" s="1"/>
  <c r="L1675" i="2" s="1"/>
  <c r="I246" i="4"/>
  <c r="J1882" i="2" s="1"/>
  <c r="L1882" i="2" s="1"/>
  <c r="L1883" i="2" s="1"/>
  <c r="I119" i="4"/>
  <c r="I121" i="4"/>
  <c r="J727" i="2" s="1"/>
  <c r="F37" i="4"/>
  <c r="I37" i="4" s="1"/>
  <c r="J376" i="2" s="1"/>
  <c r="L376" i="2" s="1"/>
  <c r="L377" i="2" s="1"/>
  <c r="I117" i="4"/>
  <c r="J1230" i="2" s="1"/>
  <c r="L1230" i="2" s="1"/>
  <c r="L1231" i="2" s="1"/>
  <c r="F47" i="4"/>
  <c r="I47" i="4" s="1"/>
  <c r="J491" i="2" s="1"/>
  <c r="L491" i="2" s="1"/>
  <c r="L492" i="2" s="1"/>
  <c r="I230" i="4"/>
  <c r="J1691" i="2" s="1"/>
  <c r="L1691" i="2" s="1"/>
  <c r="L1692" i="2" s="1"/>
  <c r="I233" i="4"/>
  <c r="J1868" i="2" s="1"/>
  <c r="L1868" i="2" s="1"/>
  <c r="L1869" i="2" s="1"/>
  <c r="I177" i="4"/>
  <c r="J1437" i="2" s="1"/>
  <c r="L1437" i="2" s="1"/>
  <c r="I124" i="4"/>
  <c r="J900" i="2" s="1"/>
  <c r="L900" i="2" s="1"/>
  <c r="L901" i="2" s="1"/>
  <c r="I242" i="4"/>
  <c r="J1823" i="2" s="1"/>
  <c r="F31" i="4"/>
  <c r="I31" i="4" s="1"/>
  <c r="J277" i="2" s="1"/>
  <c r="J278" i="2" s="1"/>
  <c r="I85" i="4"/>
  <c r="J994" i="2" s="1"/>
  <c r="F58" i="4"/>
  <c r="I58" i="4" s="1"/>
  <c r="J612" i="2" s="1"/>
  <c r="J58" i="4"/>
  <c r="I99" i="4"/>
  <c r="J1433" i="2" s="1"/>
  <c r="I223" i="4"/>
  <c r="J1932" i="2" s="1"/>
  <c r="L1932" i="2" s="1"/>
  <c r="L1933" i="2" s="1"/>
  <c r="F43" i="4"/>
  <c r="I43" i="4" s="1"/>
  <c r="J447" i="2" s="1"/>
  <c r="L447" i="2" s="1"/>
  <c r="L448" i="2" s="1"/>
  <c r="F40" i="4"/>
  <c r="I40" i="4" s="1"/>
  <c r="J400" i="2" s="1"/>
  <c r="F33" i="4"/>
  <c r="I33" i="4" s="1"/>
  <c r="J250" i="2" s="1"/>
  <c r="I107" i="4"/>
  <c r="J847" i="2" s="1"/>
  <c r="L847" i="2" s="1"/>
  <c r="L848" i="2" s="1"/>
  <c r="I122" i="4"/>
  <c r="J1210" i="2" s="1"/>
  <c r="L1210" i="2" s="1"/>
  <c r="L1211" i="2" s="1"/>
  <c r="I112" i="4"/>
  <c r="J883" i="2" s="1"/>
  <c r="L883" i="2" s="1"/>
  <c r="L884" i="2" s="1"/>
  <c r="I152" i="4"/>
  <c r="J1301" i="2" s="1"/>
  <c r="F49" i="4"/>
  <c r="I49" i="4" s="1"/>
  <c r="J524" i="2" s="1"/>
  <c r="L524" i="2" s="1"/>
  <c r="F61" i="4"/>
  <c r="I61" i="4" s="1"/>
  <c r="J589" i="2" s="1"/>
  <c r="L589" i="2" s="1"/>
  <c r="F60" i="4"/>
  <c r="I60" i="4" s="1"/>
  <c r="J593" i="2" s="1"/>
  <c r="L593" i="2" s="1"/>
  <c r="F52" i="4"/>
  <c r="I52" i="4" s="1"/>
  <c r="J581" i="2" s="1"/>
  <c r="L581" i="2" s="1"/>
  <c r="I103" i="4"/>
  <c r="J952" i="2" s="1"/>
  <c r="I137" i="4"/>
  <c r="J1057" i="2" s="1"/>
  <c r="I105" i="4"/>
  <c r="J1017" i="2" s="1"/>
  <c r="L1017" i="2" s="1"/>
  <c r="L1018" i="2" s="1"/>
  <c r="I148" i="4"/>
  <c r="J798" i="2" s="1"/>
  <c r="L798" i="2" s="1"/>
  <c r="I115" i="4"/>
  <c r="J816" i="2" s="1"/>
  <c r="I225" i="4"/>
  <c r="J1636" i="2" s="1"/>
  <c r="L1636" i="2" s="1"/>
  <c r="L1637" i="2" s="1"/>
  <c r="I243" i="4"/>
  <c r="J1900" i="2" s="1"/>
  <c r="L1900" i="2" s="1"/>
  <c r="L1901" i="2" s="1"/>
  <c r="I125" i="4"/>
  <c r="J928" i="2" s="1"/>
  <c r="L928" i="2" s="1"/>
  <c r="L929" i="2" s="1"/>
  <c r="I133" i="4"/>
  <c r="J1250" i="2" s="1"/>
  <c r="I191" i="4"/>
  <c r="J838" i="2" s="1"/>
  <c r="J21" i="4"/>
  <c r="F21" i="4"/>
  <c r="I21" i="4" s="1"/>
  <c r="J1458" i="2"/>
  <c r="L1458" i="2" s="1"/>
  <c r="P1458" i="2" s="1"/>
  <c r="X111" i="15"/>
  <c r="X112" i="15" s="1"/>
  <c r="N112" i="15"/>
  <c r="T159" i="15"/>
  <c r="F62" i="4"/>
  <c r="I62" i="4" s="1"/>
  <c r="J585" i="2" s="1"/>
  <c r="L585" i="2" s="1"/>
  <c r="F35" i="4"/>
  <c r="I35" i="4" s="1"/>
  <c r="J317" i="2" s="1"/>
  <c r="L317" i="2" s="1"/>
  <c r="J1462" i="2"/>
  <c r="L1462" i="2" s="1"/>
  <c r="R115" i="15"/>
  <c r="J1453" i="2"/>
  <c r="L1453" i="2" s="1"/>
  <c r="N108" i="15"/>
  <c r="J61" i="4"/>
  <c r="N100" i="15"/>
  <c r="N96" i="15"/>
  <c r="R88" i="15"/>
  <c r="J35" i="4"/>
  <c r="N88" i="15"/>
  <c r="N84" i="15"/>
  <c r="N45" i="7"/>
  <c r="N80" i="15"/>
  <c r="N44" i="7"/>
  <c r="J1466" i="2"/>
  <c r="L1466" i="2" s="1"/>
  <c r="N39" i="8"/>
  <c r="N76" i="15"/>
  <c r="R71" i="15"/>
  <c r="R72" i="15" s="1"/>
  <c r="J1409" i="2"/>
  <c r="L1409" i="2" s="1"/>
  <c r="N72" i="15"/>
  <c r="A229" i="4"/>
  <c r="A230" i="4" s="1"/>
  <c r="I74" i="4"/>
  <c r="J721" i="2" s="1"/>
  <c r="L721" i="2" s="1"/>
  <c r="N64" i="15"/>
  <c r="J8" i="4"/>
  <c r="J681" i="2"/>
  <c r="J16" i="4"/>
  <c r="J25" i="4"/>
  <c r="J33" i="4"/>
  <c r="J42" i="4"/>
  <c r="J50" i="4"/>
  <c r="J9" i="4"/>
  <c r="I59" i="4"/>
  <c r="J597" i="2" s="1"/>
  <c r="L597" i="2" s="1"/>
  <c r="J19" i="4"/>
  <c r="J28" i="4"/>
  <c r="I28" i="4"/>
  <c r="J123" i="2" s="1"/>
  <c r="L123" i="2" s="1"/>
  <c r="J37" i="4"/>
  <c r="J45" i="4"/>
  <c r="J53" i="4"/>
  <c r="I53" i="4"/>
  <c r="J577" i="2" s="1"/>
  <c r="L577" i="2" s="1"/>
  <c r="L578" i="2" s="1"/>
  <c r="I222" i="4"/>
  <c r="J1918" i="2" s="1"/>
  <c r="L1918" i="2" s="1"/>
  <c r="J1788" i="2"/>
  <c r="J805" i="2"/>
  <c r="I56" i="4"/>
  <c r="J603" i="2" s="1"/>
  <c r="J56" i="4"/>
  <c r="J11" i="4"/>
  <c r="N41" i="7"/>
  <c r="J1331" i="2"/>
  <c r="J18" i="4"/>
  <c r="I27" i="4"/>
  <c r="J27" i="4"/>
  <c r="J36" i="4"/>
  <c r="J44" i="4"/>
  <c r="J52" i="4"/>
  <c r="J12" i="4"/>
  <c r="J22" i="4"/>
  <c r="J30" i="4"/>
  <c r="J39" i="4"/>
  <c r="J47" i="4"/>
  <c r="I70" i="4"/>
  <c r="J640" i="2"/>
  <c r="J733" i="2"/>
  <c r="L733" i="2" s="1"/>
  <c r="R38" i="15"/>
  <c r="J1369" i="2"/>
  <c r="L1369" i="2" s="1"/>
  <c r="J1608" i="2"/>
  <c r="J1318" i="2"/>
  <c r="J971" i="2"/>
  <c r="I75" i="4"/>
  <c r="J616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600" i="2" s="1"/>
  <c r="J55" i="4"/>
  <c r="J1599" i="2"/>
  <c r="J15" i="4"/>
  <c r="J24" i="4"/>
  <c r="J32" i="4"/>
  <c r="J41" i="4"/>
  <c r="J49" i="4"/>
  <c r="J1100" i="2"/>
  <c r="O138" i="6"/>
  <c r="J1190" i="2"/>
  <c r="L1190" i="2" s="1"/>
  <c r="J1343" i="2"/>
  <c r="R24" i="15"/>
  <c r="J1355" i="2"/>
  <c r="L1355" i="2" s="1"/>
  <c r="J1683" i="2"/>
  <c r="L1683" i="2" s="1"/>
  <c r="I14" i="4"/>
  <c r="J14" i="4"/>
  <c r="J23" i="4"/>
  <c r="J31" i="4"/>
  <c r="J40" i="4"/>
  <c r="J48" i="4"/>
  <c r="J965" i="2"/>
  <c r="J7" i="4"/>
  <c r="I57" i="4"/>
  <c r="J606" i="2" s="1"/>
  <c r="J57" i="4"/>
  <c r="N39" i="7"/>
  <c r="J738" i="2"/>
  <c r="L738" i="2" s="1"/>
  <c r="J17" i="4"/>
  <c r="I17" i="4"/>
  <c r="J167" i="2" s="1"/>
  <c r="J168" i="2" s="1"/>
  <c r="J26" i="4"/>
  <c r="J34" i="4"/>
  <c r="J43" i="4"/>
  <c r="J51" i="4"/>
  <c r="I51" i="4"/>
  <c r="J540" i="2" s="1"/>
  <c r="L540" i="2" s="1"/>
  <c r="J1036" i="2"/>
  <c r="L1036" i="2" s="1"/>
  <c r="A1032" i="2" s="1"/>
  <c r="J1297" i="2"/>
  <c r="J1363" i="2"/>
  <c r="L511" i="2" l="1"/>
  <c r="L512" i="2" s="1"/>
  <c r="L1655" i="2"/>
  <c r="J1656" i="2"/>
  <c r="L1656" i="2" s="1"/>
  <c r="L1940" i="2"/>
  <c r="L1941" i="2" s="1"/>
  <c r="J1941" i="2"/>
  <c r="N1560" i="2"/>
  <c r="N1565" i="2"/>
  <c r="P1549" i="2"/>
  <c r="L1140" i="2"/>
  <c r="J1594" i="2"/>
  <c r="A76" i="4"/>
  <c r="A77" i="4" s="1"/>
  <c r="J750" i="2"/>
  <c r="L197" i="2"/>
  <c r="J1151" i="2"/>
  <c r="L1151" i="2" s="1"/>
  <c r="L1152" i="2" s="1"/>
  <c r="A1148" i="2" s="1"/>
  <c r="J1147" i="2"/>
  <c r="L1146" i="2"/>
  <c r="L1147" i="2" s="1"/>
  <c r="P1555" i="2"/>
  <c r="P1569" i="2"/>
  <c r="A1566" i="2"/>
  <c r="P268" i="2"/>
  <c r="N268" i="2"/>
  <c r="J293" i="2"/>
  <c r="L292" i="2"/>
  <c r="L293" i="2" s="1"/>
  <c r="N1549" i="2"/>
  <c r="N1540" i="2"/>
  <c r="J833" i="2"/>
  <c r="L833" i="2" s="1"/>
  <c r="L832" i="2"/>
  <c r="L838" i="2"/>
  <c r="L839" i="2" s="1"/>
  <c r="L1587" i="2"/>
  <c r="N1587" i="2" s="1"/>
  <c r="O247" i="6" s="1"/>
  <c r="M246" i="6"/>
  <c r="M247" i="6" s="1"/>
  <c r="N1534" i="2"/>
  <c r="N1544" i="2"/>
  <c r="N1513" i="2"/>
  <c r="J1223" i="2"/>
  <c r="L1223" i="2" s="1"/>
  <c r="L1224" i="2" s="1"/>
  <c r="N1224" i="2" s="1"/>
  <c r="J1216" i="2"/>
  <c r="L1216" i="2" s="1"/>
  <c r="L1590" i="2"/>
  <c r="L1591" i="2" s="1"/>
  <c r="L1433" i="2"/>
  <c r="L1434" i="2" s="1"/>
  <c r="L208" i="2"/>
  <c r="N1578" i="2"/>
  <c r="N1583" i="2"/>
  <c r="L727" i="2"/>
  <c r="L728" i="2" s="1"/>
  <c r="P728" i="2" s="1"/>
  <c r="J728" i="2"/>
  <c r="L1030" i="2"/>
  <c r="L1031" i="2" s="1"/>
  <c r="L1041" i="2"/>
  <c r="L1042" i="2" s="1"/>
  <c r="P1573" i="2"/>
  <c r="J955" i="2"/>
  <c r="L223" i="2"/>
  <c r="L224" i="2" s="1"/>
  <c r="J1384" i="2"/>
  <c r="J1956" i="2"/>
  <c r="L1955" i="2"/>
  <c r="J228" i="2"/>
  <c r="L228" i="2" s="1"/>
  <c r="L229" i="2" s="1"/>
  <c r="N1569" i="2"/>
  <c r="N983" i="2"/>
  <c r="J1349" i="2"/>
  <c r="L1349" i="2" s="1"/>
  <c r="A1344" i="2" s="1"/>
  <c r="L1766" i="2"/>
  <c r="L1767" i="2" s="1"/>
  <c r="J1243" i="2"/>
  <c r="O206" i="6"/>
  <c r="O207" i="6" s="1"/>
  <c r="J989" i="2"/>
  <c r="L988" i="2"/>
  <c r="L989" i="2" s="1"/>
  <c r="P1502" i="2"/>
  <c r="N1507" i="2"/>
  <c r="J977" i="2"/>
  <c r="L976" i="2"/>
  <c r="L977" i="2" s="1"/>
  <c r="P1524" i="2"/>
  <c r="P1497" i="2"/>
  <c r="N1530" i="2"/>
  <c r="N1518" i="2"/>
  <c r="J251" i="2"/>
  <c r="L250" i="2"/>
  <c r="L251" i="2" s="1"/>
  <c r="P1599" i="2"/>
  <c r="P1492" i="2"/>
  <c r="K218" i="6"/>
  <c r="K219" i="6" s="1"/>
  <c r="J1255" i="2"/>
  <c r="L1255" i="2" s="1"/>
  <c r="L1256" i="2" s="1"/>
  <c r="N1256" i="2" s="1"/>
  <c r="L1063" i="2"/>
  <c r="L1064" i="2" s="1"/>
  <c r="K52" i="6"/>
  <c r="K53" i="6" s="1"/>
  <c r="J1268" i="2"/>
  <c r="L1268" i="2" s="1"/>
  <c r="A1263" i="2" s="1"/>
  <c r="L810" i="2"/>
  <c r="J1135" i="2"/>
  <c r="L1121" i="2"/>
  <c r="J1115" i="2"/>
  <c r="K108" i="6"/>
  <c r="K109" i="6" s="1"/>
  <c r="L652" i="2"/>
  <c r="L653" i="2" s="1"/>
  <c r="K187" i="6"/>
  <c r="K188" i="6" s="1"/>
  <c r="L1079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2" i="2"/>
  <c r="L1476" i="2"/>
  <c r="L1477" i="2" s="1"/>
  <c r="J1477" i="2"/>
  <c r="N1274" i="2"/>
  <c r="O237" i="6" s="1"/>
  <c r="N1913" i="2"/>
  <c r="P1913" i="2"/>
  <c r="J1429" i="2"/>
  <c r="J1445" i="2"/>
  <c r="L1445" i="2" s="1"/>
  <c r="L1196" i="2"/>
  <c r="K167" i="6"/>
  <c r="K168" i="6" s="1"/>
  <c r="J87" i="7"/>
  <c r="L665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L784" i="2"/>
  <c r="L785" i="2" s="1"/>
  <c r="K23" i="6"/>
  <c r="K24" i="6" s="1"/>
  <c r="L1001" i="2"/>
  <c r="K38" i="6"/>
  <c r="K39" i="6" s="1"/>
  <c r="L1301" i="2"/>
  <c r="J84" i="7"/>
  <c r="J85" i="7" s="1"/>
  <c r="L1202" i="2"/>
  <c r="K144" i="6"/>
  <c r="K145" i="6" s="1"/>
  <c r="L866" i="2"/>
  <c r="L42" i="7" s="1"/>
  <c r="L46" i="7" s="1"/>
  <c r="J42" i="7"/>
  <c r="J46" i="7" s="1"/>
  <c r="L965" i="2"/>
  <c r="N965" i="2" s="1"/>
  <c r="N67" i="7" s="1"/>
  <c r="L66" i="7"/>
  <c r="L67" i="7" s="1"/>
  <c r="L1331" i="2"/>
  <c r="K173" i="6"/>
  <c r="K174" i="6" s="1"/>
  <c r="L816" i="2"/>
  <c r="K230" i="6"/>
  <c r="K231" i="6" s="1"/>
  <c r="L822" i="2"/>
  <c r="K242" i="6"/>
  <c r="L1129" i="2"/>
  <c r="K103" i="6"/>
  <c r="K104" i="6" s="1"/>
  <c r="L994" i="2"/>
  <c r="L72" i="7" s="1"/>
  <c r="L73" i="7" s="1"/>
  <c r="J72" i="7"/>
  <c r="J73" i="7" s="1"/>
  <c r="L1057" i="2"/>
  <c r="K46" i="6"/>
  <c r="K47" i="6" s="1"/>
  <c r="L1343" i="2"/>
  <c r="P1343" i="2" s="1"/>
  <c r="Q201" i="6" s="1"/>
  <c r="M200" i="6"/>
  <c r="M201" i="6" s="1"/>
  <c r="L79" i="7"/>
  <c r="L80" i="7" s="1"/>
  <c r="L1100" i="2"/>
  <c r="L1250" i="2"/>
  <c r="K152" i="6"/>
  <c r="K153" i="6" s="1"/>
  <c r="P864" i="2"/>
  <c r="N864" i="2"/>
  <c r="L603" i="2"/>
  <c r="J19" i="7"/>
  <c r="L612" i="2"/>
  <c r="J30" i="7"/>
  <c r="J31" i="7" s="1"/>
  <c r="J1937" i="2"/>
  <c r="L1936" i="2"/>
  <c r="L1937" i="2" s="1"/>
  <c r="L600" i="2"/>
  <c r="J16" i="7"/>
  <c r="L36" i="7"/>
  <c r="L40" i="7" s="1"/>
  <c r="L759" i="2"/>
  <c r="L1808" i="2"/>
  <c r="P1466" i="2"/>
  <c r="N1466" i="2"/>
  <c r="P1409" i="2"/>
  <c r="N1409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2" i="2"/>
  <c r="L892" i="2" s="1"/>
  <c r="P892" i="2" s="1"/>
  <c r="J1042" i="2"/>
  <c r="J1877" i="2"/>
  <c r="N1877" i="2"/>
  <c r="J1197" i="2"/>
  <c r="R133" i="15"/>
  <c r="R134" i="15" s="1"/>
  <c r="O60" i="6"/>
  <c r="J1286" i="2"/>
  <c r="P1286" i="2" s="1"/>
  <c r="J1375" i="2"/>
  <c r="L1375" i="2" s="1"/>
  <c r="P1375" i="2" s="1"/>
  <c r="J1488" i="2"/>
  <c r="N1488" i="2" s="1"/>
  <c r="J1735" i="2"/>
  <c r="N1735" i="2" s="1"/>
  <c r="J741" i="2"/>
  <c r="L741" i="2" s="1"/>
  <c r="A739" i="2" s="1"/>
  <c r="J1933" i="2"/>
  <c r="J1322" i="2"/>
  <c r="L1322" i="2" s="1"/>
  <c r="N1322" i="2" s="1"/>
  <c r="J1795" i="2"/>
  <c r="N1795" i="2" s="1"/>
  <c r="J884" i="2"/>
  <c r="J1626" i="2"/>
  <c r="J1774" i="2"/>
  <c r="P1774" i="2" s="1"/>
  <c r="J1846" i="2"/>
  <c r="P1846" i="2" s="1"/>
  <c r="R139" i="15"/>
  <c r="J1064" i="2"/>
  <c r="J1018" i="2"/>
  <c r="N1018" i="2" s="1"/>
  <c r="J1692" i="2"/>
  <c r="P1692" i="2" s="1"/>
  <c r="J653" i="2"/>
  <c r="J776" i="2"/>
  <c r="J1239" i="2"/>
  <c r="N1239" i="2" s="1"/>
  <c r="J1413" i="2"/>
  <c r="L1413" i="2" s="1"/>
  <c r="N1413" i="2" s="1"/>
  <c r="J1805" i="2"/>
  <c r="N1805" i="2" s="1"/>
  <c r="J943" i="2"/>
  <c r="N943" i="2"/>
  <c r="J1211" i="2"/>
  <c r="J1326" i="2"/>
  <c r="L1326" i="2" s="1"/>
  <c r="P1326" i="2" s="1"/>
  <c r="J1093" i="2"/>
  <c r="L1093" i="2" s="1"/>
  <c r="N1093" i="2" s="1"/>
  <c r="J1824" i="2"/>
  <c r="J377" i="2"/>
  <c r="J856" i="2"/>
  <c r="L856" i="2" s="1"/>
  <c r="P856" i="2" s="1"/>
  <c r="J901" i="2"/>
  <c r="N901" i="2" s="1"/>
  <c r="J1292" i="2"/>
  <c r="J877" i="2"/>
  <c r="P877" i="2" s="1"/>
  <c r="O159" i="6"/>
  <c r="O161" i="6" s="1"/>
  <c r="J688" i="2"/>
  <c r="P688" i="2" s="1"/>
  <c r="J1141" i="2"/>
  <c r="L1141" i="2" s="1"/>
  <c r="J929" i="2"/>
  <c r="P929" i="2"/>
  <c r="O129" i="6"/>
  <c r="J218" i="2"/>
  <c r="J705" i="2"/>
  <c r="J1108" i="2"/>
  <c r="N1429" i="2"/>
  <c r="P1429" i="2"/>
  <c r="P711" i="2"/>
  <c r="J571" i="2"/>
  <c r="J1080" i="2"/>
  <c r="J1667" i="2"/>
  <c r="P1667" i="2" s="1"/>
  <c r="O179" i="6"/>
  <c r="J785" i="2"/>
  <c r="J767" i="2"/>
  <c r="J1336" i="2"/>
  <c r="L1336" i="2" s="1"/>
  <c r="N1336" i="2" s="1"/>
  <c r="J839" i="2"/>
  <c r="J1130" i="2"/>
  <c r="J1050" i="2"/>
  <c r="L1050" i="2" s="1"/>
  <c r="N1050" i="2" s="1"/>
  <c r="J1883" i="2"/>
  <c r="J811" i="2"/>
  <c r="J1852" i="2"/>
  <c r="N1852" i="2" s="1"/>
  <c r="O81" i="6"/>
  <c r="O82" i="6" s="1"/>
  <c r="J1901" i="2"/>
  <c r="J1262" i="2"/>
  <c r="L1262" i="2" s="1"/>
  <c r="P1262" i="2" s="1"/>
  <c r="J183" i="2"/>
  <c r="J184" i="2" s="1"/>
  <c r="J1203" i="2"/>
  <c r="R95" i="15"/>
  <c r="R96" i="15" s="1"/>
  <c r="J1423" i="2"/>
  <c r="P1423" i="2" s="1"/>
  <c r="J1442" i="2"/>
  <c r="L1442" i="2" s="1"/>
  <c r="N1442" i="2" s="1"/>
  <c r="R84" i="15"/>
  <c r="J1071" i="2"/>
  <c r="L1071" i="2" s="1"/>
  <c r="A1065" i="2" s="1"/>
  <c r="J1405" i="2"/>
  <c r="L1405" i="2" s="1"/>
  <c r="N1405" i="2" s="1"/>
  <c r="R67" i="15"/>
  <c r="R68" i="15" s="1"/>
  <c r="J1396" i="2"/>
  <c r="L1396" i="2" s="1"/>
  <c r="N1396" i="2" s="1"/>
  <c r="J911" i="2"/>
  <c r="J663" i="2"/>
  <c r="J1025" i="2"/>
  <c r="N1025" i="2" s="1"/>
  <c r="J1390" i="2"/>
  <c r="L1390" i="2" s="1"/>
  <c r="N1390" i="2" s="1"/>
  <c r="J1311" i="2"/>
  <c r="P1311" i="2" s="1"/>
  <c r="O96" i="6"/>
  <c r="J1122" i="2"/>
  <c r="R63" i="15"/>
  <c r="R64" i="15" s="1"/>
  <c r="J848" i="2"/>
  <c r="N848" i="2" s="1"/>
  <c r="R44" i="15"/>
  <c r="R45" i="15" s="1"/>
  <c r="J1157" i="2"/>
  <c r="L1157" i="2" s="1"/>
  <c r="R75" i="15"/>
  <c r="R76" i="15" s="1"/>
  <c r="J1164" i="2"/>
  <c r="J1438" i="2"/>
  <c r="L1438" i="2" s="1"/>
  <c r="N1438" i="2" s="1"/>
  <c r="R91" i="15"/>
  <c r="X91" i="15" s="1"/>
  <c r="X92" i="15" s="1"/>
  <c r="J1182" i="2"/>
  <c r="L1182" i="2" s="1"/>
  <c r="A1174" i="2" s="1"/>
  <c r="J1085" i="2"/>
  <c r="L1085" i="2" s="1"/>
  <c r="J1031" i="2"/>
  <c r="R79" i="15"/>
  <c r="R80" i="15" s="1"/>
  <c r="J1417" i="2"/>
  <c r="L1417" i="2" s="1"/>
  <c r="P1417" i="2" s="1"/>
  <c r="J791" i="2"/>
  <c r="L791" i="2" s="1"/>
  <c r="N791" i="2" s="1"/>
  <c r="R103" i="15"/>
  <c r="R104" i="15" s="1"/>
  <c r="J1450" i="2"/>
  <c r="L1450" i="2" s="1"/>
  <c r="P1450" i="2" s="1"/>
  <c r="J823" i="2"/>
  <c r="J817" i="2"/>
  <c r="J1869" i="2"/>
  <c r="N1869" i="2" s="1"/>
  <c r="J744" i="2"/>
  <c r="L744" i="2" s="1"/>
  <c r="N744" i="2" s="1"/>
  <c r="J1637" i="2"/>
  <c r="P1637" i="2" s="1"/>
  <c r="J1675" i="2"/>
  <c r="N1675" i="2" s="1"/>
  <c r="J1434" i="2"/>
  <c r="J1231" i="2"/>
  <c r="J1058" i="2"/>
  <c r="J995" i="2"/>
  <c r="J828" i="2"/>
  <c r="L828" i="2" s="1"/>
  <c r="N828" i="2" s="1"/>
  <c r="J613" i="2"/>
  <c r="J1302" i="2"/>
  <c r="J188" i="2"/>
  <c r="N1458" i="2"/>
  <c r="R157" i="15"/>
  <c r="R158" i="15" s="1"/>
  <c r="J567" i="2"/>
  <c r="L567" i="2" s="1"/>
  <c r="AB112" i="15"/>
  <c r="Z112" i="15"/>
  <c r="N159" i="15"/>
  <c r="J176" i="2"/>
  <c r="L176" i="2" s="1"/>
  <c r="J759" i="2"/>
  <c r="R137" i="15"/>
  <c r="R138" i="15" s="1"/>
  <c r="J318" i="2"/>
  <c r="L318" i="2" s="1"/>
  <c r="R145" i="15"/>
  <c r="R146" i="15" s="1"/>
  <c r="J586" i="2"/>
  <c r="L586" i="2" s="1"/>
  <c r="X145" i="15"/>
  <c r="X146" i="15" s="1"/>
  <c r="R116" i="15"/>
  <c r="X115" i="15"/>
  <c r="X116" i="15" s="1"/>
  <c r="R107" i="15"/>
  <c r="J1454" i="2"/>
  <c r="L1454" i="2" s="1"/>
  <c r="J590" i="2"/>
  <c r="L590" i="2" s="1"/>
  <c r="R149" i="15"/>
  <c r="R150" i="15" s="1"/>
  <c r="R153" i="15"/>
  <c r="R154" i="15" s="1"/>
  <c r="J594" i="2"/>
  <c r="L594" i="2" s="1"/>
  <c r="N1462" i="2"/>
  <c r="X141" i="15"/>
  <c r="R141" i="15"/>
  <c r="X87" i="15"/>
  <c r="X88" i="15" s="1"/>
  <c r="J582" i="2"/>
  <c r="L582" i="2" s="1"/>
  <c r="P1462" i="2"/>
  <c r="R120" i="15"/>
  <c r="X120" i="15"/>
  <c r="A117" i="15" s="1"/>
  <c r="J563" i="2"/>
  <c r="L563" i="2" s="1"/>
  <c r="X71" i="15"/>
  <c r="X72" i="15" s="1"/>
  <c r="Z72" i="15" s="1"/>
  <c r="A231" i="4"/>
  <c r="J722" i="2"/>
  <c r="L722" i="2" s="1"/>
  <c r="R125" i="15"/>
  <c r="P1401" i="2"/>
  <c r="J541" i="2"/>
  <c r="J328" i="2"/>
  <c r="L328" i="2" s="1"/>
  <c r="J457" i="2"/>
  <c r="J605" i="2"/>
  <c r="J21" i="7" s="1"/>
  <c r="J578" i="2"/>
  <c r="J448" i="2"/>
  <c r="J512" i="2"/>
  <c r="J525" i="2"/>
  <c r="L525" i="2" s="1"/>
  <c r="J492" i="2"/>
  <c r="J442" i="2"/>
  <c r="J92" i="2"/>
  <c r="J246" i="2"/>
  <c r="J286" i="2"/>
  <c r="J560" i="2"/>
  <c r="J268" i="2"/>
  <c r="J341" i="2"/>
  <c r="J401" i="2"/>
  <c r="J135" i="2"/>
  <c r="R33" i="15"/>
  <c r="X32" i="15"/>
  <c r="X33" i="15" s="1"/>
  <c r="P1297" i="2"/>
  <c r="N1297" i="2"/>
  <c r="J799" i="2"/>
  <c r="L799" i="2" s="1"/>
  <c r="R25" i="15"/>
  <c r="X24" i="15"/>
  <c r="X25" i="15" s="1"/>
  <c r="O115" i="6"/>
  <c r="O139" i="6"/>
  <c r="N1318" i="2"/>
  <c r="P1318" i="2"/>
  <c r="J110" i="2"/>
  <c r="L110" i="2" s="1"/>
  <c r="J124" i="2"/>
  <c r="L124" i="2" s="1"/>
  <c r="J102" i="2"/>
  <c r="L102" i="2" s="1"/>
  <c r="R52" i="15"/>
  <c r="X51" i="15"/>
  <c r="X52" i="15" s="1"/>
  <c r="J1251" i="2"/>
  <c r="N1788" i="2"/>
  <c r="P1788" i="2"/>
  <c r="N1901" i="2"/>
  <c r="P1901" i="2"/>
  <c r="J154" i="2"/>
  <c r="J1002" i="2"/>
  <c r="A734" i="2"/>
  <c r="P738" i="2"/>
  <c r="N738" i="2"/>
  <c r="N750" i="2"/>
  <c r="P750" i="2"/>
  <c r="J423" i="2"/>
  <c r="N1861" i="2"/>
  <c r="P1861" i="2"/>
  <c r="J139" i="2"/>
  <c r="L139" i="2" s="1"/>
  <c r="P971" i="2"/>
  <c r="N971" i="2"/>
  <c r="P1608" i="2"/>
  <c r="N1608" i="2"/>
  <c r="R39" i="15"/>
  <c r="X38" i="15"/>
  <c r="X39" i="15" s="1"/>
  <c r="A729" i="2"/>
  <c r="P733" i="2"/>
  <c r="N733" i="2"/>
  <c r="J202" i="2"/>
  <c r="J1332" i="2"/>
  <c r="P1243" i="2"/>
  <c r="N1243" i="2"/>
  <c r="P805" i="2"/>
  <c r="N805" i="2"/>
  <c r="R128" i="15"/>
  <c r="J598" i="2"/>
  <c r="L598" i="2" s="1"/>
  <c r="A595" i="2" s="1"/>
  <c r="N1363" i="2"/>
  <c r="P1363" i="2"/>
  <c r="J314" i="2"/>
  <c r="J209" i="2"/>
  <c r="P1683" i="2"/>
  <c r="N1683" i="2"/>
  <c r="J1281" i="2"/>
  <c r="L1281" i="2" s="1"/>
  <c r="N1883" i="2"/>
  <c r="P1883" i="2"/>
  <c r="Z1355" i="2"/>
  <c r="P1355" i="2"/>
  <c r="N1355" i="2"/>
  <c r="P1190" i="2"/>
  <c r="N1190" i="2"/>
  <c r="A1183" i="2"/>
  <c r="P1384" i="2"/>
  <c r="N1384" i="2"/>
  <c r="R19" i="15"/>
  <c r="X18" i="15"/>
  <c r="X19" i="15" s="1"/>
  <c r="O75" i="6"/>
  <c r="P1036" i="2"/>
  <c r="N1036" i="2"/>
  <c r="J602" i="2"/>
  <c r="J18" i="7" s="1"/>
  <c r="J263" i="2"/>
  <c r="N1369" i="2"/>
  <c r="P1369" i="2"/>
  <c r="P640" i="2"/>
  <c r="N640" i="2"/>
  <c r="J391" i="2"/>
  <c r="O213" i="6"/>
  <c r="J1919" i="2"/>
  <c r="L1919" i="2" s="1"/>
  <c r="N1919" i="2" s="1"/>
  <c r="J468" i="2"/>
  <c r="N681" i="2"/>
  <c r="P681" i="2"/>
  <c r="P1937" i="2" l="1"/>
  <c r="A232" i="4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L519" i="2"/>
  <c r="L520" i="2" s="1"/>
  <c r="J520" i="2"/>
  <c r="N1656" i="2"/>
  <c r="P1656" i="2"/>
  <c r="P1941" i="2"/>
  <c r="N1941" i="2"/>
  <c r="P1626" i="2"/>
  <c r="P911" i="2"/>
  <c r="N759" i="2"/>
  <c r="N40" i="7" s="1"/>
  <c r="J1152" i="2"/>
  <c r="L1594" i="2"/>
  <c r="L1595" i="2" s="1"/>
  <c r="J1595" i="2"/>
  <c r="L198" i="2"/>
  <c r="N1152" i="2"/>
  <c r="J629" i="2"/>
  <c r="L628" i="2"/>
  <c r="P1147" i="2"/>
  <c r="N1147" i="2"/>
  <c r="P884" i="2"/>
  <c r="N293" i="2"/>
  <c r="P293" i="2"/>
  <c r="P833" i="2"/>
  <c r="N833" i="2"/>
  <c r="P1587" i="2"/>
  <c r="Q247" i="6" s="1"/>
  <c r="K243" i="6"/>
  <c r="P1591" i="2"/>
  <c r="A1588" i="2"/>
  <c r="J1217" i="2"/>
  <c r="L1217" i="2" s="1"/>
  <c r="N1217" i="2" s="1"/>
  <c r="J1224" i="2"/>
  <c r="N229" i="2"/>
  <c r="P229" i="2"/>
  <c r="N767" i="2"/>
  <c r="P663" i="2"/>
  <c r="N1591" i="2"/>
  <c r="O193" i="6"/>
  <c r="O194" i="6" s="1"/>
  <c r="J1009" i="2"/>
  <c r="L1008" i="2"/>
  <c r="L1009" i="2" s="1"/>
  <c r="N1434" i="2"/>
  <c r="N1042" i="2"/>
  <c r="L1956" i="2"/>
  <c r="J229" i="2"/>
  <c r="P1349" i="2"/>
  <c r="N1349" i="2"/>
  <c r="J1767" i="2"/>
  <c r="J1957" i="2" s="1"/>
  <c r="N1767" i="2"/>
  <c r="P989" i="2"/>
  <c r="N989" i="2"/>
  <c r="N1599" i="2"/>
  <c r="P977" i="2"/>
  <c r="N977" i="2"/>
  <c r="J1256" i="2"/>
  <c r="N251" i="2"/>
  <c r="P251" i="2"/>
  <c r="N776" i="2"/>
  <c r="J22" i="7"/>
  <c r="L606" i="2"/>
  <c r="L22" i="7" s="1"/>
  <c r="M95" i="6"/>
  <c r="M96" i="6" s="1"/>
  <c r="L1122" i="2"/>
  <c r="N1122" i="2" s="1"/>
  <c r="N1268" i="2"/>
  <c r="J23" i="7"/>
  <c r="L607" i="2"/>
  <c r="L23" i="7" s="1"/>
  <c r="P1268" i="2"/>
  <c r="M52" i="6"/>
  <c r="M53" i="6" s="1"/>
  <c r="M218" i="6"/>
  <c r="M219" i="6" s="1"/>
  <c r="L811" i="2"/>
  <c r="P811" i="2" s="1"/>
  <c r="Q219" i="6" s="1"/>
  <c r="P1231" i="2"/>
  <c r="L1134" i="2"/>
  <c r="M108" i="6" s="1"/>
  <c r="M109" i="6" s="1"/>
  <c r="K88" i="6"/>
  <c r="K89" i="6" s="1"/>
  <c r="L1114" i="2"/>
  <c r="M187" i="6"/>
  <c r="M188" i="6" s="1"/>
  <c r="L1080" i="2"/>
  <c r="N1080" i="2" s="1"/>
  <c r="O69" i="6" s="1"/>
  <c r="P653" i="2"/>
  <c r="Q188" i="6" s="1"/>
  <c r="J233" i="2"/>
  <c r="N1477" i="2"/>
  <c r="P1477" i="2"/>
  <c r="J1446" i="2"/>
  <c r="L1446" i="2" s="1"/>
  <c r="P1446" i="2" s="1"/>
  <c r="A14" i="4"/>
  <c r="A15" i="4" s="1"/>
  <c r="N1910" i="2"/>
  <c r="P1910" i="2"/>
  <c r="L528" i="2"/>
  <c r="L529" i="2"/>
  <c r="R99" i="15"/>
  <c r="R100" i="15" s="1"/>
  <c r="L953" i="2"/>
  <c r="L56" i="7" s="1"/>
  <c r="J1471" i="2"/>
  <c r="L1471" i="2"/>
  <c r="J56" i="7"/>
  <c r="L952" i="2"/>
  <c r="J55" i="7"/>
  <c r="L1197" i="2"/>
  <c r="M167" i="6"/>
  <c r="M168" i="6" s="1"/>
  <c r="P300" i="2"/>
  <c r="N300" i="2"/>
  <c r="N1343" i="2"/>
  <c r="O201" i="6" s="1"/>
  <c r="L995" i="2"/>
  <c r="P965" i="2"/>
  <c r="P67" i="7" s="1"/>
  <c r="J88" i="7"/>
  <c r="J89" i="7" s="1"/>
  <c r="L1058" i="2"/>
  <c r="M46" i="6"/>
  <c r="M47" i="6" s="1"/>
  <c r="L1164" i="2"/>
  <c r="K121" i="6"/>
  <c r="K122" i="6" s="1"/>
  <c r="L1251" i="2"/>
  <c r="M152" i="6"/>
  <c r="M153" i="6" s="1"/>
  <c r="L1130" i="2"/>
  <c r="M103" i="6"/>
  <c r="M104" i="6" s="1"/>
  <c r="L1203" i="2"/>
  <c r="M144" i="6"/>
  <c r="M145" i="6" s="1"/>
  <c r="L823" i="2"/>
  <c r="P823" i="2" s="1"/>
  <c r="Q243" i="6" s="1"/>
  <c r="M242" i="6"/>
  <c r="L1302" i="2"/>
  <c r="L84" i="7"/>
  <c r="L85" i="7" s="1"/>
  <c r="L817" i="2"/>
  <c r="N817" i="2" s="1"/>
  <c r="O231" i="6" s="1"/>
  <c r="M230" i="6"/>
  <c r="M231" i="6" s="1"/>
  <c r="L1002" i="2"/>
  <c r="P1002" i="2" s="1"/>
  <c r="Q39" i="6" s="1"/>
  <c r="M38" i="6"/>
  <c r="M39" i="6" s="1"/>
  <c r="L870" i="2"/>
  <c r="L1332" i="2"/>
  <c r="N1332" i="2" s="1"/>
  <c r="O174" i="6" s="1"/>
  <c r="M173" i="6"/>
  <c r="M174" i="6" s="1"/>
  <c r="M23" i="6"/>
  <c r="M24" i="6" s="1"/>
  <c r="P1336" i="2"/>
  <c r="L30" i="7"/>
  <c r="L31" i="7" s="1"/>
  <c r="L613" i="2"/>
  <c r="P613" i="2" s="1"/>
  <c r="P31" i="7" s="1"/>
  <c r="L16" i="7"/>
  <c r="L602" i="2"/>
  <c r="L18" i="7" s="1"/>
  <c r="N1262" i="2"/>
  <c r="L19" i="7"/>
  <c r="L605" i="2"/>
  <c r="L21" i="7" s="1"/>
  <c r="L1809" i="2"/>
  <c r="L1810" i="2"/>
  <c r="L188" i="2"/>
  <c r="J193" i="2"/>
  <c r="N663" i="2"/>
  <c r="N1637" i="2"/>
  <c r="A742" i="2"/>
  <c r="P1852" i="2"/>
  <c r="N1667" i="2"/>
  <c r="A1333" i="2"/>
  <c r="P744" i="2"/>
  <c r="N728" i="2"/>
  <c r="P1675" i="2"/>
  <c r="P848" i="2"/>
  <c r="N1231" i="2"/>
  <c r="P168" i="2"/>
  <c r="J161" i="2"/>
  <c r="L161" i="2"/>
  <c r="P1108" i="2"/>
  <c r="P767" i="2"/>
  <c r="N911" i="2"/>
  <c r="L183" i="2"/>
  <c r="L184" i="2" s="1"/>
  <c r="J667" i="2"/>
  <c r="J119" i="2"/>
  <c r="N1907" i="2"/>
  <c r="P1907" i="2"/>
  <c r="J97" i="2"/>
  <c r="P1050" i="2"/>
  <c r="R142" i="15"/>
  <c r="R58" i="15"/>
  <c r="O32" i="6"/>
  <c r="P1869" i="2"/>
  <c r="O131" i="6"/>
  <c r="P1025" i="2"/>
  <c r="N1450" i="2"/>
  <c r="P1438" i="2"/>
  <c r="N1417" i="2"/>
  <c r="P1442" i="2"/>
  <c r="N1423" i="2"/>
  <c r="P1405" i="2"/>
  <c r="P1434" i="2"/>
  <c r="P1031" i="2"/>
  <c r="P1396" i="2"/>
  <c r="N1031" i="2"/>
  <c r="J177" i="2"/>
  <c r="L177" i="2" s="1"/>
  <c r="P177" i="2" s="1"/>
  <c r="J1086" i="2"/>
  <c r="L1086" i="2" s="1"/>
  <c r="N1086" i="2" s="1"/>
  <c r="J1158" i="2"/>
  <c r="L1158" i="2" s="1"/>
  <c r="N1158" i="2" s="1"/>
  <c r="P1933" i="2"/>
  <c r="N1211" i="2"/>
  <c r="N218" i="2"/>
  <c r="J699" i="2"/>
  <c r="P705" i="2"/>
  <c r="N705" i="2"/>
  <c r="P1224" i="2"/>
  <c r="O180" i="6"/>
  <c r="P571" i="2"/>
  <c r="N571" i="2"/>
  <c r="N286" i="2"/>
  <c r="P286" i="2"/>
  <c r="P741" i="2"/>
  <c r="P1795" i="2"/>
  <c r="N741" i="2"/>
  <c r="P1152" i="2"/>
  <c r="P839" i="2"/>
  <c r="N839" i="2"/>
  <c r="X103" i="15"/>
  <c r="X104" i="15" s="1"/>
  <c r="AB104" i="15" s="1"/>
  <c r="P1239" i="2"/>
  <c r="N1937" i="2"/>
  <c r="X83" i="15"/>
  <c r="X84" i="15" s="1"/>
  <c r="Z84" i="15" s="1"/>
  <c r="P1390" i="2"/>
  <c r="N1774" i="2"/>
  <c r="P1877" i="2"/>
  <c r="P1042" i="2"/>
  <c r="N1846" i="2"/>
  <c r="P1064" i="2"/>
  <c r="Q53" i="6" s="1"/>
  <c r="X67" i="15"/>
  <c r="X68" i="15" s="1"/>
  <c r="Z68" i="15" s="1"/>
  <c r="X63" i="15"/>
  <c r="X64" i="15" s="1"/>
  <c r="Z64" i="15" s="1"/>
  <c r="J1165" i="2"/>
  <c r="N653" i="2"/>
  <c r="O188" i="6" s="1"/>
  <c r="P1767" i="2"/>
  <c r="N688" i="2"/>
  <c r="P1735" i="2"/>
  <c r="P1071" i="2"/>
  <c r="X79" i="15"/>
  <c r="X80" i="15" s="1"/>
  <c r="Z80" i="15" s="1"/>
  <c r="X95" i="15"/>
  <c r="X96" i="15" s="1"/>
  <c r="AB96" i="15" s="1"/>
  <c r="Z1071" i="2"/>
  <c r="N1071" i="2"/>
  <c r="P1488" i="2"/>
  <c r="N892" i="2"/>
  <c r="N1375" i="2"/>
  <c r="O225" i="6"/>
  <c r="N1714" i="2"/>
  <c r="P1805" i="2"/>
  <c r="X75" i="15"/>
  <c r="X76" i="15" s="1"/>
  <c r="AB76" i="15" s="1"/>
  <c r="A1370" i="2"/>
  <c r="N1311" i="2"/>
  <c r="N877" i="2"/>
  <c r="R92" i="15"/>
  <c r="X44" i="15"/>
  <c r="X45" i="15" s="1"/>
  <c r="Z45" i="15" s="1"/>
  <c r="P1182" i="2"/>
  <c r="N1182" i="2"/>
  <c r="P943" i="2"/>
  <c r="N929" i="2"/>
  <c r="A1319" i="2"/>
  <c r="P1322" i="2"/>
  <c r="P776" i="2"/>
  <c r="P791" i="2"/>
  <c r="P1413" i="2"/>
  <c r="N1286" i="2"/>
  <c r="P1093" i="2"/>
  <c r="N1626" i="2"/>
  <c r="N856" i="2"/>
  <c r="P1841" i="2"/>
  <c r="A1323" i="2"/>
  <c r="N1326" i="2"/>
  <c r="P1211" i="2"/>
  <c r="N1933" i="2"/>
  <c r="P901" i="2"/>
  <c r="N1692" i="2"/>
  <c r="P1018" i="2"/>
  <c r="N884" i="2"/>
  <c r="P828" i="2"/>
  <c r="X157" i="15"/>
  <c r="X158" i="15" s="1"/>
  <c r="X137" i="15"/>
  <c r="X138" i="15" s="1"/>
  <c r="Z138" i="15" s="1"/>
  <c r="J611" i="2"/>
  <c r="P586" i="2"/>
  <c r="J224" i="2"/>
  <c r="P224" i="2" s="1"/>
  <c r="Z116" i="15"/>
  <c r="AB116" i="15"/>
  <c r="P1454" i="2"/>
  <c r="N1454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82" i="2"/>
  <c r="X139" i="15"/>
  <c r="X142" i="15" s="1"/>
  <c r="N512" i="2"/>
  <c r="Z88" i="15"/>
  <c r="N560" i="2"/>
  <c r="P560" i="2"/>
  <c r="J87" i="2"/>
  <c r="P318" i="2"/>
  <c r="N318" i="2"/>
  <c r="N525" i="2"/>
  <c r="X133" i="15"/>
  <c r="X134" i="15" s="1"/>
  <c r="Z134" i="15" s="1"/>
  <c r="Z120" i="15"/>
  <c r="AB120" i="15"/>
  <c r="P139" i="2"/>
  <c r="N139" i="2"/>
  <c r="N563" i="2"/>
  <c r="A561" i="2"/>
  <c r="P563" i="2"/>
  <c r="AB72" i="15"/>
  <c r="X124" i="15"/>
  <c r="X125" i="15" s="1"/>
  <c r="A78" i="4"/>
  <c r="A712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8" i="2"/>
  <c r="N598" i="2"/>
  <c r="N124" i="2"/>
  <c r="P124" i="2"/>
  <c r="P799" i="2"/>
  <c r="N799" i="2"/>
  <c r="N246" i="2"/>
  <c r="P246" i="2"/>
  <c r="P492" i="2"/>
  <c r="N492" i="2"/>
  <c r="N468" i="2"/>
  <c r="P468" i="2"/>
  <c r="N1281" i="2"/>
  <c r="P1281" i="2"/>
  <c r="Z39" i="15"/>
  <c r="AB39" i="15"/>
  <c r="Z52" i="15"/>
  <c r="AB52" i="15"/>
  <c r="N578" i="2"/>
  <c r="P578" i="2"/>
  <c r="N457" i="2"/>
  <c r="P457" i="2"/>
  <c r="N263" i="2"/>
  <c r="P263" i="2"/>
  <c r="P1919" i="2"/>
  <c r="AB19" i="15"/>
  <c r="A14" i="15"/>
  <c r="Z19" i="15"/>
  <c r="P233" i="2"/>
  <c r="R129" i="15"/>
  <c r="X128" i="15"/>
  <c r="X129" i="15" s="1"/>
  <c r="P1256" i="2"/>
  <c r="P135" i="2"/>
  <c r="N135" i="2"/>
  <c r="P341" i="2"/>
  <c r="N341" i="2"/>
  <c r="N92" i="2"/>
  <c r="P92" i="2"/>
  <c r="P448" i="2"/>
  <c r="N448" i="2"/>
  <c r="J614" i="2" l="1"/>
  <c r="N520" i="2"/>
  <c r="P520" i="2"/>
  <c r="N1956" i="2"/>
  <c r="L629" i="2"/>
  <c r="L92" i="7"/>
  <c r="L93" i="7" s="1"/>
  <c r="P1251" i="2"/>
  <c r="Q153" i="6" s="1"/>
  <c r="N1595" i="2"/>
  <c r="P1595" i="2"/>
  <c r="L199" i="2"/>
  <c r="P1217" i="2"/>
  <c r="K248" i="6"/>
  <c r="M243" i="6"/>
  <c r="P119" i="2"/>
  <c r="N119" i="2"/>
  <c r="P1009" i="2"/>
  <c r="N1009" i="2"/>
  <c r="P1956" i="2"/>
  <c r="L55" i="7"/>
  <c r="L60" i="7" s="1"/>
  <c r="L955" i="2"/>
  <c r="P1203" i="2"/>
  <c r="Q145" i="6" s="1"/>
  <c r="P995" i="2"/>
  <c r="P73" i="7" s="1"/>
  <c r="J27" i="7"/>
  <c r="J29" i="7"/>
  <c r="L611" i="2"/>
  <c r="N611" i="2" s="1"/>
  <c r="N29" i="7" s="1"/>
  <c r="N811" i="2"/>
  <c r="O219" i="6" s="1"/>
  <c r="P1197" i="2"/>
  <c r="Q168" i="6" s="1"/>
  <c r="L1135" i="2"/>
  <c r="N1135" i="2" s="1"/>
  <c r="O109" i="6" s="1"/>
  <c r="M88" i="6"/>
  <c r="M89" i="6" s="1"/>
  <c r="L1115" i="2"/>
  <c r="P1080" i="2"/>
  <c r="Q69" i="6" s="1"/>
  <c r="P1130" i="2"/>
  <c r="Q104" i="6" s="1"/>
  <c r="L87" i="2"/>
  <c r="P87" i="2" s="1"/>
  <c r="N1446" i="2"/>
  <c r="X99" i="15"/>
  <c r="X100" i="15" s="1"/>
  <c r="Z100" i="15" s="1"/>
  <c r="H541" i="2"/>
  <c r="L541" i="2"/>
  <c r="J58" i="7"/>
  <c r="J60" i="7"/>
  <c r="P1471" i="2"/>
  <c r="N1471" i="2"/>
  <c r="N1058" i="2"/>
  <c r="O47" i="6" s="1"/>
  <c r="A16" i="6"/>
  <c r="A245" i="4"/>
  <c r="A246" i="4" s="1"/>
  <c r="A247" i="4" s="1"/>
  <c r="A248" i="4" s="1"/>
  <c r="N1002" i="2"/>
  <c r="O39" i="6" s="1"/>
  <c r="P1332" i="2"/>
  <c r="Q174" i="6" s="1"/>
  <c r="P1058" i="2"/>
  <c r="Q47" i="6" s="1"/>
  <c r="N995" i="2"/>
  <c r="N73" i="7" s="1"/>
  <c r="N823" i="2"/>
  <c r="O243" i="6" s="1"/>
  <c r="N1251" i="2"/>
  <c r="O153" i="6" s="1"/>
  <c r="N1302" i="2"/>
  <c r="N85" i="7" s="1"/>
  <c r="P785" i="2"/>
  <c r="Q24" i="6" s="1"/>
  <c r="P817" i="2"/>
  <c r="Q231" i="6" s="1"/>
  <c r="P1302" i="2"/>
  <c r="P85" i="7" s="1"/>
  <c r="N785" i="2"/>
  <c r="O24" i="6" s="1"/>
  <c r="L193" i="2"/>
  <c r="L1165" i="2"/>
  <c r="P1165" i="2" s="1"/>
  <c r="Q122" i="6" s="1"/>
  <c r="M121" i="6"/>
  <c r="M122" i="6" s="1"/>
  <c r="N613" i="2"/>
  <c r="N31" i="7" s="1"/>
  <c r="P188" i="2"/>
  <c r="N168" i="2"/>
  <c r="N605" i="2"/>
  <c r="N21" i="7" s="1"/>
  <c r="P605" i="2"/>
  <c r="P21" i="7" s="1"/>
  <c r="P602" i="2"/>
  <c r="P18" i="7" s="1"/>
  <c r="N1197" i="2"/>
  <c r="O168" i="6" s="1"/>
  <c r="N602" i="2"/>
  <c r="N18" i="7" s="1"/>
  <c r="N154" i="2"/>
  <c r="P154" i="2"/>
  <c r="L27" i="7"/>
  <c r="L29" i="7"/>
  <c r="N188" i="2"/>
  <c r="L1811" i="2"/>
  <c r="N1130" i="2"/>
  <c r="O104" i="6" s="1"/>
  <c r="N224" i="2"/>
  <c r="P97" i="2"/>
  <c r="N97" i="2"/>
  <c r="P1122" i="2"/>
  <c r="N1203" i="2"/>
  <c r="O145" i="6" s="1"/>
  <c r="P184" i="2"/>
  <c r="N1141" i="2"/>
  <c r="P1141" i="2"/>
  <c r="J225" i="2"/>
  <c r="J378" i="2" s="1"/>
  <c r="N699" i="2"/>
  <c r="P699" i="2"/>
  <c r="P759" i="2"/>
  <c r="P40" i="7" s="1"/>
  <c r="AB84" i="15"/>
  <c r="Z104" i="15"/>
  <c r="N184" i="2"/>
  <c r="N1064" i="2"/>
  <c r="O53" i="6" s="1"/>
  <c r="AB68" i="15"/>
  <c r="AB64" i="15"/>
  <c r="P1158" i="2"/>
  <c r="AB80" i="15"/>
  <c r="P1086" i="2"/>
  <c r="A1081" i="2"/>
  <c r="Z96" i="15"/>
  <c r="X161" i="15"/>
  <c r="A40" i="15"/>
  <c r="AB45" i="15"/>
  <c r="Z76" i="15"/>
  <c r="N377" i="2"/>
  <c r="P377" i="2"/>
  <c r="P314" i="2"/>
  <c r="N314" i="2"/>
  <c r="N567" i="2"/>
  <c r="P567" i="2"/>
  <c r="Z158" i="15"/>
  <c r="AB158" i="15"/>
  <c r="R159" i="15"/>
  <c r="N177" i="2"/>
  <c r="AB138" i="15"/>
  <c r="N27" i="7"/>
  <c r="N586" i="2"/>
  <c r="AB108" i="15"/>
  <c r="Z108" i="15"/>
  <c r="N590" i="2"/>
  <c r="P590" i="2"/>
  <c r="AB150" i="15"/>
  <c r="Z150" i="15"/>
  <c r="P594" i="2"/>
  <c r="N594" i="2"/>
  <c r="Z154" i="15"/>
  <c r="AB154" i="15"/>
  <c r="N582" i="2"/>
  <c r="AB142" i="15"/>
  <c r="Z142" i="15"/>
  <c r="P512" i="2"/>
  <c r="P525" i="2"/>
  <c r="AB134" i="15"/>
  <c r="Z125" i="15"/>
  <c r="AB125" i="15"/>
  <c r="A79" i="4"/>
  <c r="A16" i="4"/>
  <c r="A17" i="4" s="1"/>
  <c r="P722" i="2"/>
  <c r="N722" i="2"/>
  <c r="Z129" i="15"/>
  <c r="A126" i="15"/>
  <c r="AB129" i="15"/>
  <c r="P161" i="2"/>
  <c r="N161" i="2"/>
  <c r="P111" i="2"/>
  <c r="N111" i="2"/>
  <c r="A20" i="15"/>
  <c r="A26" i="15" s="1"/>
  <c r="A249" i="4" l="1"/>
  <c r="A250" i="4"/>
  <c r="P629" i="2"/>
  <c r="P93" i="7" s="1"/>
  <c r="N629" i="2"/>
  <c r="N93" i="7" s="1"/>
  <c r="L200" i="2"/>
  <c r="M248" i="6"/>
  <c r="M250" i="6"/>
  <c r="L58" i="7"/>
  <c r="A251" i="4"/>
  <c r="A253" i="4" s="1"/>
  <c r="A252" i="4"/>
  <c r="J94" i="7"/>
  <c r="P1135" i="2"/>
  <c r="Q109" i="6" s="1"/>
  <c r="N1115" i="2"/>
  <c r="O89" i="6" s="1"/>
  <c r="P1115" i="2"/>
  <c r="Q89" i="6" s="1"/>
  <c r="N87" i="2"/>
  <c r="AB100" i="15"/>
  <c r="X159" i="15"/>
  <c r="X162" i="15" s="1"/>
  <c r="P541" i="2"/>
  <c r="N541" i="2"/>
  <c r="A33" i="6"/>
  <c r="A40" i="6" s="1"/>
  <c r="N1165" i="2"/>
  <c r="O122" i="6" s="1"/>
  <c r="P611" i="2"/>
  <c r="P29" i="7" s="1"/>
  <c r="A34" i="15"/>
  <c r="A18" i="4"/>
  <c r="A19" i="4" s="1"/>
  <c r="A20" i="4" s="1"/>
  <c r="A21" i="4" s="1"/>
  <c r="A80" i="4"/>
  <c r="A81" i="4" s="1"/>
  <c r="L201" i="2" l="1"/>
  <c r="L202" i="2" s="1"/>
  <c r="M251" i="6"/>
  <c r="A48" i="6"/>
  <c r="L1812" i="2"/>
  <c r="A22" i="4"/>
  <c r="A23" i="4" s="1"/>
  <c r="A46" i="15"/>
  <c r="A53" i="15" s="1"/>
  <c r="A82" i="4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0" i="4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69" i="15"/>
  <c r="H209" i="2" l="1"/>
  <c r="L209" i="2"/>
  <c r="A90" i="6"/>
  <c r="L1814" i="2"/>
  <c r="A37" i="4"/>
  <c r="A143" i="4"/>
  <c r="A142" i="4"/>
  <c r="A144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5" i="4"/>
  <c r="A146" i="4" s="1"/>
  <c r="A147" i="4" s="1"/>
  <c r="A148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49" i="4"/>
  <c r="A151" i="4" s="1"/>
  <c r="A150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2" i="4"/>
  <c r="A153" i="4" s="1"/>
  <c r="A154" i="4" s="1"/>
  <c r="A155" i="4" s="1"/>
  <c r="A156" i="4" s="1"/>
  <c r="A157" i="4" s="1"/>
  <c r="A158" i="4" s="1"/>
  <c r="A159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0" i="4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I1824" i="2"/>
  <c r="I1957" i="2" s="1"/>
  <c r="L1824" i="2"/>
  <c r="L1957" i="2" s="1"/>
  <c r="A62" i="4"/>
  <c r="A63" i="4" s="1"/>
  <c r="A64" i="4" s="1"/>
  <c r="L381" i="2" l="1"/>
  <c r="A65" i="4"/>
  <c r="A67" i="4" s="1"/>
  <c r="A66" i="4"/>
  <c r="A171" i="4"/>
  <c r="A172" i="4" s="1"/>
  <c r="P1824" i="2"/>
  <c r="I1958" i="2"/>
  <c r="N1824" i="2"/>
  <c r="L382" i="2" l="1"/>
  <c r="A173" i="4"/>
  <c r="A174" i="4" s="1"/>
  <c r="L383" i="2" l="1"/>
  <c r="A175" i="4"/>
  <c r="A176" i="4" s="1"/>
  <c r="A177" i="4" s="1"/>
  <c r="A178" i="4" s="1"/>
  <c r="A179" i="4" s="1"/>
  <c r="A180" i="4" s="1"/>
  <c r="L384" i="2" l="1"/>
  <c r="A181" i="4"/>
  <c r="A182" i="4" s="1"/>
  <c r="L385" i="2" l="1"/>
  <c r="A183" i="4"/>
  <c r="A1676" i="2"/>
  <c r="L386" i="2" l="1"/>
  <c r="A184" i="4"/>
  <c r="N58" i="7"/>
  <c r="L387" i="2" l="1"/>
  <c r="A185" i="4"/>
  <c r="N955" i="2"/>
  <c r="N60" i="7" s="1"/>
  <c r="P955" i="2"/>
  <c r="P60" i="7" s="1"/>
  <c r="L388" i="2" l="1"/>
  <c r="A186" i="4"/>
  <c r="A187" i="4" s="1"/>
  <c r="A188" i="4" s="1"/>
  <c r="X776" i="2"/>
  <c r="L389" i="2" l="1"/>
  <c r="A190" i="4"/>
  <c r="A189" i="4"/>
  <c r="A191" i="4" s="1"/>
  <c r="N1100" i="2"/>
  <c r="N80" i="7" s="1"/>
  <c r="P1100" i="2"/>
  <c r="P80" i="7" s="1"/>
  <c r="L390" i="2" l="1"/>
  <c r="A193" i="4"/>
  <c r="A192" i="4"/>
  <c r="A194" i="4" s="1"/>
  <c r="X1841" i="2"/>
  <c r="L391" i="2" l="1"/>
  <c r="A197" i="4"/>
  <c r="A196" i="4"/>
  <c r="A195" i="4"/>
  <c r="A198" i="4" s="1"/>
  <c r="X1401" i="2"/>
  <c r="N391" i="2" l="1"/>
  <c r="P391" i="2"/>
  <c r="L392" i="2"/>
  <c r="A200" i="4"/>
  <c r="A199" i="4"/>
  <c r="N79" i="8"/>
  <c r="N65" i="8"/>
  <c r="N10" i="8"/>
  <c r="N94" i="8"/>
  <c r="M40" i="8"/>
  <c r="L393" i="2" l="1"/>
  <c r="A210" i="4"/>
  <c r="A201" i="4"/>
  <c r="A213" i="4" s="1"/>
  <c r="A206" i="4"/>
  <c r="A207" i="4"/>
  <c r="A203" i="4"/>
  <c r="A202" i="4"/>
  <c r="A1212" i="2"/>
  <c r="A219" i="4" l="1"/>
  <c r="A218" i="4"/>
  <c r="A215" i="4"/>
  <c r="A216" i="4"/>
  <c r="L394" i="2"/>
  <c r="A212" i="4"/>
  <c r="A214" i="4"/>
  <c r="A205" i="4"/>
  <c r="A211" i="4"/>
  <c r="A217" i="4"/>
  <c r="A208" i="4"/>
  <c r="A209" i="4"/>
  <c r="A204" i="4"/>
  <c r="A220" i="4" s="1"/>
  <c r="A1364" i="2"/>
  <c r="L395" i="2" l="1"/>
  <c r="A1402" i="2"/>
  <c r="A1391" i="2"/>
  <c r="L396" i="2" l="1"/>
  <c r="X1251" i="2"/>
  <c r="X1281" i="2"/>
  <c r="L397" i="2" l="1"/>
  <c r="A1410" i="2"/>
  <c r="K442" i="2"/>
  <c r="K614" i="2" s="1"/>
  <c r="K615" i="2" s="1"/>
  <c r="L398" i="2" l="1"/>
  <c r="K1959" i="2"/>
  <c r="I442" i="2"/>
  <c r="L399" i="2" l="1"/>
  <c r="I614" i="2"/>
  <c r="I615" i="2" s="1"/>
  <c r="P442" i="2"/>
  <c r="N442" i="2"/>
  <c r="L400" i="2" l="1"/>
  <c r="I1959" i="2"/>
  <c r="L401" i="2" l="1"/>
  <c r="A579" i="2"/>
  <c r="A1350" i="2"/>
  <c r="A1463" i="2"/>
  <c r="P401" i="2" l="1"/>
  <c r="N401" i="2"/>
  <c r="H423" i="2"/>
  <c r="L402" i="2"/>
  <c r="L423" i="2" s="1"/>
  <c r="H614" i="2" l="1"/>
  <c r="H615" i="2" s="1"/>
  <c r="H1959" i="2" s="1"/>
  <c r="H1964" i="2" s="1"/>
  <c r="N423" i="2"/>
  <c r="P423" i="2"/>
  <c r="L614" i="2"/>
  <c r="A169" i="2"/>
  <c r="X1861" i="2" l="1"/>
  <c r="X1883" i="2"/>
  <c r="X194" i="2" l="1"/>
  <c r="A1406" i="2" l="1"/>
  <c r="A1414" i="2" l="1"/>
  <c r="A1459" i="2"/>
  <c r="X699" i="2"/>
  <c r="X1239" i="2"/>
  <c r="A1435" i="2" l="1"/>
  <c r="A1439" i="2" s="1"/>
  <c r="A1443" i="2" s="1"/>
  <c r="A1447" i="2" s="1"/>
  <c r="A1934" i="2" l="1"/>
  <c r="A591" i="2" l="1"/>
  <c r="A1385" i="2" l="1"/>
  <c r="X1869" i="2" l="1"/>
  <c r="X640" i="2" l="1"/>
  <c r="X423" i="2" l="1"/>
  <c r="A1455" i="2" l="1"/>
  <c r="A857" i="2"/>
  <c r="A521" i="2"/>
  <c r="A315" i="2"/>
  <c r="P193" i="2" l="1"/>
  <c r="N193" i="2"/>
  <c r="A279" i="2" l="1"/>
  <c r="A583" i="2" l="1"/>
  <c r="A587" i="2" l="1"/>
  <c r="A1087" i="2" l="1"/>
  <c r="Z1080" i="2"/>
  <c r="X1080" i="2"/>
  <c r="X1363" i="2"/>
  <c r="X1901" i="2" l="1"/>
  <c r="X278" i="2" l="1"/>
  <c r="A1451" i="2" l="1"/>
  <c r="X848" i="2"/>
  <c r="Z847" i="2"/>
  <c r="X965" i="2"/>
  <c r="X1050" i="2"/>
  <c r="X1805" i="2"/>
  <c r="X1291" i="2" l="1"/>
  <c r="P1292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7" i="2" l="1"/>
  <c r="A1275" i="2"/>
  <c r="A1153" i="2"/>
  <c r="A885" i="2"/>
  <c r="J870" i="2" l="1"/>
  <c r="N870" i="2" l="1"/>
  <c r="N46" i="7" s="1"/>
  <c r="P870" i="2"/>
  <c r="P46" i="7" s="1"/>
  <c r="A1806" i="2" l="1"/>
  <c r="A1043" i="2" l="1"/>
  <c r="X823" i="2" l="1"/>
  <c r="X1224" i="2" l="1"/>
  <c r="X377" i="2" l="1"/>
  <c r="X378" i="2" l="1"/>
  <c r="O379" i="2"/>
  <c r="X1100" i="2" l="1"/>
  <c r="X1297" i="2"/>
  <c r="X1311" i="2"/>
  <c r="X1608" i="2"/>
  <c r="X1626" i="2"/>
  <c r="X1824" i="2"/>
  <c r="A824" i="2" l="1"/>
  <c r="A786" i="2"/>
  <c r="A706" i="2"/>
  <c r="L616" i="2"/>
  <c r="J625" i="2"/>
  <c r="J1600" i="2" s="1"/>
  <c r="L617" i="2"/>
  <c r="J1958" i="2" l="1"/>
  <c r="L625" i="2"/>
  <c r="N625" i="2" l="1"/>
  <c r="P625" i="2"/>
  <c r="A800" i="2" l="1"/>
  <c r="X1211" i="2" l="1"/>
  <c r="X1274" i="2"/>
  <c r="X541" i="2" l="1"/>
  <c r="X911" i="2" l="1"/>
  <c r="X468" i="2" l="1"/>
  <c r="X492" i="2"/>
  <c r="A1478" i="2"/>
  <c r="A1483" i="2"/>
  <c r="A792" i="2"/>
  <c r="A564" i="2"/>
  <c r="A93" i="2"/>
  <c r="F6" i="4"/>
  <c r="I6" i="4" s="1"/>
  <c r="J79" i="2" s="1"/>
  <c r="J6" i="4"/>
  <c r="J80" i="2" l="1"/>
  <c r="L79" i="2"/>
  <c r="L80" i="2" s="1"/>
  <c r="P80" i="2" s="1"/>
  <c r="F5" i="4"/>
  <c r="J5" i="4"/>
  <c r="E68" i="4"/>
  <c r="J68" i="4" l="1"/>
  <c r="K21" i="8" s="1"/>
  <c r="J70" i="4"/>
  <c r="J72" i="4" s="1"/>
  <c r="I264" i="4"/>
  <c r="I265" i="4" s="1"/>
  <c r="I267" i="4" s="1"/>
  <c r="N80" i="2"/>
  <c r="F68" i="4"/>
  <c r="E69" i="4" s="1"/>
  <c r="I5" i="4"/>
  <c r="J37" i="2" s="1"/>
  <c r="I68" i="4" l="1"/>
  <c r="K23" i="8"/>
  <c r="K25" i="8" s="1"/>
  <c r="L37" i="2"/>
  <c r="L38" i="2" s="1"/>
  <c r="P38" i="2" s="1"/>
  <c r="J38" i="2"/>
  <c r="E255" i="4"/>
  <c r="I255" i="4" s="1"/>
  <c r="I69" i="4"/>
  <c r="N38" i="2" l="1"/>
  <c r="L60" i="2"/>
  <c r="J61" i="2"/>
  <c r="L61" i="2" l="1"/>
  <c r="J88" i="2"/>
  <c r="J194" i="2" s="1"/>
  <c r="J615" i="2" s="1"/>
  <c r="J1959" i="2" s="1"/>
  <c r="M1961" i="2" s="1"/>
  <c r="N61" i="2" l="1"/>
  <c r="P61" i="2"/>
  <c r="L88" i="2"/>
  <c r="P88" i="2" s="1"/>
  <c r="A16" i="2" l="1"/>
  <c r="N88" i="2"/>
  <c r="L194" i="2"/>
  <c r="L615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9" i="2"/>
  <c r="X614" i="2"/>
  <c r="Y492" i="2"/>
  <c r="Z492" i="2" s="1"/>
  <c r="X512" i="2"/>
  <c r="A424" i="2" l="1"/>
  <c r="A1116" i="2"/>
  <c r="X615" i="2"/>
  <c r="X681" i="2"/>
  <c r="X929" i="2"/>
  <c r="A443" i="2" l="1"/>
  <c r="A526" i="2"/>
  <c r="A449" i="2" l="1"/>
  <c r="A458" i="2" s="1"/>
  <c r="A469" i="2" s="1"/>
  <c r="A493" i="2" l="1"/>
  <c r="A513" i="2" s="1"/>
  <c r="X1203" i="2"/>
  <c r="A542" i="2" l="1"/>
  <c r="A568" i="2" s="1"/>
  <c r="A572" i="2" s="1"/>
  <c r="A599" i="2" s="1"/>
  <c r="X1692" i="2"/>
  <c r="A603" i="2" l="1"/>
  <c r="A606" i="2" l="1"/>
  <c r="A612" i="2" l="1"/>
  <c r="A616" i="2" l="1"/>
  <c r="A626" i="2" s="1"/>
  <c r="A630" i="2" l="1"/>
  <c r="A646" i="2" l="1"/>
  <c r="A654" i="2" l="1"/>
  <c r="A745" i="2" l="1"/>
  <c r="A829" i="2" l="1"/>
  <c r="A1026" i="2" l="1"/>
  <c r="A1136" i="2" l="1"/>
  <c r="Y38" i="2"/>
  <c r="AA38" i="2" s="1"/>
  <c r="X38" i="2"/>
  <c r="A1225" i="2" l="1"/>
  <c r="A1240" i="2" l="1"/>
  <c r="A1282" i="2" l="1"/>
  <c r="X1788" i="2" l="1"/>
  <c r="A700" i="2" l="1"/>
  <c r="A972" i="2"/>
  <c r="A1003" i="2"/>
  <c r="A1418" i="2"/>
  <c r="A1467" i="2"/>
  <c r="A1489" i="2"/>
  <c r="A1574" i="2"/>
  <c r="A1902" i="2"/>
  <c r="A1908" i="2"/>
  <c r="G88" i="7" l="1"/>
  <c r="L666" i="2"/>
  <c r="X667" i="2"/>
  <c r="X666" i="2"/>
  <c r="L667" i="2" l="1"/>
  <c r="G89" i="7"/>
  <c r="L88" i="7"/>
  <c r="L96" i="7" l="1"/>
  <c r="L1600" i="2"/>
  <c r="L1958" i="2" s="1"/>
  <c r="F94" i="7"/>
  <c r="P667" i="2"/>
  <c r="P89" i="7" s="1"/>
  <c r="N667" i="2"/>
  <c r="N89" i="7" s="1"/>
  <c r="A664" i="2"/>
  <c r="L89" i="7"/>
  <c r="L94" i="7" s="1"/>
  <c r="L97" i="7" l="1"/>
  <c r="L1959" i="2"/>
  <c r="A668" i="2"/>
  <c r="A682" i="2" l="1"/>
  <c r="A689" i="2" l="1"/>
  <c r="A723" i="2" l="1"/>
  <c r="A751" i="2" l="1"/>
  <c r="A760" i="2" l="1"/>
  <c r="A768" i="2" l="1"/>
  <c r="A777" i="2" s="1"/>
  <c r="A806" i="2" s="1"/>
  <c r="A812" i="2" s="1"/>
  <c r="A818" i="2" l="1"/>
  <c r="A834" i="2" l="1"/>
  <c r="A840" i="2" s="1"/>
  <c r="A849" i="2" s="1"/>
  <c r="A865" i="2" s="1"/>
  <c r="A871" i="2" s="1"/>
  <c r="A878" i="2" l="1"/>
  <c r="A893" i="2" s="1"/>
  <c r="A902" i="2" l="1"/>
  <c r="A912" i="2" l="1"/>
  <c r="A935" i="2" l="1"/>
  <c r="A944" i="2" l="1"/>
  <c r="A959" i="2" s="1"/>
  <c r="A966" i="2" s="1"/>
  <c r="A1131" i="2"/>
  <c r="A978" i="2" l="1"/>
  <c r="A984" i="2" s="1"/>
  <c r="X1147" i="2"/>
  <c r="A990" i="2" l="1"/>
  <c r="G1958" i="2"/>
  <c r="G1959" i="2" s="1"/>
  <c r="X1600" i="2"/>
  <c r="A996" i="2" l="1"/>
  <c r="A1010" i="2" s="1"/>
  <c r="A1019" i="2" s="1"/>
  <c r="L1961" i="2"/>
  <c r="AA1959" i="2"/>
  <c r="A1037" i="2" l="1"/>
  <c r="A1051" i="2" l="1"/>
  <c r="A1059" i="2" s="1"/>
  <c r="A1072" i="2" l="1"/>
  <c r="A1094" i="2" s="1"/>
  <c r="A1101" i="2" s="1"/>
  <c r="A1123" i="2" s="1"/>
  <c r="A1142" i="2" l="1"/>
  <c r="A1159" i="2" s="1"/>
  <c r="A1191" i="2" l="1"/>
  <c r="A1198" i="2" l="1"/>
  <c r="A1204" i="2" s="1"/>
  <c r="A1218" i="2" l="1"/>
  <c r="A1232" i="2" s="1"/>
  <c r="A1244" i="2" s="1"/>
  <c r="A1252" i="2" l="1"/>
  <c r="A1269" i="2" l="1"/>
  <c r="A1287" i="2" l="1"/>
  <c r="A1293" i="2" l="1"/>
  <c r="A1298" i="2" l="1"/>
  <c r="A1303" i="2" l="1"/>
  <c r="A1312" i="2" l="1"/>
  <c r="A1327" i="2" l="1"/>
  <c r="A1337" i="2" l="1"/>
  <c r="A1356" i="2" l="1"/>
  <c r="A1376" i="2" l="1"/>
  <c r="A1397" i="2" l="1"/>
  <c r="A1424" i="2" s="1"/>
  <c r="A1430" i="2" s="1"/>
  <c r="A1472" i="2" l="1"/>
  <c r="A1493" i="2" s="1"/>
  <c r="A1498" i="2" s="1"/>
  <c r="A1503" i="2" s="1"/>
  <c r="A1508" i="2" l="1"/>
  <c r="A1514" i="2"/>
  <c r="A1519" i="2" l="1"/>
  <c r="A1525" i="2" l="1"/>
  <c r="A1531" i="2" l="1"/>
  <c r="A1535" i="2" l="1"/>
  <c r="A1541" i="2" l="1"/>
  <c r="A1545" i="2" l="1"/>
  <c r="A1550" i="2" l="1"/>
  <c r="A1556" i="2" l="1"/>
  <c r="A1561" i="2" l="1"/>
  <c r="A1570" i="2" l="1"/>
  <c r="A1584" i="2" l="1"/>
  <c r="A1579" i="2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K344" authorId="0" shapeId="0" xr:uid="{131E33A3-BB64-4155-AFE4-3717F6E6E2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Ngày 22/08/2026 đợi phân tích nên sử dụng ngày 25/08/2026 trước</t>
        </r>
      </text>
    </comment>
    <comment ref="C40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6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07" authorId="0" shapeId="0" xr:uid="{E25CB7AC-308C-4CF5-A787-049D19E6FD03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3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B4DBB8E9-0360-421B-8D17-C961147B11F5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70032DB8-5A6B-402F-AAE4-7B64377C7E23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3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4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5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6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2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3" authorId="0" shapeId="0" xr:uid="{00000000-0006-0000-0000-000027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4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6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475" authorId="0" shapeId="0" xr:uid="{41381A07-8A10-469E-8B55-DC6ABCD7AF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Sử dụng tỷ lệ với ngày 22/07/2026 do sữa usa không dính đổ bồn, sữa Ý ngày 07/08/2026 dính công nhân đổ</t>
        </r>
      </text>
    </comment>
    <comment ref="C478" authorId="0" shapeId="0" xr:uid="{6B5314F4-5FF0-48C6-8FA8-0E180E91E8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(29 bao ướt)</t>
        </r>
      </text>
    </comment>
    <comment ref="C479" authorId="0" shapeId="0" xr:uid="{9577FF00-55AC-4AE9-804F-E0D71CA396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1B35521E-1D57-4F05-81CF-660815214A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(58 bao ướt)</t>
        </r>
      </text>
    </comment>
    <comment ref="C481" authorId="0" shapeId="0" xr:uid="{8D159D1A-CE24-45A5-A129-968392AB52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4054C843-7129-4BC1-ADBE-0658D8A622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8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90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430D873B-5FBD-462E-A2BC-DD11CA576E6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8" authorId="0" shapeId="0" xr:uid="{00000000-0006-0000-0000-00003A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9" authorId="0" shapeId="0" xr:uid="{00000000-0006-0000-0000-00003B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10" authorId="0" shapeId="0" xr:uid="{00000000-0006-0000-0000-00003C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7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8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78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9" authorId="0" shapeId="0" xr:uid="{00000000-0006-0000-0000-00004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53EA0E25-4022-4DF5-8BA5-72A98855E0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5" authorId="0" shapeId="0" xr:uid="{656DB666-25DB-48CD-971B-0AFBC1A743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6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7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4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7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14/08/2026 đợi thông quan (24 tấn)</t>
        </r>
      </text>
    </comment>
    <comment ref="C769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12/08/2026</t>
        </r>
      </text>
    </comment>
    <comment ref="C86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</t>
        </r>
      </text>
    </comment>
    <comment ref="C949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0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1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3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21/08/2026</t>
        </r>
      </text>
    </comment>
    <comment ref="C99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8" authorId="0" shapeId="0" xr:uid="{00000000-0006-0000-0000-00005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299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1315" authorId="0" shapeId="0" xr:uid="{1F411933-17E2-4025-8275-8870F5E804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6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5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1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5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7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8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9" authorId="0" shapeId="0" xr:uid="{00000000-0006-0000-0000-00005C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11" authorId="0" shapeId="0" xr:uid="{FE5AB2EA-F191-4D7C-A2FA-D87480A349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8" authorId="0" shapeId="0" xr:uid="{03563492-6648-4F4F-B4C4-AFB069FB73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7" authorId="0" shapeId="0" xr:uid="{7CBFD7C2-49C2-4CF9-9B42-6124D2FA1C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5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3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3" authorId="0" shapeId="0" xr:uid="{9ED76CEA-0EB7-47BA-AD27-33CC2BFCEB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8" authorId="0" shapeId="0" xr:uid="{CF9BDEF6-192E-4F9C-B70A-4D3E691D66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3" authorId="0" shapeId="0" xr:uid="{DAA33F16-38EF-47DC-AB67-69F36FCD60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<sst xmlns="http://schemas.openxmlformats.org/spreadsheetml/2006/main" count="6886" uniqueCount="2427">
  <si>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</si>
  <si>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</si>
  <si>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</si>
  <si>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</si>
  <si>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</si>
  <si>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</si>
  <si>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</si>
  <si>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</si>
  <si>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</si>
  <si>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</si>
  <si>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</si>
  <si>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</si>
  <si>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</si>
  <si>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</si>
  <si>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</si>
  <si>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</si>
  <si>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</si>
  <si>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</si>
  <si>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</si>
  <si>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</si>
  <si>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</si>
  <si>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</si>
  <si>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</si>
  <si>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</si>
  <si>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</si>
  <si>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</si>
  <si>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</si>
  <si>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</si>
  <si>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</si>
  <si>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</si>
  <si>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</si>
  <si>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</si>
  <si>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</si>
  <si>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</si>
  <si>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</si>
  <si>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</si>
  <si>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</si>
  <si>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</si>
  <si>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</si>
  <si>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</si>
  <si>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</si>
  <si>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</si>
  <si>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</si>
  <si>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</si>
  <si>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</si>
  <si>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</si>
  <si>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</si>
  <si>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</si>
  <si>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</si>
  <si>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</si>
  <si>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</si>
  <si>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</si>
  <si>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</si>
  <si>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</si>
  <si>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</si>
  <si>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</si>
  <si>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</si>
  <si>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</si>
  <si>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</si>
  <si>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</si>
  <si>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</si>
  <si>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</si>
  <si>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</si>
  <si>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</si>
  <si>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</si>
  <si>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</si>
  <si>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</si>
  <si>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</si>
  <si>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</si>
  <si>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</si>
  <si>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</si>
  <si>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</si>
  <si>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</si>
  <si>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</si>
  <si>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</si>
  <si>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</si>
  <si>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</si>
  <si>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</si>
  <si>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</si>
  <si>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</si>
  <si>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</si>
  <si>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</si>
  <si>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</si>
  <si>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</si>
  <si>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</si>
  <si>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</si>
  <si>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</si>
  <si>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</si>
  <si>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</si>
  <si>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</si>
  <si>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</si>
  <si>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</si>
  <si>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</si>
  <si>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</si>
  <si>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</si>
  <si>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</si>
  <si>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</si>
  <si>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</si>
  <si>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</si>
  <si>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</si>
  <si>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</si>
  <si>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</si>
  <si>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</si>
  <si>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</si>
  <si>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</si>
  <si>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</si>
  <si>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</si>
  <si>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</si>
  <si>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</si>
  <si>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</si>
  <si>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</si>
  <si>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</si>
  <si>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</si>
  <si>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</si>
  <si>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</si>
  <si>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</si>
  <si>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</si>
  <si>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</si>
  <si>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</si>
  <si>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</si>
  <si>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</si>
  <si>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</si>
  <si>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</si>
  <si>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</si>
  <si>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</si>
  <si>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</si>
  <si>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</si>
  <si>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</si>
  <si>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</si>
  <si>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</si>
  <si>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</si>
  <si>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</si>
  <si>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</si>
  <si>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</si>
  <si>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</si>
  <si>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</si>
  <si>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</si>
  <si>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</si>
  <si>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</si>
  <si>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</si>
  <si>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</si>
  <si>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</si>
  <si>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</si>
  <si>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</si>
  <si>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</si>
  <si>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</si>
  <si>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</si>
  <si>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</si>
  <si>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</si>
  <si>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</si>
  <si>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</si>
  <si>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</si>
  <si>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</si>
  <si>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</si>
  <si>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</si>
  <si>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</si>
  <si>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</si>
  <si>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</si>
  <si>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</si>
  <si>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</si>
  <si>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</si>
  <si>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</si>
  <si>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</si>
  <si>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</si>
  <si>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</si>
  <si>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</si>
  <si>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</si>
  <si>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</si>
  <si>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</si>
  <si>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</si>
  <si>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</si>
  <si>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</si>
  <si>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</si>
  <si>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</si>
  <si>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</si>
  <si>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</si>
  <si>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</si>
  <si>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</si>
  <si>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</si>
  <si>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</si>
  <si>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</si>
  <si>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</si>
  <si>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</si>
  <si>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</si>
  <si>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</si>
  <si>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</si>
  <si>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</si>
  <si>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</si>
  <si>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</si>
  <si>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</si>
  <si>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</si>
  <si>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</si>
  <si>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</si>
  <si>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</si>
  <si>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</si>
  <si>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</si>
  <si>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</si>
  <si>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</si>
  <si>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</si>
  <si>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</si>
  <si>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</si>
  <si>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</si>
  <si>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</si>
  <si>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</si>
  <si>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</si>
  <si>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</si>
  <si>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</si>
  <si>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</si>
  <si>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</si>
  <si>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</si>
  <si>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</si>
  <si>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</si>
  <si>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</si>
  <si>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</si>
  <si>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</si>
  <si>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</si>
  <si>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</si>
  <si>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</si>
  <si>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</si>
  <si>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</si>
  <si>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</si>
  <si>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</si>
  <si>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</si>
  <si>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</si>
  <si>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</si>
  <si>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</si>
  <si>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</si>
  <si>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</si>
  <si>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</si>
  <si>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</si>
  <si>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</si>
  <si>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</si>
  <si>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</si>
  <si>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</si>
  <si>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</si>
  <si>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</si>
  <si>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</si>
  <si>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</si>
  <si>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</si>
  <si>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</si>
  <si>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</si>
  <si>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</si>
  <si>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</si>
  <si>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</si>
  <si>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</si>
  <si>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</si>
  <si>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</si>
  <si>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</si>
  <si>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</si>
  <si>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</si>
  <si>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</si>
  <si>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</si>
  <si>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</si>
  <si>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</si>
  <si>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</si>
  <si>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</si>
  <si>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</si>
  <si>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</si>
  <si>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</si>
  <si>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</si>
  <si>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</si>
  <si>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</si>
  <si>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</si>
  <si>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</si>
  <si>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</si>
  <si>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</si>
  <si>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</si>
  <si>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</si>
  <si>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</si>
  <si>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</si>
  <si>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</si>
  <si>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</si>
  <si>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</si>
  <si>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</si>
  <si>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</si>
  <si>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</si>
  <si>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</si>
  <si>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</si>
  <si>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</si>
  <si>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</si>
  <si>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</si>
  <si>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</si>
  <si>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</si>
  <si>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</si>
  <si>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</si>
  <si>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</si>
  <si>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</si>
  <si>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</si>
  <si>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</si>
  <si>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</si>
  <si>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</si>
  <si>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</si>
  <si>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</si>
  <si>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</si>
  <si>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</si>
  <si>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</si>
  <si>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</si>
  <si>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</si>
  <si>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</si>
  <si>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</si>
  <si>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</si>
  <si>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</si>
  <si>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</si>
  <si>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</si>
  <si>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</si>
  <si>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</si>
  <si>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</si>
  <si>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</si>
  <si>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</si>
  <si>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</si>
  <si>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</si>
  <si>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</si>
  <si>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</si>
  <si>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</si>
  <si>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</si>
  <si>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</si>
  <si>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</si>
  <si>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</si>
  <si>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</si>
  <si>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</si>
  <si>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</si>
  <si>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</si>
  <si>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</si>
  <si>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</si>
  <si>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</si>
  <si>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</si>
  <si>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</si>
  <si>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</si>
  <si>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</si>
  <si>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</si>
  <si>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</si>
  <si>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</si>
  <si>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</si>
  <si>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</si>
  <si>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</si>
  <si>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</si>
  <si>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</si>
  <si>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</si>
  <si>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</si>
  <si>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</si>
  <si>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</si>
  <si>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</si>
  <si>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</si>
  <si>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</si>
  <si>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</si>
  <si>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</si>
  <si>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</si>
  <si>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</si>
  <si>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</si>
  <si>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</si>
  <si>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</si>
  <si>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</si>
  <si>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</si>
  <si>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</si>
  <si>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</si>
  <si>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</si>
  <si>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</si>
  <si>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</si>
  <si>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</si>
  <si>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</si>
  <si>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</si>
  <si>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</si>
  <si>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</si>
  <si>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</si>
  <si>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</si>
  <si>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</si>
  <si>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</si>
  <si>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</si>
  <si>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</si>
  <si>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</si>
  <si>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</si>
  <si>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</si>
  <si>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</si>
  <si>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</si>
  <si>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</si>
  <si>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</si>
  <si>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</si>
  <si>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</si>
  <si>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</si>
  <si>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</si>
  <si>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</si>
  <si>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</si>
  <si>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</si>
  <si>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</si>
  <si>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</si>
  <si>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</si>
  <si>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</si>
  <si>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</si>
  <si>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</si>
  <si>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</si>
  <si>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</si>
  <si>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</si>
  <si>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</si>
  <si>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</si>
  <si>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</si>
  <si>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</si>
  <si>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</si>
  <si>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</si>
  <si>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</si>
  <si>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</si>
  <si>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</si>
  <si>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</si>
  <si>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</si>
  <si>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</si>
  <si>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</si>
  <si>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</si>
  <si>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</si>
  <si>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</si>
  <si>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</si>
  <si>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</si>
  <si>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</si>
  <si>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</si>
  <si>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</si>
  <si>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</si>
  <si>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</si>
  <si>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</si>
  <si>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</si>
  <si>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</si>
  <si>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</si>
  <si>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</si>
  <si>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</si>
  <si>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</si>
  <si>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</si>
  <si>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</si>
  <si>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</si>
  <si>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</si>
  <si>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</si>
  <si>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</si>
  <si>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</si>
  <si>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</si>
  <si>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</si>
  <si>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</si>
  <si>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</si>
  <si>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</si>
  <si>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</si>
  <si>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</si>
  <si>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</si>
  <si>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</si>
  <si>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</si>
  <si>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</si>
  <si>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</si>
  <si>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</si>
  <si>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</si>
  <si>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</si>
  <si>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</si>
  <si>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</si>
  <si>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</si>
  <si>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</si>
  <si>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</si>
  <si>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</si>
  <si>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</si>
  <si>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</si>
  <si>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</si>
  <si>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</si>
  <si>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</si>
  <si>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</si>
  <si>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</si>
  <si>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</si>
  <si>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</si>
  <si>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</si>
  <si>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</si>
  <si>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</si>
  <si>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</si>
  <si>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</si>
  <si>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</si>
  <si>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</si>
  <si>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</si>
  <si>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</si>
  <si>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</si>
  <si>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</si>
  <si>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</si>
  <si>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</si>
  <si>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</si>
  <si>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</si>
  <si>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</si>
  <si>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</si>
  <si>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</si>
  <si>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</si>
  <si>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</si>
  <si>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</si>
  <si>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</si>
  <si>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</si>
  <si>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</si>
  <si>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</si>
  <si>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</si>
  <si>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</si>
  <si>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</si>
  <si>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</si>
  <si>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</si>
  <si>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</si>
  <si>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</si>
  <si>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</si>
  <si>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</si>
  <si>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</si>
  <si>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</si>
  <si>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</si>
  <si>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</si>
  <si>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</si>
  <si>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</si>
  <si>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</si>
  <si>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</si>
  <si>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</si>
  <si>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</si>
  <si>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</si>
  <si>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</si>
  <si>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</si>
  <si>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</si>
  <si>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</si>
  <si>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</si>
  <si>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</si>
  <si>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</si>
  <si>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</si>
  <si>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</si>
  <si>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</si>
  <si>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</si>
  <si>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</si>
  <si>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</si>
  <si>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</si>
  <si>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</si>
  <si>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</si>
  <si>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</si>
  <si>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</si>
  <si>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</si>
  <si>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</si>
  <si>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</si>
  <si>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</si>
  <si>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</si>
  <si>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</si>
  <si>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</si>
  <si>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</si>
  <si>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</si>
  <si>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</si>
  <si>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</si>
  <si>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</si>
  <si>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</si>
  <si>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</si>
  <si>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</si>
  <si>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</si>
  <si>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</si>
  <si>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</si>
  <si>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</si>
  <si>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</si>
  <si>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</si>
  <si>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</si>
  <si>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</si>
  <si>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</si>
  <si>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</si>
  <si>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</si>
  <si>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</si>
  <si>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</si>
  <si>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</si>
  <si>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</si>
  <si>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</si>
  <si>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</si>
  <si>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</si>
  <si>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</si>
  <si>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</si>
  <si>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</si>
  <si>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</si>
  <si>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</si>
  <si>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</si>
  <si>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</si>
  <si>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</si>
  <si>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</si>
  <si>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</si>
  <si>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</si>
  <si>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</si>
  <si>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</si>
  <si>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</si>
  <si>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</si>
  <si>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</si>
  <si>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</si>
  <si>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</si>
  <si>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</si>
  <si>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</si>
  <si>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</si>
  <si>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</si>
  <si>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</si>
  <si>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</si>
  <si>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</si>
  <si>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</si>
  <si>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</si>
  <si>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</si>
  <si>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</si>
  <si>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</si>
  <si>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</si>
  <si>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</si>
  <si>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</si>
  <si>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</si>
  <si>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</si>
  <si>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</si>
  <si>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</si>
  <si>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</si>
  <si>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</si>
  <si>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</si>
  <si>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</si>
  <si>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</si>
  <si>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</si>
  <si>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</si>
  <si>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</si>
  <si>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</si>
  <si>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</si>
  <si>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</si>
  <si>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</si>
  <si>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</si>
  <si>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</si>
  <si>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</si>
  <si>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</si>
  <si>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</si>
  <si>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</si>
  <si>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</si>
  <si>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</si>
  <si>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</si>
  <si>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</si>
  <si>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</si>
  <si>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</si>
  <si>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</si>
  <si>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</si>
  <si>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</si>
  <si>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</si>
  <si>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</si>
  <si>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</si>
  <si>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</si>
  <si>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</si>
  <si>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</si>
  <si>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</si>
  <si>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</si>
  <si>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</si>
  <si>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</si>
  <si>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</si>
  <si>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</si>
  <si>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</si>
  <si>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</si>
  <si>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</si>
  <si>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</si>
  <si>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</si>
  <si>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</si>
  <si>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</si>
  <si>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</si>
  <si>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</si>
  <si>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</si>
  <si>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</si>
  <si>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</si>
  <si>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</si>
  <si>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</si>
  <si>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</si>
  <si>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</si>
  <si>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</si>
  <si>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</si>
  <si>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</si>
  <si>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</si>
  <si>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</si>
  <si>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</si>
  <si>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</si>
  <si>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</si>
  <si>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</si>
  <si>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</si>
  <si>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</si>
  <si>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</si>
  <si>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</si>
  <si>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</si>
  <si>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</si>
  <si>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</si>
  <si>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</si>
  <si>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</si>
  <si>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</si>
  <si>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</si>
  <si>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</si>
  <si>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</si>
  <si>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</si>
  <si>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</si>
  <si>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</si>
  <si>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</si>
  <si>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</si>
  <si>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</si>
  <si>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</si>
  <si>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</si>
  <si>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</si>
  <si>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</si>
  <si>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</si>
  <si>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</si>
  <si>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</si>
  <si>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</si>
  <si>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</si>
  <si>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</si>
  <si>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</si>
  <si>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</si>
  <si>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</si>
  <si>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</si>
  <si>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</si>
  <si>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</si>
  <si>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</si>
  <si>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</si>
  <si>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</si>
  <si>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</si>
  <si>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</si>
  <si>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</si>
  <si>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</si>
  <si>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</si>
  <si>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</si>
  <si>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</si>
  <si>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</si>
  <si>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</si>
  <si>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</si>
  <si>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</si>
  <si>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</si>
  <si>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</si>
  <si>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</si>
  <si>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</si>
  <si>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</si>
  <si>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</si>
  <si>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</si>
  <si>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</si>
  <si>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</si>
  <si>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</si>
  <si>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</si>
  <si>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</si>
  <si>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</si>
  <si>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</si>
  <si>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</si>
  <si>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</si>
  <si>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</si>
  <si>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</si>
  <si>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</si>
  <si>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</si>
  <si>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</si>
  <si>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</si>
  <si>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</si>
  <si>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</si>
  <si>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</si>
  <si>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</si>
  <si>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</si>
  <si>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</si>
  <si>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</si>
  <si>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</si>
  <si>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</si>
  <si>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</si>
  <si>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</si>
  <si>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</si>
  <si>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</si>
  <si>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</si>
  <si>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</si>
  <si>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</si>
  <si>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</si>
  <si>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</si>
  <si>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</si>
  <si>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</si>
  <si>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</si>
  <si>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</si>
  <si>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</si>
  <si>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</si>
  <si>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</si>
  <si>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</si>
  <si>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</si>
  <si>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</si>
  <si>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</si>
  <si>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</si>
  <si>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</si>
  <si>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</si>
  <si>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</si>
  <si>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</si>
  <si>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</si>
  <si>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</si>
  <si>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</si>
  <si>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</si>
  <si>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</si>
  <si>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</si>
  <si>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</si>
  <si>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</si>
  <si>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</si>
  <si>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</si>
  <si>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</si>
  <si>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</si>
  <si>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</si>
  <si>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</si>
  <si>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</si>
  <si>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</si>
  <si>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</si>
  <si>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</si>
  <si>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</si>
  <si>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</si>
  <si>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</si>
  <si>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</si>
  <si>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</si>
  <si>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</si>
  <si>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</si>
  <si>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</si>
  <si>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</si>
  <si>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</si>
  <si>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</si>
  <si>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</si>
  <si>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</si>
  <si>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</si>
  <si>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</si>
  <si>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</si>
  <si>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</si>
  <si>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</si>
  <si>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</si>
  <si>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</si>
  <si>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</si>
  <si>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</si>
  <si>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</si>
  <si>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</si>
  <si>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</si>
  <si>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</si>
  <si>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</si>
  <si>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</si>
  <si>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</si>
  <si>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</si>
  <si>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</si>
  <si>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</si>
  <si>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</si>
  <si>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</si>
  <si>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</si>
  <si>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</si>
  <si>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</si>
  <si>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</si>
  <si>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</si>
  <si>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</si>
  <si>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</si>
  <si>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</si>
  <si>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</si>
  <si>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</si>
  <si>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</si>
  <si>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</si>
  <si>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</si>
  <si>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</si>
  <si>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</si>
  <si>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</si>
  <si>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</si>
  <si>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</si>
  <si>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</si>
  <si>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</si>
  <si>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</si>
  <si>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</si>
  <si>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</si>
  <si>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</si>
  <si>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</si>
  <si>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</si>
  <si>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</si>
  <si>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</si>
  <si>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</si>
  <si>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</si>
  <si>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</si>
  <si>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</si>
  <si>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</si>
  <si>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</si>
  <si>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</si>
  <si>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</si>
  <si>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</si>
  <si>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</si>
  <si>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</si>
  <si>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</si>
  <si>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</si>
  <si>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</si>
  <si>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</si>
  <si>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</si>
  <si>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</si>
  <si>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</si>
  <si>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</si>
  <si>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</si>
  <si>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</si>
  <si>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</si>
  <si>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</si>
  <si>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</si>
  <si>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</si>
  <si>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</si>
  <si>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</si>
  <si>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</si>
  <si>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</si>
  <si>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</si>
  <si>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</si>
  <si>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</si>
  <si>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</si>
  <si>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</si>
  <si>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</si>
  <si>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</si>
  <si>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</si>
  <si>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</si>
  <si>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</si>
  <si>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</si>
  <si>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</si>
  <si>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</si>
  <si>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</si>
  <si>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</si>
  <si>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</si>
  <si>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</si>
  <si>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</si>
  <si>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</si>
  <si>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</si>
  <si>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</si>
  <si>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</si>
  <si>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</si>
  <si>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</si>
  <si>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</si>
  <si>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</si>
  <si>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</si>
  <si>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</si>
  <si>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</si>
  <si>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</si>
  <si>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</si>
  <si>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</si>
  <si>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</si>
  <si>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</si>
  <si>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</si>
  <si>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</si>
  <si>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</si>
  <si>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</si>
  <si>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</si>
  <si>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</si>
  <si>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</si>
  <si>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</si>
  <si>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</si>
  <si>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</si>
  <si>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</si>
  <si>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</si>
  <si>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</si>
  <si>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</si>
  <si>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</si>
  <si>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</si>
  <si>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</si>
  <si>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</si>
  <si>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</si>
  <si>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</si>
  <si>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</si>
  <si>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</si>
  <si>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</si>
  <si>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</si>
  <si>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</si>
  <si>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</si>
  <si>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</si>
  <si>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</si>
  <si>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</si>
  <si>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</si>
  <si>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</si>
  <si>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</si>
  <si>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</si>
  <si>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</si>
  <si>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</si>
  <si>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</si>
  <si>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</si>
  <si>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</si>
  <si>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</si>
  <si>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</si>
  <si>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</si>
  <si>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</si>
  <si>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</si>
  <si>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</si>
  <si>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</si>
  <si>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</si>
  <si>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</si>
  <si>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</si>
  <si>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</si>
  <si>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</si>
  <si>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</si>
  <si>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</si>
  <si>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</si>
  <si>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</si>
  <si>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</si>
  <si>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</si>
  <si>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</si>
  <si>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</si>
  <si>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</si>
  <si>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</si>
  <si>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</si>
  <si>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</si>
  <si>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</si>
  <si>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</si>
  <si>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</si>
  <si>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</si>
  <si>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</si>
  <si>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</si>
  <si>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</si>
  <si>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</si>
  <si>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</si>
  <si>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</si>
  <si>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</si>
  <si>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</si>
  <si>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</si>
  <si>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</si>
  <si>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</si>
  <si>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</si>
  <si>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</si>
  <si>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</si>
  <si>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</si>
  <si>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</si>
  <si>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</si>
  <si>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</si>
  <si>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</si>
  <si>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</si>
  <si>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</si>
  <si>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</si>
  <si>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</si>
  <si>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</si>
  <si>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</si>
  <si>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</si>
  <si>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</si>
  <si>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</si>
  <si>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</si>
  <si>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</si>
  <si>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</si>
  <si>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</si>
  <si>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</si>
  <si>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</si>
  <si>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</si>
  <si>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</si>
  <si>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</si>
  <si>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</si>
  <si>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</si>
  <si>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</si>
  <si>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</si>
  <si>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</si>
  <si>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</si>
  <si>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</si>
  <si>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</si>
  <si>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</si>
  <si>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</si>
  <si>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</si>
  <si>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</si>
  <si>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</si>
  <si>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</si>
  <si>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</si>
  <si>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</si>
  <si>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</si>
  <si>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</si>
  <si>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</si>
  <si>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</si>
  <si>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</si>
  <si>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</si>
  <si>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</si>
  <si>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</si>
  <si>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</si>
  <si>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</si>
  <si>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</si>
  <si>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</si>
  <si>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</si>
  <si>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</si>
  <si>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</si>
  <si>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</si>
  <si>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</si>
  <si>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</si>
  <si>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</si>
  <si>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</si>
  <si>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</si>
  <si>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</si>
  <si>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</si>
  <si>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</si>
  <si>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</si>
  <si>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</si>
  <si>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</si>
  <si>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</si>
  <si>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</si>
  <si>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</si>
  <si>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</si>
  <si>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</si>
  <si>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</si>
  <si>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</si>
  <si>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</si>
  <si>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</si>
  <si>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</si>
  <si>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</si>
  <si>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</si>
  <si>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</si>
  <si>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</si>
  <si>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</si>
  <si>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</si>
  <si>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</si>
  <si>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</si>
  <si>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</si>
  <si>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</si>
  <si>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</si>
  <si>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</si>
  <si>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</si>
  <si>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</si>
  <si>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</si>
  <si>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</si>
  <si>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</si>
  <si>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</si>
  <si>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</si>
  <si>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</si>
  <si>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</si>
  <si>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</si>
  <si>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</si>
  <si>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</si>
  <si>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</si>
  <si>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</si>
  <si>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</si>
  <si>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</si>
  <si>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</si>
  <si>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</si>
  <si>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</si>
  <si>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</si>
  <si>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</si>
  <si>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</si>
  <si>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</si>
  <si>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</si>
  <si>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</si>
  <si>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</si>
  <si>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</si>
  <si>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</si>
  <si>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</si>
  <si>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</si>
  <si>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</si>
  <si>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</si>
  <si>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</si>
  <si>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</si>
  <si>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</si>
  <si>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</si>
  <si>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</si>
  <si>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</si>
  <si>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</si>
  <si>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</si>
  <si>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</si>
  <si>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</si>
  <si>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</si>
  <si>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</si>
  <si>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</si>
  <si>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</si>
  <si>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</si>
  <si>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</si>
  <si>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</si>
  <si>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</si>
  <si>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</si>
  <si>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</si>
  <si>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</si>
  <si>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</si>
  <si>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</si>
  <si>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</si>
  <si>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</si>
  <si>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</si>
  <si>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</si>
  <si>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</si>
  <si>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</si>
  <si>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</si>
  <si>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</si>
  <si>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</si>
  <si>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</si>
  <si>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</si>
  <si>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</si>
  <si>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</si>
  <si>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</si>
  <si>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</si>
  <si>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</si>
  <si>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</si>
  <si>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</si>
  <si>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</si>
  <si>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</si>
  <si>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</si>
  <si>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</si>
  <si>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</si>
  <si>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</si>
  <si>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</si>
  <si>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</si>
  <si>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</si>
  <si>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</si>
  <si>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</si>
  <si>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</si>
  <si>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</si>
  <si>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</si>
  <si>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</si>
  <si>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</si>
  <si>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</si>
  <si>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</si>
  <si>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</si>
  <si>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</si>
  <si>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</si>
  <si>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</si>
  <si>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</si>
  <si>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</si>
  <si>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</si>
  <si>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</si>
  <si>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</si>
  <si>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</si>
  <si>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</si>
  <si>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</si>
  <si>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</si>
  <si>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</si>
  <si>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</si>
  <si>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</si>
  <si>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</si>
  <si>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</si>
  <si>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</si>
  <si>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</si>
  <si>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</si>
  <si>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</si>
  <si>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</si>
  <si>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</si>
  <si>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</si>
  <si>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</si>
  <si>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</si>
  <si>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</si>
  <si>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</si>
  <si>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</si>
  <si>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</si>
  <si>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</si>
  <si>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</si>
  <si>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</si>
  <si>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</si>
  <si>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</si>
  <si>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</si>
  <si>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</si>
  <si>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</si>
  <si>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</si>
  <si>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</si>
  <si>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</si>
  <si>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</si>
  <si>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</si>
  <si>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</si>
  <si>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</si>
  <si>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</si>
  <si>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</si>
  <si>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</si>
  <si>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</si>
  <si>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</si>
  <si>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</si>
  <si>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</si>
  <si>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</si>
  <si>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</si>
  <si>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</si>
  <si>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</si>
  <si>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</si>
  <si>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</si>
  <si>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</si>
  <si>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</si>
  <si>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</si>
  <si>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</si>
  <si>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</si>
  <si>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</si>
  <si>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</si>
  <si>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</si>
  <si>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</si>
  <si>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</si>
  <si>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</si>
  <si>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</si>
  <si>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</si>
  <si>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</si>
  <si>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</si>
  <si>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</si>
  <si>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</si>
  <si>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</si>
  <si>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</si>
  <si>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</si>
  <si>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</si>
  <si>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</si>
  <si>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</si>
  <si>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</si>
  <si>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</si>
  <si>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</si>
  <si>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</si>
  <si>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</si>
  <si>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</si>
  <si>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</si>
  <si>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</si>
  <si>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</si>
  <si>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</si>
  <si>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</si>
  <si>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</si>
  <si>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</si>
  <si>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</si>
  <si>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</si>
  <si>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</si>
  <si>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</si>
  <si>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</si>
  <si>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</si>
  <si>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</si>
  <si>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</si>
  <si>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</si>
  <si>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</si>
  <si>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</si>
  <si>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</si>
  <si>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</si>
  <si>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</si>
  <si>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</si>
  <si>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</si>
  <si>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</si>
  <si>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</si>
  <si>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</si>
  <si>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</si>
  <si>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</si>
  <si>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</si>
  <si>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</si>
  <si>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</si>
  <si>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</si>
  <si>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</si>
  <si>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</si>
  <si>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</si>
  <si>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</si>
  <si>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</si>
  <si>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</si>
  <si>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</si>
  <si>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</si>
  <si>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</si>
  <si>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</si>
  <si>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</si>
  <si>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</si>
  <si>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</si>
  <si>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</si>
  <si>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</si>
  <si>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</si>
  <si>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</si>
  <si>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</si>
  <si>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</si>
  <si>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</si>
  <si>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</si>
  <si>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</si>
  <si>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</si>
  <si>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</si>
  <si>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</si>
  <si>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</si>
  <si>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</si>
  <si>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</si>
  <si>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</si>
  <si>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</si>
  <si>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</si>
  <si>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</si>
  <si>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</si>
  <si>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</si>
  <si>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</si>
  <si>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</si>
  <si>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</si>
  <si>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</si>
  <si>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</si>
  <si>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</si>
  <si>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</si>
  <si>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</si>
  <si>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</si>
  <si>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</si>
  <si>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</si>
  <si>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</si>
  <si>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</si>
  <si>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</si>
  <si>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</si>
  <si>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</si>
  <si>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</si>
  <si>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</si>
  <si>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</si>
  <si>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</si>
  <si>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</si>
  <si>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</si>
  <si>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</si>
  <si>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</si>
  <si>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</si>
  <si>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</si>
  <si>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</si>
  <si>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</si>
  <si>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</si>
  <si>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</si>
  <si>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</si>
  <si>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</si>
  <si>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</si>
  <si>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</si>
  <si>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</si>
  <si>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</si>
  <si>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</si>
  <si>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</si>
  <si>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</si>
  <si>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</si>
  <si>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</si>
  <si>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</si>
  <si>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</si>
  <si>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</si>
  <si>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</si>
  <si>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</si>
  <si>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</si>
  <si>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</si>
  <si>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</si>
  <si>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</si>
  <si>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</si>
  <si>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</si>
  <si>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</si>
  <si>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</si>
  <si>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</si>
  <si>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</si>
  <si>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</si>
  <si>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</si>
  <si>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</si>
  <si>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</si>
  <si>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</si>
  <si>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</si>
  <si>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</si>
  <si>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</si>
  <si>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</si>
  <si>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</si>
  <si>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</si>
  <si>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</si>
  <si>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</si>
  <si>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</si>
  <si>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</si>
  <si>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</si>
  <si>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</si>
  <si>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</si>
  <si>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</si>
  <si>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</si>
  <si>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</si>
  <si>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</si>
  <si>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</si>
  <si>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</si>
  <si>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</si>
  <si>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</si>
  <si>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</si>
  <si>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</si>
  <si>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</si>
  <si>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</si>
  <si>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</si>
  <si>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</si>
  <si>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</si>
  <si>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</si>
  <si>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</si>
  <si>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</si>
  <si>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</si>
  <si>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</si>
  <si>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</si>
  <si>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</si>
  <si>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</si>
  <si>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</si>
  <si>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</si>
  <si>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</si>
  <si>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</si>
  <si>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</si>
  <si>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</si>
  <si>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</si>
  <si>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</si>
  <si>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</si>
  <si>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</si>
  <si>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</si>
  <si>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</si>
  <si>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</si>
  <si>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</si>
  <si>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</si>
  <si>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</si>
  <si>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</si>
  <si>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</si>
  <si>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</si>
  <si>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</si>
  <si>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</si>
  <si>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</si>
  <si>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</si>
  <si>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</si>
  <si>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</si>
  <si>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</si>
  <si>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</si>
  <si>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</si>
  <si>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</si>
  <si>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</si>
  <si>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</si>
  <si>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</si>
  <si>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</si>
  <si>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</si>
  <si>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</si>
  <si>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</si>
  <si>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</si>
  <si>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</si>
  <si>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</si>
  <si>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</si>
  <si>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</si>
  <si>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</si>
  <si>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</si>
  <si>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</si>
  <si>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</si>
  <si>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</si>
  <si>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</si>
  <si>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</si>
  <si>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</si>
  <si>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</si>
  <si>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</si>
  <si>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</si>
  <si>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</si>
  <si>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</si>
  <si>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</si>
  <si>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</si>
  <si>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</si>
  <si>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</si>
  <si>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</si>
  <si>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</si>
  <si>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</si>
  <si>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</si>
  <si>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</si>
  <si>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</si>
  <si>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</si>
  <si>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</si>
  <si>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</si>
  <si>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</si>
  <si>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</si>
  <si>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</si>
  <si>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</si>
  <si>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</si>
  <si>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</si>
  <si>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</si>
  <si>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</si>
  <si>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</si>
  <si>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</si>
  <si>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</si>
  <si>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</si>
  <si>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</si>
  <si>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</si>
  <si>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</si>
  <si>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</si>
  <si>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</si>
  <si>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</si>
  <si>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</si>
  <si>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</si>
  <si>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</si>
  <si>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</si>
  <si>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</si>
  <si>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</si>
  <si>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</si>
  <si>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</si>
  <si>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</si>
  <si>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</si>
  <si>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</si>
  <si>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</si>
  <si>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</si>
  <si>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</si>
  <si>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</si>
  <si>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</si>
  <si>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</si>
  <si>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</si>
  <si>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</si>
  <si>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</si>
  <si>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</si>
  <si>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</si>
  <si>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</si>
  <si>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</si>
  <si>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</si>
  <si>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</si>
  <si>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</si>
  <si>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</si>
  <si>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</si>
  <si>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</si>
  <si>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</si>
  <si>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</si>
  <si>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</si>
  <si>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</si>
  <si>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</si>
  <si>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</si>
  <si>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</si>
  <si>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</si>
  <si>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</si>
  <si>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</si>
  <si>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</si>
  <si>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</si>
  <si>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</si>
  <si>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</si>
  <si>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</si>
  <si>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</si>
  <si>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</si>
  <si>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</si>
  <si>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</si>
  <si>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</si>
  <si>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</si>
  <si>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</si>
  <si>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</si>
  <si>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</si>
  <si>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</si>
  <si>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</si>
  <si>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</si>
  <si>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</si>
  <si>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</si>
  <si>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</si>
  <si>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</si>
  <si>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</si>
  <si>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</si>
  <si>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</si>
  <si>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</si>
  <si>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</si>
  <si>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</si>
  <si>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</si>
  <si>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</si>
  <si>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</si>
  <si>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</si>
  <si>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</si>
  <si>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</si>
  <si>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</si>
  <si>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</si>
  <si>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</si>
  <si>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</si>
  <si>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</si>
  <si>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</si>
  <si>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</si>
  <si>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</si>
  <si>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</si>
  <si>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</si>
  <si>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</si>
  <si>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</si>
  <si>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</si>
  <si>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</si>
  <si>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</si>
  <si>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</si>
  <si>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</si>
  <si>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</si>
  <si>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</si>
  <si>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</si>
  <si>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</si>
  <si>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</si>
  <si>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</si>
  <si>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</si>
  <si>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</si>
  <si>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</si>
  <si>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</si>
  <si>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</si>
  <si>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</si>
  <si>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</si>
  <si>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</si>
  <si>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</si>
  <si>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</si>
  <si>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</si>
  <si>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</si>
  <si>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</si>
  <si>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</si>
  <si>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</si>
  <si>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</si>
  <si>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</si>
  <si>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</si>
  <si>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</si>
  <si>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</si>
  <si>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</si>
  <si>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</si>
  <si>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</si>
  <si>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</si>
  <si>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</si>
  <si>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</si>
  <si>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</si>
  <si>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</si>
  <si>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</si>
  <si>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</si>
  <si>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</si>
  <si>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</si>
  <si>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</si>
  <si>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</si>
  <si>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</si>
  <si>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</si>
  <si>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</si>
  <si>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</si>
  <si>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</si>
  <si>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</si>
  <si>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</si>
  <si>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</si>
  <si>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</si>
  <si>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</si>
  <si>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</si>
  <si>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</si>
  <si>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</si>
  <si>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</si>
  <si>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</si>
  <si>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</si>
  <si>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</si>
  <si>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</si>
  <si>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</si>
  <si>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</si>
  <si>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</si>
  <si>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</si>
  <si>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</si>
  <si>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</si>
  <si>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</si>
  <si>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</si>
  <si>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</si>
  <si>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</si>
  <si>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</si>
  <si>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</si>
  <si>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</si>
  <si>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</si>
  <si>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</si>
  <si>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</si>
  <si>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</si>
  <si>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</si>
  <si>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</si>
  <si>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</si>
  <si>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</si>
  <si>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</si>
  <si>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</si>
  <si>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</si>
  <si>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</si>
  <si>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</si>
  <si>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</si>
  <si>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</si>
  <si>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</si>
  <si>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</si>
  <si>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</si>
  <si>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</si>
  <si>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</si>
  <si>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</si>
  <si>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</si>
  <si>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</si>
  <si>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</si>
  <si>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</si>
  <si>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</si>
  <si>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</si>
  <si>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</si>
  <si>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</si>
  <si>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</si>
  <si>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</si>
  <si>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</si>
  <si>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</si>
  <si>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</si>
  <si>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</si>
  <si>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</si>
  <si>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</si>
  <si>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</si>
  <si>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</si>
  <si>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</si>
  <si>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</si>
  <si>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</si>
  <si>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</si>
  <si>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</si>
  <si>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</si>
  <si>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</si>
  <si>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</si>
  <si>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</si>
  <si>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</si>
  <si>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</si>
  <si>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</si>
  <si>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</si>
  <si>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</si>
  <si>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</si>
  <si>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</si>
  <si>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</si>
  <si>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</si>
  <si>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</si>
  <si>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</si>
  <si>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</si>
  <si>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</si>
  <si>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</si>
  <si>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</si>
  <si>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</si>
  <si>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</si>
  <si>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</si>
  <si>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</si>
  <si>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</si>
  <si>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</si>
  <si>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</si>
  <si>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</si>
  <si>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</si>
  <si>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</si>
  <si>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</si>
  <si>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</si>
  <si>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</si>
  <si>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</si>
  <si>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</si>
  <si>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</si>
  <si>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</si>
  <si>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</si>
  <si>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</si>
  <si>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</si>
  <si>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</si>
  <si>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</si>
  <si>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</si>
  <si>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</si>
  <si>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</si>
  <si>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</si>
  <si>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</si>
  <si>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</si>
  <si>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</si>
  <si>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</si>
  <si>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</si>
  <si>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</si>
  <si>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</si>
  <si>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</si>
  <si>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</si>
  <si>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</si>
  <si>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</si>
  <si>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</si>
  <si>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</si>
  <si>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</si>
  <si>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</si>
  <si>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</si>
  <si>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</si>
  <si>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</si>
  <si>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</si>
  <si>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</si>
  <si>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</si>
  <si>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</si>
  <si>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</si>
  <si>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</si>
  <si>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</si>
  <si>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</si>
  <si>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</si>
  <si>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</si>
  <si>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</si>
  <si>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</si>
  <si>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</si>
  <si>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</si>
  <si>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</si>
  <si>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</si>
  <si>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</si>
  <si>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</si>
  <si>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</si>
  <si>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</si>
  <si>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</si>
  <si>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</si>
  <si>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</si>
  <si>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</si>
  <si>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</si>
  <si>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</si>
  <si>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</si>
  <si>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</si>
  <si>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</si>
  <si>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</si>
  <si>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</si>
  <si>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</si>
  <si>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</si>
  <si>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</si>
  <si>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</si>
  <si>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</si>
  <si>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</si>
  <si>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</si>
  <si>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</si>
  <si>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Conc. 67V (Lot 13)</t>
  </si>
  <si>
    <t>Axtra# PRIME 501 T (Singapore)</t>
  </si>
  <si>
    <t xml:space="preserve">Total  Axtra# PRIME 501 T </t>
  </si>
  <si>
    <t>A22.2</t>
  </si>
  <si>
    <t>FM 73, 50,58,54</t>
  </si>
  <si>
    <t>Feather Meal (84.2%)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</si>
  <si>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</si>
  <si>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</si>
  <si>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</si>
  <si>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</si>
  <si>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</si>
  <si>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</si>
  <si>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</si>
  <si>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</si>
  <si>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</si>
  <si>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</si>
  <si>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</si>
  <si>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</si>
  <si>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</si>
  <si>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</si>
  <si>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V1.2</t>
  </si>
  <si>
    <t>511B</t>
  </si>
  <si>
    <t>FM70,71</t>
  </si>
  <si>
    <t>Feedmill, 151</t>
  </si>
  <si>
    <t>Conc. 572S (Lot 17)</t>
  </si>
  <si>
    <t>Conc. MC-0697 (Lot 30)</t>
  </si>
  <si>
    <t>Conc. 51V (Lot 18)</t>
  </si>
  <si>
    <t>Conc. 67SV (Lot 17)</t>
  </si>
  <si>
    <t>D-Biotin 2%  (China)</t>
  </si>
  <si>
    <t>A7</t>
  </si>
  <si>
    <t>Rhodimet AT88</t>
  </si>
  <si>
    <t>RHODIMET 88%</t>
  </si>
  <si>
    <t>Conc. 572G (Lot 16)</t>
  </si>
  <si>
    <t>Conc.48V (Lot 19)</t>
  </si>
  <si>
    <t>Anti-Fly (Viet Nam)</t>
  </si>
  <si>
    <t xml:space="preserve">Total Anti-Fly </t>
  </si>
  <si>
    <t>Anti-Fly (Viet Nam) (10kg)</t>
  </si>
  <si>
    <t>Larvadex/ Anti-Fly</t>
  </si>
  <si>
    <t>X6.1</t>
  </si>
  <si>
    <t>V9.2</t>
  </si>
  <si>
    <t>MEAT BONE MEAL (53.3%)</t>
  </si>
  <si>
    <t>X8.2</t>
  </si>
  <si>
    <t>V9.3</t>
  </si>
  <si>
    <t>Conc. MC-0697B (Lot 22)</t>
  </si>
  <si>
    <t>Conc. 21V (Lot 23)</t>
  </si>
  <si>
    <t>Z4.2</t>
  </si>
  <si>
    <t>Z3.1</t>
  </si>
  <si>
    <t>Conc.EP2 (Lot 23)</t>
  </si>
  <si>
    <t>FM 58,72</t>
  </si>
  <si>
    <t>FM62</t>
  </si>
  <si>
    <t>FM 75, 54</t>
  </si>
  <si>
    <t>Y5.2</t>
  </si>
  <si>
    <t>X7.3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</si>
  <si>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</si>
  <si>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</si>
  <si>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</si>
  <si>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</si>
  <si>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</si>
  <si>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</si>
  <si>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</si>
  <si>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</si>
  <si>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</si>
  <si>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</si>
  <si>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A13.1</t>
  </si>
  <si>
    <t>A3</t>
  </si>
  <si>
    <t>Conc. Red  2% (Lot 42)</t>
  </si>
  <si>
    <t>Conc. MC-0697G (Lot 24)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</si>
  <si>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</si>
  <si>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</si>
  <si>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</si>
  <si>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</si>
  <si>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</si>
  <si>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</si>
  <si>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</si>
  <si>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V4.3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</si>
  <si>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</si>
  <si>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</si>
  <si>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</si>
  <si>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</si>
  <si>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</si>
  <si>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</si>
  <si>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</si>
  <si>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</si>
  <si>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</si>
  <si>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</si>
  <si>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</si>
  <si>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</si>
  <si>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</si>
  <si>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</si>
  <si>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</si>
  <si>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</si>
  <si>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13400000009301</t>
  </si>
  <si>
    <t>13400000009601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</si>
  <si>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</si>
  <si>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</si>
  <si>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</si>
  <si>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</si>
  <si>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</si>
  <si>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</si>
  <si>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</si>
  <si>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</si>
  <si>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</si>
  <si>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</si>
  <si>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</si>
  <si>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</si>
  <si>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</si>
  <si>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</si>
  <si>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</si>
  <si>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</si>
  <si>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</si>
  <si>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</si>
  <si>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</si>
  <si>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</si>
  <si>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</si>
  <si>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</si>
  <si>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</si>
  <si>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</si>
  <si>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</si>
  <si>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</si>
  <si>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</si>
  <si>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</si>
  <si>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</si>
  <si>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</si>
  <si>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</si>
  <si>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</si>
  <si>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</si>
  <si>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</si>
  <si>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</si>
  <si>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</si>
  <si>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</si>
  <si>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</si>
  <si>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</si>
  <si>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</si>
  <si>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</si>
  <si>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</si>
  <si>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</si>
  <si>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</si>
  <si>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</si>
  <si>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</si>
  <si>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</si>
  <si>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</si>
  <si>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</si>
  <si>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</si>
  <si>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</si>
  <si>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</si>
  <si>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</si>
  <si>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</si>
  <si>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</si>
  <si>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</si>
  <si>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</si>
  <si>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</si>
  <si>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</si>
  <si>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</si>
  <si>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13512420000001</t>
  </si>
  <si>
    <t>Wheat Bran Coarse</t>
  </si>
  <si>
    <t>Total Group - ** 5124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</si>
  <si>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</si>
  <si>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</si>
  <si>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</si>
  <si>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</si>
  <si>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</si>
  <si>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</si>
  <si>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</si>
  <si>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</si>
  <si>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</si>
  <si>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</si>
  <si>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</si>
  <si>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</si>
  <si>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</si>
  <si>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</si>
  <si>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</si>
  <si>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</si>
  <si>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</si>
  <si>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</si>
  <si>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</si>
  <si>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</si>
  <si>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</si>
  <si>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</si>
  <si>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</si>
  <si>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</si>
  <si>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</si>
  <si>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</si>
  <si>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</si>
  <si>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</si>
  <si>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</si>
  <si>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</si>
  <si>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</si>
  <si>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</si>
  <si>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</si>
  <si>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</si>
  <si>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</si>
  <si>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</si>
  <si>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</si>
  <si>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</si>
  <si>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Total Group - ** 5339 **</t>
  </si>
  <si>
    <t>13540300000030</t>
  </si>
  <si>
    <t>Total Group - ** 5403 **</t>
  </si>
  <si>
    <t>13540700000044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</si>
  <si>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</si>
  <si>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</si>
  <si>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</si>
  <si>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</si>
  <si>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</si>
  <si>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</si>
  <si>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</si>
  <si>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</si>
  <si>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13600001140101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</si>
  <si>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</si>
  <si>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</si>
  <si>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</si>
  <si>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</si>
  <si>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</si>
  <si>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</si>
  <si>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</si>
  <si>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</si>
  <si>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</si>
  <si>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</si>
  <si>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</si>
  <si>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</si>
  <si>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</si>
  <si>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</si>
  <si>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</si>
  <si>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</si>
  <si>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</si>
  <si>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</si>
  <si>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</si>
  <si>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</si>
  <si>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</si>
  <si>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</si>
  <si>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</si>
  <si>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</si>
  <si>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</si>
  <si>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</si>
  <si>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</si>
  <si>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</si>
  <si>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</si>
  <si>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</si>
  <si>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</si>
  <si>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</si>
  <si>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</si>
  <si>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</si>
  <si>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</si>
  <si>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</si>
  <si>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</si>
  <si>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</si>
  <si>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</si>
  <si>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</si>
  <si>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</si>
  <si>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</si>
  <si>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</si>
  <si>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</si>
  <si>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</si>
  <si>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</si>
  <si>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</si>
  <si>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</si>
  <si>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</si>
  <si>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</si>
  <si>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</si>
  <si>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</si>
  <si>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</si>
  <si>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</si>
  <si>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</si>
  <si>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</si>
  <si>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</si>
  <si>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</si>
  <si>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</si>
  <si>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</si>
  <si>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</si>
  <si>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</si>
  <si>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</si>
  <si>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</si>
  <si>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</si>
  <si>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</si>
  <si>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</si>
  <si>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</si>
  <si>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</si>
  <si>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</si>
  <si>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</si>
  <si>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</si>
  <si>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</si>
  <si>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</si>
  <si>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</si>
  <si>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</si>
  <si>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</si>
  <si>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</si>
  <si>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</si>
  <si>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</si>
  <si>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</si>
  <si>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</si>
  <si>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</si>
  <si>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 xml:space="preserve">Ingredient Name                     </t>
  </si>
  <si>
    <t>Amount</t>
  </si>
  <si>
    <t>MCP14/22.7,CHN</t>
  </si>
  <si>
    <t>TILMOVET 20%</t>
  </si>
  <si>
    <t>Stearolac 90</t>
  </si>
  <si>
    <t>LYSOFORTE Dry</t>
  </si>
  <si>
    <t>TOXFIN DRY</t>
  </si>
  <si>
    <t>X8.1</t>
  </si>
  <si>
    <t>TRADI-Impact LD - France</t>
  </si>
  <si>
    <t>Total: TRADI-Impact LD</t>
  </si>
  <si>
    <t>A2</t>
  </si>
  <si>
    <t>13400000008937</t>
  </si>
  <si>
    <t>MUNG17/16</t>
  </si>
  <si>
    <t>A18.3</t>
  </si>
  <si>
    <t>D2</t>
  </si>
  <si>
    <t>C9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</si>
  <si>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</si>
  <si>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</si>
  <si>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</si>
  <si>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</si>
  <si>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</si>
  <si>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</si>
  <si>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</si>
  <si>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572G (Lot 25)</t>
  </si>
  <si>
    <t>Conc. Amnil (Lot 28)</t>
  </si>
  <si>
    <t>B8</t>
  </si>
  <si>
    <t>B12.2</t>
  </si>
  <si>
    <t>RCE,BR 6.6%</t>
  </si>
  <si>
    <t>TRIAMULOX80% (TIAMULIN)/TIOTILIN 80%</t>
  </si>
  <si>
    <t>13540700000030</t>
  </si>
  <si>
    <t>Sweet Whey Powder (USA)</t>
  </si>
  <si>
    <t>13600019210200</t>
  </si>
  <si>
    <t>A4</t>
  </si>
  <si>
    <t>BS05LD</t>
  </si>
  <si>
    <t>550SFS</t>
  </si>
  <si>
    <t>A16.1B</t>
  </si>
  <si>
    <t>Conc. 572G (Lot 26)</t>
  </si>
  <si>
    <t>Conc. MC-0697G (Lot 28)</t>
  </si>
  <si>
    <t>Conc. 25V (Lot 29)</t>
  </si>
  <si>
    <t>Conc. 67V (Lot 29)</t>
  </si>
  <si>
    <t>V6.3</t>
  </si>
  <si>
    <t>Z6.3</t>
  </si>
  <si>
    <t>B13.1</t>
  </si>
  <si>
    <t>Corn (RUSSIA,ROMA, BRA, ARG #A,#B)</t>
  </si>
  <si>
    <t>Corn (USA)</t>
  </si>
  <si>
    <t>FLAXSeed22/39/7Can</t>
  </si>
  <si>
    <t>13600112000113</t>
  </si>
  <si>
    <t>HB01LD</t>
  </si>
  <si>
    <t>MEAT BONE MEAL (49.65%)</t>
  </si>
  <si>
    <t>B4</t>
  </si>
  <si>
    <t>B17.2</t>
  </si>
  <si>
    <t>B7</t>
  </si>
  <si>
    <t>B16.1</t>
  </si>
  <si>
    <t>V4.2</t>
  </si>
  <si>
    <t>Z7.2</t>
  </si>
  <si>
    <t>X2.3</t>
  </si>
  <si>
    <t>Conc. Amnil (Lot 29)</t>
  </si>
  <si>
    <t>Conc. 582 (Lot 32)</t>
  </si>
  <si>
    <t>Conc. MC-0697B (Lot 30)</t>
  </si>
  <si>
    <t>Conc.48V (Lot 30)</t>
  </si>
  <si>
    <t>Y1.2</t>
  </si>
  <si>
    <t>Conc. 51V (Lot 31)</t>
  </si>
  <si>
    <t>X4.2</t>
  </si>
  <si>
    <t>X7.2</t>
  </si>
  <si>
    <t>Conc. 52M (Lot 52)</t>
  </si>
  <si>
    <t>Conc. 52SV (Lot 30)</t>
  </si>
  <si>
    <t>Y2.2</t>
  </si>
  <si>
    <t>Conc. 52V (Lot 32)</t>
  </si>
  <si>
    <t>Conc. 66V (Lot 30)</t>
  </si>
  <si>
    <t>Conc. 67V (Lot 30)</t>
  </si>
  <si>
    <t xml:space="preserve"> Dengard 80% Coated,  TIAMULIN FUMARATE PREMIX 80% (China)</t>
  </si>
  <si>
    <t>Sacox (Salinomycine premix 12%)</t>
  </si>
  <si>
    <t>Feather Meal (82.66%)</t>
  </si>
  <si>
    <t>13540300000019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</si>
  <si>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</si>
  <si>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</si>
  <si>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</si>
  <si>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</si>
  <si>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</si>
  <si>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</si>
  <si>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</si>
  <si>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</si>
  <si>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</si>
  <si>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</si>
  <si>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</si>
  <si>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</si>
  <si>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</si>
  <si>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C3</t>
  </si>
  <si>
    <t>551x</t>
  </si>
  <si>
    <t>Z3.3</t>
  </si>
  <si>
    <t>X5.2</t>
  </si>
  <si>
    <t>Conc. Amnil (Lot 30)</t>
  </si>
  <si>
    <t>Conc. Red  2% (Lot 52)</t>
  </si>
  <si>
    <t>Conc. 571 (Lot 31)</t>
  </si>
  <si>
    <t>Conc. 572S (Lot 32)</t>
  </si>
  <si>
    <t>Conc. 582 (Lot 33)</t>
  </si>
  <si>
    <t>Conc. MC-0697 (Lot 31)</t>
  </si>
  <si>
    <t>Conc. MC-0697B (Lot 31)</t>
  </si>
  <si>
    <t>Conc. 10M (Lot 42)</t>
  </si>
  <si>
    <t>Conc.10V (Lot 31)</t>
  </si>
  <si>
    <t>Conc. 21V (Lot 32)</t>
  </si>
  <si>
    <t>Conc. 25V (Lot 31)</t>
  </si>
  <si>
    <t>Conc.48V (Lot 31)</t>
  </si>
  <si>
    <t>Conc. 51V (Lot 32)</t>
  </si>
  <si>
    <t>X8.3</t>
  </si>
  <si>
    <t>X6.3</t>
  </si>
  <si>
    <t>Conc. 52M (Lot 54)</t>
  </si>
  <si>
    <t>Conc. 52SV (Lot 31)</t>
  </si>
  <si>
    <t>Conc. 52V (Lot 33)</t>
  </si>
  <si>
    <t>Conc. 66V (Lot 31)</t>
  </si>
  <si>
    <t>Conc. 67SV (Lot 31)</t>
  </si>
  <si>
    <t>FM 50,51</t>
  </si>
  <si>
    <t>FM 54</t>
  </si>
  <si>
    <t>C12</t>
  </si>
  <si>
    <t>NEXTIDE</t>
  </si>
  <si>
    <t>DDGS28/6/8Usa</t>
  </si>
  <si>
    <t>13521200000000</t>
  </si>
  <si>
    <t>Pangasius Fish Oil (Wait Analysis)</t>
  </si>
  <si>
    <t>13540700000035</t>
  </si>
  <si>
    <t>V4.1</t>
  </si>
  <si>
    <t>B18.2</t>
  </si>
  <si>
    <t>B23.1</t>
  </si>
  <si>
    <t>V1.3</t>
  </si>
  <si>
    <t xml:space="preserve">Levucell sb 10 </t>
  </si>
  <si>
    <t>V5.3</t>
  </si>
  <si>
    <t>Conc. Amnil (Lot 31)</t>
  </si>
  <si>
    <t>Conc. Red  2% (Lot 54)</t>
  </si>
  <si>
    <t>Conc. 572S (Lot 33)</t>
  </si>
  <si>
    <t>Conc. 582 (Lot 35)</t>
  </si>
  <si>
    <t>Conc. MC-0697B (Lot 32)</t>
  </si>
  <si>
    <t>Conc. 10M (Lot 43)</t>
  </si>
  <si>
    <t>Conc.10V (Lot 32)</t>
  </si>
  <si>
    <t>Conc. 21V (Lot 33)</t>
  </si>
  <si>
    <t>Conc. 25V (Lot 32)</t>
  </si>
  <si>
    <t>Conc. 52M (Lot 56)</t>
  </si>
  <si>
    <t>Conc. 52SV (Lot 32)</t>
  </si>
  <si>
    <t>Conc. 52V (Lot 34)</t>
  </si>
  <si>
    <t>Conc. 62PV (Lot 32)</t>
  </si>
  <si>
    <t>Conc. 66V (Lot 32)</t>
  </si>
  <si>
    <t>C0</t>
  </si>
  <si>
    <t>B6</t>
  </si>
  <si>
    <t>13533901000001</t>
  </si>
  <si>
    <t>Nextide (ViÖt Nam)</t>
  </si>
  <si>
    <t>13540300000000</t>
  </si>
  <si>
    <t>Feather Meal (Wait analysis)</t>
  </si>
  <si>
    <t>13540700000047</t>
  </si>
  <si>
    <t>13600112050134</t>
  </si>
  <si>
    <t>A5</t>
  </si>
  <si>
    <t>MEAT BONE MEAL (49.84%)</t>
  </si>
  <si>
    <t xml:space="preserve">C10 </t>
  </si>
  <si>
    <t>NEXTIDE (58.8%)</t>
  </si>
  <si>
    <t>Feather Meal (85.99%)</t>
  </si>
  <si>
    <t>Z2.3</t>
  </si>
  <si>
    <t>ID Code</t>
  </si>
  <si>
    <t>840011.HA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</si>
  <si>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</si>
  <si>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</si>
  <si>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</si>
  <si>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</si>
  <si>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</si>
  <si>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</si>
  <si>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</si>
  <si>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</si>
  <si>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</si>
  <si>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</si>
  <si>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</si>
  <si>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</si>
  <si>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</si>
  <si>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</si>
  <si>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</si>
  <si>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DOXAN 50</t>
  </si>
  <si>
    <t>Kessent Mf Dry</t>
  </si>
  <si>
    <t>Rumifatplus</t>
  </si>
  <si>
    <t>VNM Premix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</si>
  <si>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</si>
  <si>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</si>
  <si>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</si>
  <si>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</si>
  <si>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</si>
  <si>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</si>
  <si>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</si>
  <si>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</si>
  <si>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</si>
  <si>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</si>
  <si>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</si>
  <si>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</si>
  <si>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</si>
  <si>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</si>
  <si>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</si>
  <si>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</si>
  <si>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28%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</si>
  <si>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</si>
  <si>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</si>
  <si>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</si>
  <si>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</si>
  <si>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</si>
  <si>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</si>
  <si>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</si>
  <si>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</si>
  <si>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</si>
  <si>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</si>
  <si>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LS_C 38%</t>
  </si>
  <si>
    <t>SALT F98%</t>
  </si>
  <si>
    <t>WY SWEET 11.5%</t>
  </si>
  <si>
    <t>WY DEPRO 3.6%</t>
  </si>
  <si>
    <t>DPS50</t>
  </si>
  <si>
    <t>PROVISOY</t>
  </si>
  <si>
    <t>PROVISOY.</t>
  </si>
  <si>
    <t>CAROMIC/TRIGARROFA/ EURO BIOSWEET/CARANI</t>
  </si>
  <si>
    <t>D-L 99%</t>
  </si>
  <si>
    <t>L-LYSINE 78%.HA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</si>
  <si>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</si>
  <si>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</si>
  <si>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</si>
  <si>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</si>
  <si>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</si>
  <si>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</si>
  <si>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</si>
  <si>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</si>
  <si>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</si>
  <si>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</si>
  <si>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</si>
  <si>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</si>
  <si>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</si>
  <si>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</si>
  <si>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</si>
  <si>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</si>
  <si>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</si>
  <si>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Rovabio PHY</t>
  </si>
  <si>
    <t>Lysofrte Dry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</si>
  <si>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</si>
  <si>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</si>
  <si>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</si>
  <si>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</si>
  <si>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</si>
  <si>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</si>
  <si>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</si>
  <si>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SALCURB</t>
  </si>
  <si>
    <t>ENRADIN 8%</t>
  </si>
  <si>
    <t>Acid Buf 10</t>
  </si>
  <si>
    <t>COPPER CHLORIDE 58%Caliton</t>
  </si>
  <si>
    <t>AVAILA Zn</t>
  </si>
  <si>
    <t>ALLPLEX -B</t>
  </si>
  <si>
    <t>ALLPLEX -S</t>
  </si>
  <si>
    <t>ALLPLEX -GF</t>
  </si>
  <si>
    <t>ZN OXIDE 75%</t>
  </si>
  <si>
    <t>HIZOX</t>
  </si>
  <si>
    <t>Salinomycin</t>
  </si>
  <si>
    <t>TIOTILIN 80%</t>
  </si>
  <si>
    <t>Amoxycillin 80%</t>
  </si>
  <si>
    <t>Denagard 80%</t>
  </si>
  <si>
    <t>Tilmovet/Pulmotil/Timicox/Miclozan 200</t>
  </si>
  <si>
    <t>IR/FR (SWINE)</t>
  </si>
  <si>
    <t>PX 10V</t>
  </si>
  <si>
    <t>PX_21V</t>
  </si>
  <si>
    <t>px 25v</t>
  </si>
  <si>
    <t>PX_48V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</si>
  <si>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</si>
  <si>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</si>
  <si>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</si>
  <si>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</si>
  <si>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</si>
  <si>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</si>
  <si>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</si>
  <si>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</si>
  <si>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</si>
  <si>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</si>
  <si>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</si>
  <si>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</si>
  <si>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</si>
  <si>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</si>
  <si>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</si>
  <si>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510 10/8 BR PRESTR</t>
  </si>
  <si>
    <t>MS10 6/7 BR PRESTR</t>
  </si>
  <si>
    <t>511AS 17/07  BR PRESTR</t>
  </si>
  <si>
    <t>511B 5/8  BR STR</t>
  </si>
  <si>
    <t>MS11 7/8  BR STR</t>
  </si>
  <si>
    <t>522PRO 4/8  CHICK GROW</t>
  </si>
  <si>
    <t>524P32 4/8 CHICK LAY</t>
  </si>
  <si>
    <t>548F 13/05  MEAT DUCK</t>
  </si>
  <si>
    <t>549 10/8  MEAT DUCK</t>
  </si>
  <si>
    <t>549F 10/8  MEAT DUCK</t>
  </si>
  <si>
    <t>540F 4/8  MEAT DUCK</t>
  </si>
  <si>
    <t>544 16/6 DUCK LAYER</t>
  </si>
  <si>
    <t>550S 17/07  CREEP FEED</t>
  </si>
  <si>
    <t>551 17/07  PIG PRESTR</t>
  </si>
  <si>
    <t>551X 17/7 PIG PRESTR</t>
  </si>
  <si>
    <t>551GPFS31 4/8  PIG PRESTR</t>
  </si>
  <si>
    <t>552S 4/8  PIG STR</t>
  </si>
  <si>
    <t>552SX 4/8  PIG STR</t>
  </si>
  <si>
    <t>552SF 14/08  PIG STR</t>
  </si>
  <si>
    <t>552F 6/8  PIG STR</t>
  </si>
  <si>
    <t>552WDF 31/7 PIG STR</t>
  </si>
  <si>
    <t>553MF 14/8 PIG GROWER( MALE)</t>
  </si>
  <si>
    <t>553 8/6  PIG GROWER</t>
  </si>
  <si>
    <t>566 4/8  PIG GEST</t>
  </si>
  <si>
    <t>566F 6/8  PIG GEST</t>
  </si>
  <si>
    <t>567SFS25 31/7 PIG LACT</t>
  </si>
  <si>
    <t>567SFS31 31/7 PIG LACT</t>
  </si>
  <si>
    <t>HB08TA-0808 4/7-(8T) CÃ¡m bÃ² &gt;= 14T</t>
  </si>
  <si>
    <t>BS09TA -0809 04/7 5T CÃ¡m c?n s?a</t>
  </si>
  <si>
    <t>BS05LD-0505 17/07 CÃ¡m s?n lu?ng cao</t>
  </si>
  <si>
    <t xml:space="preserve">BS09LD-0509 17/07 4.6T CÃ¡m c?n s?a </t>
  </si>
  <si>
    <t>BS05TA-0805 4/7 CÃ¡m s?n lu?ng cao</t>
  </si>
  <si>
    <t>BS22TA-0822 17/7 8T s?n xu?t s?a bÃ©o cao</t>
  </si>
  <si>
    <t>301 8/7 QL-STARTER</t>
  </si>
  <si>
    <t>502 21/7  QL-LAYER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</si>
  <si>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</si>
  <si>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</si>
  <si>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</si>
  <si>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</si>
  <si>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</si>
  <si>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</si>
  <si>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</si>
  <si>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</si>
  <si>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</si>
  <si>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</si>
  <si>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</si>
  <si>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</si>
  <si>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</si>
  <si>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</si>
  <si>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</si>
  <si>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Vinh Hoa</t>
  </si>
  <si>
    <t>50E32110</t>
  </si>
  <si>
    <t>CTY TNHH SX Vµ TM MINH T¢N</t>
  </si>
  <si>
    <t>15C29041</t>
  </si>
  <si>
    <t>DNTN SX Vµ TM Kh­¬ng Duy</t>
  </si>
  <si>
    <t>60H10973</t>
  </si>
  <si>
    <t>C«ng Ty TNHH Nguyªn LiÖu Thñy S¶n</t>
  </si>
  <si>
    <t>51L93087</t>
  </si>
  <si>
    <t>Total By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</si>
</sst>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4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177" fontId="139" fillId="0" borderId="0" xfId="27" applyNumberFormat="1" applyFont="1"/>
    <xf numFmtId="179" fontId="149" fillId="0" borderId="0" xfId="0" applyNumberFormat="1" applyFont="1" applyAlignment="1">
      <alignment vertical="top"/>
    </xf>
    <xf numFmtId="0" fontId="59" fillId="24" borderId="29" xfId="0" applyFont="1" applyFill="1" applyBorder="1" applyAlignment="1">
      <alignment vertical="center" wrapText="1"/>
    </xf>
    <xf numFmtId="0" fontId="55" fillId="24" borderId="25" xfId="0" applyFont="1" applyFill="1" applyBorder="1" applyAlignment="1">
      <alignment horizontal="left" vertic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2"/>
  <sheetViews>
    <sheetView showGridLines="0" showZeros="0" tabSelected="1" zoomScale="59" zoomScaleNormal="59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34" sqref="I34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1" t="s">
        <v>445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U1" s="787"/>
      <c r="V1" s="787">
        <v>4</v>
      </c>
      <c r="W1" s="788">
        <f>+SUM(O1608:O1956)</f>
        <v>4313.5</v>
      </c>
      <c r="X1" s="789">
        <f>+R1957</f>
        <v>22693.600000000002</v>
      </c>
      <c r="Y1" s="790"/>
      <c r="Z1" s="791"/>
      <c r="AA1" s="792"/>
      <c r="AB1" s="793"/>
      <c r="AC1" s="679"/>
    </row>
    <row r="2" spans="1:45" ht="23.25" customHeight="1" x14ac:dyDescent="0.25">
      <c r="A2" s="2152" t="s">
        <v>446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2152"/>
      <c r="O2" s="2152"/>
      <c r="P2" s="2152"/>
      <c r="S2" s="1238">
        <v>6</v>
      </c>
      <c r="U2" s="787"/>
      <c r="V2" s="787">
        <v>5</v>
      </c>
      <c r="W2" s="788">
        <f>+O61+O87+O92+O111+O119+O124+O135+O161+O168+O193+O202+O209+O224+O233+O246+O263+O278+O314+O328+O341+O391+O442+O448+O457+O468+O492+O512+O525+O541+O578+O582+O602+O605+O611+O613+O598+O38+O268+O177+O139+O377+O560+O594+O318+O586+O590+O286+O218+O97+O300+O80+O229+O251+O293</f>
        <v>2290940.8333333335</v>
      </c>
      <c r="X2" s="789">
        <f>+R614</f>
        <v>12156340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05" t="s">
        <v>1484</v>
      </c>
      <c r="L3" s="2105"/>
      <c r="M3" s="1516" t="s">
        <v>1482</v>
      </c>
      <c r="N3" s="1458">
        <v>46251</v>
      </c>
      <c r="O3" s="323" t="s">
        <v>463</v>
      </c>
      <c r="P3" s="1517">
        <v>46256</v>
      </c>
      <c r="U3" s="788"/>
      <c r="V3" s="787">
        <v>6</v>
      </c>
      <c r="W3" s="788">
        <f>+O625+O640+O663+O681+O688+O699+O728+O744+O750+O759+O767+O776+O785+O799+O848+O856+O864+O870+O877+O884+O892+O901+O911+O929+O943+O955+O965+O971+O995+O1002+O1018+O1025+O1042+O1050+O1058+O1071+O1093+O1100+O1108+O1115+O1141+O1152+O1158+O1165+O1197+O1203+O1211+O1224+O1231+O1239+O1251+O1262+O1281+O1286+O1292+O1297+O1302+O1311+O1318+O1349+O1599+O653+O1355+O1363+O1390+O1384+O1375+O1369+O1401+O811+O1332+O1466+O1413+O1409+O1405+O1417+O1423+O1434+O1462+O667+O817+O1130+O1122+O828+O823+O1429+O1471+O1477+O1274+O1482+O1492+O1256+O1064+O977+O989+O1569+O983+O1573+O1578+O1583+O1009+O1502+O1507+O1513+O1524+O1530+O1534+O1540+O1544+O1549+O1587+O1497+O1147+O629+O1555+O1560+O1565+O1518</f>
        <v>45586.333333333336</v>
      </c>
      <c r="X3" s="789">
        <f>+R1600</f>
        <v>245717.03000000009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06" t="s">
        <v>1485</v>
      </c>
      <c r="L4" s="2106"/>
      <c r="M4" s="1516" t="s">
        <v>1482</v>
      </c>
      <c r="N4" s="1458">
        <v>46258</v>
      </c>
      <c r="O4" s="323" t="s">
        <v>463</v>
      </c>
      <c r="P4" s="1517">
        <v>46263</v>
      </c>
      <c r="U4" s="794" t="s">
        <v>859</v>
      </c>
      <c r="V4" s="787"/>
      <c r="W4" s="788">
        <f>+W1+W2+W3</f>
        <v>2340840.666666667</v>
      </c>
      <c r="X4" s="789">
        <f>+X1+X2+X3</f>
        <v>12424750.629999999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1479</v>
      </c>
      <c r="B6" s="6" t="s">
        <v>1802</v>
      </c>
      <c r="C6" s="2171" t="s">
        <v>134</v>
      </c>
      <c r="D6" s="2171"/>
      <c r="E6" s="2171"/>
      <c r="F6" s="2171"/>
      <c r="G6" s="2171"/>
      <c r="H6" s="2171"/>
      <c r="I6" s="2171"/>
      <c r="J6" s="2171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1480</v>
      </c>
      <c r="B7" s="6" t="s">
        <v>1803</v>
      </c>
      <c r="C7" s="2171" t="s">
        <v>1449</v>
      </c>
      <c r="D7" s="2171"/>
      <c r="E7" s="2171"/>
      <c r="F7" s="2171"/>
      <c r="G7" s="2171"/>
      <c r="H7" s="2171"/>
      <c r="I7" s="2171"/>
      <c r="J7" s="2171"/>
      <c r="K7" s="1503" t="s">
        <v>1483</v>
      </c>
      <c r="L7" s="386">
        <v>46261</v>
      </c>
      <c r="M7" s="2176" t="s">
        <v>1463</v>
      </c>
      <c r="N7" s="2177"/>
      <c r="O7" s="2174" t="s">
        <v>1465</v>
      </c>
      <c r="P7" s="2175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1481</v>
      </c>
      <c r="B8" s="6" t="s">
        <v>1801</v>
      </c>
      <c r="C8" s="14"/>
      <c r="D8" s="27"/>
      <c r="E8" s="9"/>
      <c r="F8" s="220"/>
      <c r="G8" s="200"/>
      <c r="H8" s="229"/>
      <c r="I8" s="205"/>
      <c r="J8" s="204"/>
      <c r="L8" s="200"/>
      <c r="M8" s="2179" t="s">
        <v>1464</v>
      </c>
      <c r="N8" s="2180"/>
      <c r="O8" s="2172" t="s">
        <v>1466</v>
      </c>
      <c r="P8" s="2173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3"/>
      <c r="B10" s="2153"/>
      <c r="C10" s="21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  <c r="O10" s="2153"/>
      <c r="P10" s="2153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4" t="s">
        <v>1450</v>
      </c>
      <c r="B12" s="2139" t="s">
        <v>1</v>
      </c>
      <c r="C12" s="2167" t="s">
        <v>41</v>
      </c>
      <c r="D12" s="2145" t="s">
        <v>1448</v>
      </c>
      <c r="E12" s="2165"/>
      <c r="F12" s="2137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81" t="s">
        <v>1459</v>
      </c>
      <c r="O12" s="1506" t="s">
        <v>314</v>
      </c>
      <c r="P12" s="2134" t="s">
        <v>1459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55"/>
      <c r="B13" s="2140"/>
      <c r="C13" s="2168"/>
      <c r="D13" s="2146"/>
      <c r="E13" s="2166"/>
      <c r="F13" s="2138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82"/>
      <c r="O13" s="1523" t="s">
        <v>1461</v>
      </c>
      <c r="P13" s="2135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3" t="s">
        <v>1451</v>
      </c>
      <c r="B14" s="2141" t="s">
        <v>1452</v>
      </c>
      <c r="C14" s="2145" t="s">
        <v>1453</v>
      </c>
      <c r="D14" s="2143" t="s">
        <v>1454</v>
      </c>
      <c r="E14" s="2147"/>
      <c r="F14" s="2149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3" t="s">
        <v>1460</v>
      </c>
      <c r="O14" s="1501" t="s">
        <v>308</v>
      </c>
      <c r="P14" s="2141" t="s">
        <v>1460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4"/>
      <c r="B15" s="2142"/>
      <c r="C15" s="2146"/>
      <c r="D15" s="2144"/>
      <c r="E15" s="2148"/>
      <c r="F15" s="2150"/>
      <c r="G15" s="1524" t="s">
        <v>1469</v>
      </c>
      <c r="H15" s="1524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08" t="s">
        <v>1470</v>
      </c>
      <c r="N15" s="2146"/>
      <c r="O15" s="1525" t="s">
        <v>1470</v>
      </c>
      <c r="P15" s="2142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1">
        <f>IF(L88=0,"",1)</f>
        <v>1</v>
      </c>
      <c r="B16" s="2085" t="s">
        <v>254</v>
      </c>
      <c r="C16" s="1505" t="s">
        <v>200</v>
      </c>
      <c r="D16" s="1504" t="s">
        <v>10</v>
      </c>
      <c r="E16" s="890">
        <v>46258</v>
      </c>
      <c r="F16" s="292">
        <f t="shared" ref="F16:F36" si="0">$L$7-E16</f>
        <v>3</v>
      </c>
      <c r="G16" s="315">
        <v>40000</v>
      </c>
      <c r="H16" s="304"/>
      <c r="I16" s="304">
        <v>150000</v>
      </c>
      <c r="J16" s="284"/>
      <c r="K16" s="1821">
        <v>187000</v>
      </c>
      <c r="L16" s="1702">
        <f t="shared" ref="L16:L37" si="1">+G16+H16+I16-J16-K16</f>
        <v>3000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1"/>
      <c r="B17" s="2079"/>
      <c r="C17" s="1505" t="s">
        <v>469</v>
      </c>
      <c r="D17" s="850" t="s">
        <v>10</v>
      </c>
      <c r="E17" s="851">
        <v>45951</v>
      </c>
      <c r="F17" s="292">
        <f t="shared" si="0"/>
        <v>310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61"/>
      <c r="B18" s="2079"/>
      <c r="C18" s="135" t="s">
        <v>444</v>
      </c>
      <c r="D18" s="850" t="s">
        <v>10</v>
      </c>
      <c r="E18" s="851">
        <v>46218</v>
      </c>
      <c r="F18" s="292">
        <f t="shared" si="0"/>
        <v>43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1"/>
      <c r="B19" s="2079"/>
      <c r="C19" s="135" t="s">
        <v>467</v>
      </c>
      <c r="D19" s="850" t="s">
        <v>10</v>
      </c>
      <c r="E19" s="851">
        <v>46203</v>
      </c>
      <c r="F19" s="292">
        <f t="shared" si="0"/>
        <v>58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1"/>
      <c r="B20" s="2079"/>
      <c r="C20" s="135" t="s">
        <v>470</v>
      </c>
      <c r="D20" s="850" t="s">
        <v>10</v>
      </c>
      <c r="E20" s="851">
        <v>45664</v>
      </c>
      <c r="F20" s="292">
        <f t="shared" si="0"/>
        <v>597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61"/>
      <c r="B21" s="2085"/>
      <c r="C21" s="135" t="s">
        <v>479</v>
      </c>
      <c r="D21" s="850" t="s">
        <v>10</v>
      </c>
      <c r="E21" s="851">
        <v>45917</v>
      </c>
      <c r="F21" s="292">
        <f t="shared" si="0"/>
        <v>344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61"/>
      <c r="B22" s="2085"/>
      <c r="C22" s="135" t="s">
        <v>478</v>
      </c>
      <c r="D22" s="850" t="s">
        <v>10</v>
      </c>
      <c r="E22" s="851">
        <v>45917</v>
      </c>
      <c r="F22" s="292">
        <f t="shared" si="0"/>
        <v>344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1"/>
      <c r="B23" s="2085"/>
      <c r="C23" s="135" t="s">
        <v>466</v>
      </c>
      <c r="D23" s="850" t="s">
        <v>10</v>
      </c>
      <c r="E23" s="851">
        <v>45666</v>
      </c>
      <c r="F23" s="292">
        <f t="shared" si="0"/>
        <v>595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61"/>
      <c r="B24" s="2085"/>
      <c r="C24" s="135" t="s">
        <v>477</v>
      </c>
      <c r="D24" s="852" t="s">
        <v>10</v>
      </c>
      <c r="E24" s="851">
        <v>45922</v>
      </c>
      <c r="F24" s="292">
        <f t="shared" si="0"/>
        <v>339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61"/>
      <c r="B25" s="2085"/>
      <c r="C25" s="135" t="s">
        <v>476</v>
      </c>
      <c r="D25" s="850" t="s">
        <v>10</v>
      </c>
      <c r="E25" s="851">
        <v>46202</v>
      </c>
      <c r="F25" s="292">
        <f t="shared" si="0"/>
        <v>59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61"/>
      <c r="B26" s="2085"/>
      <c r="C26" s="135" t="s">
        <v>475</v>
      </c>
      <c r="D26" s="850" t="s">
        <v>10</v>
      </c>
      <c r="E26" s="853">
        <v>45914</v>
      </c>
      <c r="F26" s="292">
        <f t="shared" si="0"/>
        <v>347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1"/>
      <c r="B27" s="2085"/>
      <c r="C27" s="135" t="s">
        <v>79</v>
      </c>
      <c r="D27" s="850" t="s">
        <v>10</v>
      </c>
      <c r="E27" s="1210">
        <v>46209</v>
      </c>
      <c r="F27" s="292">
        <f t="shared" ref="F27" si="2">$L$7-E27</f>
        <v>52</v>
      </c>
      <c r="G27" s="36">
        <v>2360354</v>
      </c>
      <c r="H27" s="298"/>
      <c r="I27" s="298"/>
      <c r="J27" s="280"/>
      <c r="K27" s="634">
        <v>250000</v>
      </c>
      <c r="L27" s="1702">
        <f t="shared" si="1"/>
        <v>2110354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1"/>
      <c r="B28" s="2085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1"/>
      <c r="B29" s="2085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1"/>
      <c r="B30" s="2085"/>
      <c r="C30" s="135" t="s">
        <v>920</v>
      </c>
      <c r="D30" s="850" t="s">
        <v>10</v>
      </c>
      <c r="E30" s="1210">
        <v>45903</v>
      </c>
      <c r="F30" s="73">
        <f t="shared" si="0"/>
        <v>358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1"/>
      <c r="B31" s="2085"/>
      <c r="C31" s="135"/>
      <c r="D31" s="850" t="s">
        <v>10</v>
      </c>
      <c r="E31" s="1210">
        <v>46201</v>
      </c>
      <c r="F31" s="73">
        <f t="shared" si="0"/>
        <v>60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61"/>
      <c r="B32" s="2085"/>
      <c r="C32" s="135" t="s">
        <v>1429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1"/>
      <c r="B33" s="2085"/>
      <c r="C33" s="135" t="s">
        <v>1401</v>
      </c>
      <c r="D33" s="850" t="s">
        <v>10</v>
      </c>
      <c r="E33" s="1210"/>
      <c r="F33" s="73"/>
      <c r="G33" s="36">
        <v>0</v>
      </c>
      <c r="H33" s="298"/>
      <c r="I33" s="298"/>
      <c r="J33" s="280"/>
      <c r="K33" s="298"/>
      <c r="L33" s="1702">
        <f t="shared" si="1"/>
        <v>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1"/>
      <c r="B34" s="2085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1"/>
      <c r="B35" s="2085"/>
      <c r="C35" s="135" t="s">
        <v>1878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710202</v>
      </c>
      <c r="S35" s="796"/>
      <c r="T35" s="797"/>
      <c r="U35" s="797"/>
      <c r="V35" s="797"/>
      <c r="W35" s="785">
        <f>IFERROR(VLOOKUP($Q35,'391'!$S:$AG,15,0),0)</f>
        <v>2769421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61"/>
      <c r="B36" s="2085"/>
      <c r="C36" s="135"/>
      <c r="D36" s="850" t="s">
        <v>10</v>
      </c>
      <c r="E36" s="1210">
        <v>45920</v>
      </c>
      <c r="F36" s="73">
        <f t="shared" si="0"/>
        <v>341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1612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1"/>
      <c r="B37" s="2079"/>
      <c r="C37" s="149" t="s">
        <v>2208</v>
      </c>
      <c r="D37" s="850" t="s">
        <v>10</v>
      </c>
      <c r="E37" s="853">
        <v>46209</v>
      </c>
      <c r="F37" s="73">
        <f>$L$7-E37</f>
        <v>52</v>
      </c>
      <c r="G37" s="298">
        <v>105093</v>
      </c>
      <c r="H37" s="298"/>
      <c r="I37" s="317">
        <f>+K28-I16+K29+K27</f>
        <v>100000</v>
      </c>
      <c r="J37" s="1948">
        <f>usage!I5</f>
        <v>163568</v>
      </c>
      <c r="K37" s="298"/>
      <c r="L37" s="1702">
        <f t="shared" si="1"/>
        <v>41525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1"/>
      <c r="B38" s="260" t="s">
        <v>219</v>
      </c>
      <c r="C38" s="88"/>
      <c r="D38" s="864"/>
      <c r="E38" s="864"/>
      <c r="F38" s="865"/>
      <c r="G38" s="324">
        <v>2505447</v>
      </c>
      <c r="H38" s="324">
        <f t="shared" ref="H38:L38" si="3">+SUM(H16:H37)</f>
        <v>0</v>
      </c>
      <c r="I38" s="324">
        <f t="shared" si="3"/>
        <v>250000</v>
      </c>
      <c r="J38" s="324">
        <f t="shared" si="3"/>
        <v>163568</v>
      </c>
      <c r="K38" s="324">
        <f t="shared" si="3"/>
        <v>437000</v>
      </c>
      <c r="L38" s="324">
        <f t="shared" si="3"/>
        <v>2154879</v>
      </c>
      <c r="M38" s="59">
        <f>IFERROR((R35+R36)/$S$2,"")</f>
        <v>118367</v>
      </c>
      <c r="N38" s="854">
        <f>IFERROR(L38/M38,0)</f>
        <v>18.205065601054347</v>
      </c>
      <c r="O38" s="889">
        <f>IFERROR(SUMIF(ETM!$A:$A,$Q38,ETM!$E:$E),"")-1013047</f>
        <v>139808.33333333326</v>
      </c>
      <c r="P38" s="1920">
        <f>IFERROR(L38/O38,0)</f>
        <v>15.413094116945826</v>
      </c>
      <c r="Q38" s="795" t="s">
        <v>804</v>
      </c>
      <c r="R38" s="785">
        <f>IFERROR(VLOOKUP($Q38,'391'!$P:$W,8,0),"")</f>
        <v>6414871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4">G38-W38</f>
        <v>2505447</v>
      </c>
      <c r="Y38" s="1087">
        <f>+G38+G61+G92+G80</f>
        <v>28061115.289999999</v>
      </c>
      <c r="Z38" s="1088">
        <f>+W39+W40+W49+W50+W60+W92+W59+W80+W36+W38+W35+W61</f>
        <v>31285611</v>
      </c>
      <c r="AA38" s="1089">
        <f>+Y38-Z38</f>
        <v>-3224495.7100000009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61"/>
      <c r="B39" s="2156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139</v>
      </c>
      <c r="G39" s="297">
        <v>0</v>
      </c>
      <c r="H39" s="298"/>
      <c r="I39" s="298"/>
      <c r="J39" s="316"/>
      <c r="K39" s="1164"/>
      <c r="L39" s="531">
        <f t="shared" ref="L39:L87" si="5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4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61"/>
      <c r="B40" s="2157"/>
      <c r="C40" s="132"/>
      <c r="D40" s="850" t="s">
        <v>10</v>
      </c>
      <c r="E40" s="851">
        <v>45986</v>
      </c>
      <c r="F40" s="42">
        <f t="shared" ref="F40:F55" si="6">$L$7-E40</f>
        <v>275</v>
      </c>
      <c r="G40" s="298">
        <v>0</v>
      </c>
      <c r="H40" s="297"/>
      <c r="I40" s="297"/>
      <c r="J40" s="316"/>
      <c r="K40" s="297"/>
      <c r="L40" s="531">
        <f t="shared" si="5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4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61"/>
      <c r="B41" s="2157"/>
      <c r="C41" s="135"/>
      <c r="D41" s="850" t="s">
        <v>10</v>
      </c>
      <c r="E41" s="851">
        <v>45943</v>
      </c>
      <c r="F41" s="42">
        <f t="shared" si="6"/>
        <v>318</v>
      </c>
      <c r="G41" s="298">
        <v>0</v>
      </c>
      <c r="H41" s="297"/>
      <c r="I41" s="297"/>
      <c r="J41" s="316"/>
      <c r="K41" s="297"/>
      <c r="L41" s="531">
        <f t="shared" si="5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4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1"/>
      <c r="B42" s="2158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5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4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1"/>
      <c r="B43" s="2158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5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4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1"/>
      <c r="B44" s="2159"/>
      <c r="C44" s="135"/>
      <c r="D44" s="850" t="s">
        <v>10</v>
      </c>
      <c r="E44" s="851"/>
      <c r="F44" s="42">
        <f t="shared" ref="F44:F47" si="7">$L$7-E44</f>
        <v>46261</v>
      </c>
      <c r="G44" s="297">
        <v>0</v>
      </c>
      <c r="H44" s="297"/>
      <c r="I44" s="297"/>
      <c r="J44" s="297"/>
      <c r="K44" s="297"/>
      <c r="L44" s="531">
        <f t="shared" ref="L44:L45" si="8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9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1"/>
      <c r="B45" s="2159"/>
      <c r="C45" s="135"/>
      <c r="D45" s="850" t="s">
        <v>10</v>
      </c>
      <c r="E45" s="851"/>
      <c r="F45" s="42">
        <f t="shared" si="7"/>
        <v>46261</v>
      </c>
      <c r="G45" s="297">
        <v>0</v>
      </c>
      <c r="H45" s="297"/>
      <c r="I45" s="297"/>
      <c r="J45" s="297"/>
      <c r="K45" s="297"/>
      <c r="L45" s="531">
        <f t="shared" si="8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9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1"/>
      <c r="B46" s="2159"/>
      <c r="C46" s="135"/>
      <c r="D46" s="850" t="s">
        <v>10</v>
      </c>
      <c r="E46" s="851"/>
      <c r="F46" s="42">
        <f t="shared" si="7"/>
        <v>46261</v>
      </c>
      <c r="G46" s="297">
        <v>0</v>
      </c>
      <c r="H46" s="297"/>
      <c r="I46" s="297"/>
      <c r="J46" s="297"/>
      <c r="K46" s="297"/>
      <c r="L46" s="531">
        <f t="shared" si="5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4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1"/>
      <c r="B47" s="2159"/>
      <c r="C47" s="1484" t="s">
        <v>79</v>
      </c>
      <c r="D47" s="850" t="s">
        <v>10</v>
      </c>
      <c r="E47" s="851">
        <v>46134</v>
      </c>
      <c r="F47" s="42">
        <f t="shared" si="7"/>
        <v>127</v>
      </c>
      <c r="G47" s="297">
        <v>0</v>
      </c>
      <c r="H47" s="297"/>
      <c r="I47" s="297"/>
      <c r="J47" s="297"/>
      <c r="K47" s="297"/>
      <c r="L47" s="531">
        <f t="shared" ref="L47" si="10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1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1"/>
      <c r="B48" s="2158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5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4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1"/>
      <c r="B49" s="2158"/>
      <c r="C49" s="1484"/>
      <c r="D49" s="852" t="s">
        <v>10</v>
      </c>
      <c r="E49" s="851">
        <v>46055</v>
      </c>
      <c r="F49" s="42">
        <f t="shared" ref="F49" si="12">$L$7-E49</f>
        <v>206</v>
      </c>
      <c r="G49" s="297">
        <v>0</v>
      </c>
      <c r="H49" s="304"/>
      <c r="I49" s="297"/>
      <c r="J49" s="297"/>
      <c r="K49" s="297"/>
      <c r="L49" s="531">
        <f t="shared" si="5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4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1"/>
      <c r="B50" s="2158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5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4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1"/>
      <c r="B51" s="2158"/>
      <c r="C51" s="132" t="s">
        <v>469</v>
      </c>
      <c r="D51" s="852" t="s">
        <v>10</v>
      </c>
      <c r="E51" s="851">
        <v>46124</v>
      </c>
      <c r="F51" s="42">
        <f t="shared" si="6"/>
        <v>137</v>
      </c>
      <c r="G51" s="298">
        <v>0</v>
      </c>
      <c r="H51" s="297"/>
      <c r="I51" s="297"/>
      <c r="J51" s="297"/>
      <c r="K51" s="297"/>
      <c r="L51" s="531">
        <f t="shared" si="5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4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1"/>
      <c r="B52" s="2158"/>
      <c r="C52" s="132" t="s">
        <v>467</v>
      </c>
      <c r="D52" s="852" t="s">
        <v>10</v>
      </c>
      <c r="E52" s="851">
        <v>46065</v>
      </c>
      <c r="F52" s="42">
        <f t="shared" si="6"/>
        <v>196</v>
      </c>
      <c r="G52" s="297">
        <v>0</v>
      </c>
      <c r="H52" s="297"/>
      <c r="I52" s="297"/>
      <c r="J52" s="297"/>
      <c r="K52" s="297"/>
      <c r="L52" s="531">
        <f t="shared" si="5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4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1"/>
      <c r="B53" s="2159"/>
      <c r="C53" s="132" t="s">
        <v>470</v>
      </c>
      <c r="D53" s="850" t="s">
        <v>10</v>
      </c>
      <c r="E53" s="851">
        <v>45986</v>
      </c>
      <c r="F53" s="42">
        <f t="shared" ref="F53" si="13">$L$7-E53</f>
        <v>275</v>
      </c>
      <c r="G53" s="298">
        <v>0</v>
      </c>
      <c r="H53" s="297"/>
      <c r="I53" s="297"/>
      <c r="J53" s="297"/>
      <c r="K53" s="297"/>
      <c r="L53" s="531">
        <f t="shared" si="5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4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1"/>
      <c r="B54" s="2158"/>
      <c r="C54" s="132" t="s">
        <v>479</v>
      </c>
      <c r="D54" s="29" t="s">
        <v>10</v>
      </c>
      <c r="E54" s="851">
        <v>45955</v>
      </c>
      <c r="F54" s="42">
        <f t="shared" si="6"/>
        <v>306</v>
      </c>
      <c r="G54" s="297">
        <v>0</v>
      </c>
      <c r="H54" s="297"/>
      <c r="I54" s="298"/>
      <c r="J54" s="297"/>
      <c r="K54" s="1164"/>
      <c r="L54" s="531">
        <f t="shared" si="5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4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1"/>
      <c r="B55" s="2159"/>
      <c r="C55" s="132" t="s">
        <v>478</v>
      </c>
      <c r="D55" s="852" t="s">
        <v>10</v>
      </c>
      <c r="E55" s="851">
        <v>45955</v>
      </c>
      <c r="F55" s="42">
        <f t="shared" si="6"/>
        <v>306</v>
      </c>
      <c r="G55" s="297">
        <v>0</v>
      </c>
      <c r="H55" s="297"/>
      <c r="I55" s="297"/>
      <c r="J55" s="297"/>
      <c r="K55" s="1164"/>
      <c r="L55" s="531">
        <f t="shared" si="5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4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1"/>
      <c r="B56" s="2159"/>
      <c r="C56" s="132" t="s">
        <v>466</v>
      </c>
      <c r="D56" s="852" t="s">
        <v>10</v>
      </c>
      <c r="E56" s="853">
        <v>45939</v>
      </c>
      <c r="F56" s="42">
        <f t="shared" ref="F56" si="14">$L$7-E56</f>
        <v>322</v>
      </c>
      <c r="G56" s="297">
        <v>0</v>
      </c>
      <c r="H56" s="297"/>
      <c r="I56" s="298"/>
      <c r="J56" s="297"/>
      <c r="K56" s="297"/>
      <c r="L56" s="531">
        <f t="shared" si="5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4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1"/>
      <c r="B57" s="2158"/>
      <c r="C57" s="132" t="s">
        <v>477</v>
      </c>
      <c r="D57" s="1255" t="s">
        <v>10</v>
      </c>
      <c r="E57" s="1256">
        <v>45986</v>
      </c>
      <c r="F57" s="42">
        <f t="shared" ref="F57:F59" si="15">$L$7-E57</f>
        <v>275</v>
      </c>
      <c r="G57" s="1164">
        <v>0</v>
      </c>
      <c r="H57" s="297"/>
      <c r="I57" s="297"/>
      <c r="J57" s="297"/>
      <c r="K57" s="297"/>
      <c r="L57" s="531">
        <f t="shared" si="5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4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1"/>
      <c r="B58" s="2158"/>
      <c r="C58" s="132" t="s">
        <v>476</v>
      </c>
      <c r="D58" s="852" t="s">
        <v>10</v>
      </c>
      <c r="E58" s="853">
        <v>46087</v>
      </c>
      <c r="F58" s="42">
        <f t="shared" si="15"/>
        <v>174</v>
      </c>
      <c r="G58" s="297">
        <v>0</v>
      </c>
      <c r="H58" s="297"/>
      <c r="I58" s="297"/>
      <c r="J58" s="297"/>
      <c r="K58" s="1164"/>
      <c r="L58" s="531">
        <f t="shared" si="5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4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1"/>
      <c r="B59" s="2159"/>
      <c r="C59" s="132" t="s">
        <v>475</v>
      </c>
      <c r="D59" s="852" t="s">
        <v>10</v>
      </c>
      <c r="E59" s="853">
        <v>45986</v>
      </c>
      <c r="F59" s="42">
        <f t="shared" si="15"/>
        <v>275</v>
      </c>
      <c r="G59" s="298">
        <v>0</v>
      </c>
      <c r="H59" s="1243"/>
      <c r="I59" s="298"/>
      <c r="J59" s="1219"/>
      <c r="K59" s="1219"/>
      <c r="L59" s="531">
        <f t="shared" si="5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61"/>
      <c r="B60" s="2160"/>
      <c r="C60" s="149" t="s">
        <v>1810</v>
      </c>
      <c r="D60" s="850" t="s">
        <v>10</v>
      </c>
      <c r="E60" s="853">
        <v>46134</v>
      </c>
      <c r="F60" s="73">
        <f>$L$7-E60</f>
        <v>127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5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6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61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5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5957160</v>
      </c>
      <c r="T61" s="801"/>
      <c r="U61" s="801"/>
      <c r="V61" s="801"/>
      <c r="W61" s="785">
        <f>IFERROR(VLOOKUP($Q61,'391'!$S:$AG,15,0),0)</f>
        <v>0</v>
      </c>
      <c r="X61" s="799">
        <f t="shared" si="16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1"/>
      <c r="B62" s="2178" t="s">
        <v>1565</v>
      </c>
      <c r="C62" s="132" t="s">
        <v>200</v>
      </c>
      <c r="D62" s="852" t="s">
        <v>10</v>
      </c>
      <c r="E62" s="853">
        <v>46122</v>
      </c>
      <c r="F62" s="42">
        <f>$L$7-E62</f>
        <v>139</v>
      </c>
      <c r="G62" s="297">
        <v>0</v>
      </c>
      <c r="H62" s="298"/>
      <c r="I62" s="298"/>
      <c r="J62" s="316"/>
      <c r="K62" s="1164"/>
      <c r="L62" s="531">
        <f t="shared" si="5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61"/>
      <c r="B63" s="2159"/>
      <c r="C63" s="132" t="s">
        <v>444</v>
      </c>
      <c r="D63" s="850" t="s">
        <v>10</v>
      </c>
      <c r="E63" s="851">
        <v>46252</v>
      </c>
      <c r="F63" s="42">
        <f t="shared" ref="F63:F79" si="18">$L$7-E63</f>
        <v>9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6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1"/>
      <c r="B64" s="2159"/>
      <c r="C64" s="132" t="s">
        <v>467</v>
      </c>
      <c r="D64" s="850" t="s">
        <v>10</v>
      </c>
      <c r="E64" s="851">
        <v>46206</v>
      </c>
      <c r="F64" s="42">
        <f t="shared" si="18"/>
        <v>55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6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1"/>
      <c r="B65" s="2159"/>
      <c r="C65" s="132" t="s">
        <v>470</v>
      </c>
      <c r="D65" s="850" t="s">
        <v>10</v>
      </c>
      <c r="E65" s="851">
        <v>46240</v>
      </c>
      <c r="F65" s="42">
        <f t="shared" si="18"/>
        <v>21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6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1"/>
      <c r="B66" s="2159"/>
      <c r="C66" s="132" t="s">
        <v>479</v>
      </c>
      <c r="D66" s="850" t="s">
        <v>10</v>
      </c>
      <c r="E66" s="851">
        <v>46007</v>
      </c>
      <c r="F66" s="42">
        <f t="shared" si="18"/>
        <v>254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6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1"/>
      <c r="B67" s="2159"/>
      <c r="C67" s="132" t="s">
        <v>478</v>
      </c>
      <c r="D67" s="850" t="s">
        <v>10</v>
      </c>
      <c r="E67" s="851">
        <v>46252</v>
      </c>
      <c r="F67" s="42">
        <f t="shared" si="18"/>
        <v>9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1"/>
      <c r="B68" s="2159"/>
      <c r="C68" s="132" t="s">
        <v>466</v>
      </c>
      <c r="D68" s="850" t="s">
        <v>10</v>
      </c>
      <c r="E68" s="851">
        <v>46251</v>
      </c>
      <c r="F68" s="42">
        <f t="shared" si="18"/>
        <v>10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1"/>
      <c r="B69" s="2159"/>
      <c r="C69" s="132" t="s">
        <v>477</v>
      </c>
      <c r="D69" s="850" t="s">
        <v>10</v>
      </c>
      <c r="E69" s="851">
        <v>46234</v>
      </c>
      <c r="F69" s="42">
        <f t="shared" si="18"/>
        <v>27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6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1"/>
      <c r="B70" s="2159"/>
      <c r="C70" s="132" t="s">
        <v>476</v>
      </c>
      <c r="D70" s="850" t="s">
        <v>10</v>
      </c>
      <c r="E70" s="851">
        <v>46251</v>
      </c>
      <c r="F70" s="42">
        <f t="shared" si="18"/>
        <v>10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6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1"/>
      <c r="B71" s="2159"/>
      <c r="C71" s="132" t="s">
        <v>475</v>
      </c>
      <c r="D71" s="850" t="s">
        <v>10</v>
      </c>
      <c r="E71" s="851">
        <v>46253</v>
      </c>
      <c r="F71" s="42">
        <f t="shared" si="18"/>
        <v>8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6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1"/>
      <c r="B72" s="2159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1"/>
      <c r="B73" s="2159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1"/>
      <c r="B74" s="2159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1"/>
      <c r="B75" s="2159"/>
      <c r="C75" s="135" t="s">
        <v>857</v>
      </c>
      <c r="D75" s="850" t="s">
        <v>10</v>
      </c>
      <c r="E75" s="851">
        <v>46233</v>
      </c>
      <c r="F75" s="73">
        <f t="shared" ref="F75" si="28">$L$7-E75</f>
        <v>28</v>
      </c>
      <c r="G75" s="297">
        <v>7504490</v>
      </c>
      <c r="H75" s="297"/>
      <c r="I75" s="298"/>
      <c r="J75" s="297"/>
      <c r="K75" s="1164"/>
      <c r="L75" s="531">
        <f t="shared" si="19"/>
        <v>7504490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6"/>
        <v>7504490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61"/>
      <c r="B76" s="2159"/>
      <c r="C76" s="135" t="s">
        <v>1178</v>
      </c>
      <c r="D76" s="850" t="s">
        <v>10</v>
      </c>
      <c r="E76" s="851">
        <v>46205</v>
      </c>
      <c r="F76" s="73">
        <f t="shared" ref="F76" si="29">$L$7-E76</f>
        <v>56</v>
      </c>
      <c r="G76" s="297">
        <v>8072620</v>
      </c>
      <c r="H76" s="297"/>
      <c r="I76" s="298"/>
      <c r="J76" s="1219"/>
      <c r="K76" s="1219"/>
      <c r="L76" s="531">
        <f t="shared" ref="L76" si="30">+G76+H76+I76-J76-K76</f>
        <v>8072620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1"/>
      <c r="B77" s="2159"/>
      <c r="C77" s="135" t="s">
        <v>53</v>
      </c>
      <c r="D77" s="850" t="s">
        <v>10</v>
      </c>
      <c r="E77" s="851">
        <v>46233</v>
      </c>
      <c r="F77" s="42">
        <f t="shared" si="18"/>
        <v>28</v>
      </c>
      <c r="G77" s="298">
        <v>3984388</v>
      </c>
      <c r="H77" s="1243"/>
      <c r="I77" s="298"/>
      <c r="J77" s="1219"/>
      <c r="K77" s="1219">
        <v>900000</v>
      </c>
      <c r="L77" s="531">
        <f t="shared" si="19"/>
        <v>3084388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1"/>
      <c r="B78" s="2159"/>
      <c r="C78" s="135" t="s">
        <v>1307</v>
      </c>
      <c r="D78" s="850" t="s">
        <v>10</v>
      </c>
      <c r="E78" s="851">
        <v>46241</v>
      </c>
      <c r="F78" s="42">
        <f t="shared" ref="F78" si="31">$L$7-E78</f>
        <v>20</v>
      </c>
      <c r="G78" s="1987">
        <v>5697000</v>
      </c>
      <c r="H78" s="1988"/>
      <c r="I78" s="298"/>
      <c r="J78" s="1219"/>
      <c r="K78" s="1219"/>
      <c r="L78" s="531">
        <f t="shared" ref="L78" si="32">+G78+H78+I78-J78-K78</f>
        <v>5697000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1"/>
      <c r="B79" s="2160"/>
      <c r="C79" s="149" t="s">
        <v>2207</v>
      </c>
      <c r="D79" s="850" t="s">
        <v>10</v>
      </c>
      <c r="E79" s="853">
        <v>46233</v>
      </c>
      <c r="F79" s="42">
        <f t="shared" si="18"/>
        <v>28</v>
      </c>
      <c r="G79" s="298">
        <v>280609.28999999934</v>
      </c>
      <c r="H79" s="830"/>
      <c r="I79" s="317">
        <f>K77+K78</f>
        <v>900000</v>
      </c>
      <c r="J79" s="1164">
        <f>usage!I6</f>
        <v>1027146.9000000001</v>
      </c>
      <c r="K79" s="297"/>
      <c r="L79" s="531">
        <f t="shared" si="19"/>
        <v>153462.3899999992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3">G79-W79</f>
        <v>280609.28999999934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1"/>
      <c r="B80" s="509" t="s">
        <v>1564</v>
      </c>
      <c r="C80" s="88"/>
      <c r="D80" s="864"/>
      <c r="E80" s="864"/>
      <c r="F80" s="865"/>
      <c r="G80" s="324">
        <v>25539107.289999999</v>
      </c>
      <c r="H80" s="324">
        <f t="shared" ref="H80" si="34">SUM(H62:H79)</f>
        <v>0</v>
      </c>
      <c r="I80" s="324">
        <f>SUM(I62:I79)</f>
        <v>900000</v>
      </c>
      <c r="J80" s="324">
        <f t="shared" ref="J80:K80" si="35">SUM(J62:J79)</f>
        <v>1027146.9000000001</v>
      </c>
      <c r="K80" s="324">
        <f t="shared" si="35"/>
        <v>900000</v>
      </c>
      <c r="L80" s="324">
        <f>SUM(L62:L79)</f>
        <v>24511960.390000001</v>
      </c>
      <c r="M80" s="59">
        <f>IFERROR(R80/$S$2,"")</f>
        <v>874493</v>
      </c>
      <c r="N80" s="366">
        <f>IFERROR(L80/M80,0)</f>
        <v>28.0299103480531</v>
      </c>
      <c r="O80" s="861">
        <f>IFERROR(SUMIF(ETM!$A:$A,$Q80,ETM!$E:$E),"")+1013047</f>
        <v>1013047</v>
      </c>
      <c r="P80" s="855">
        <f>IFERROR(L80/O80,0)</f>
        <v>24.196271633991316</v>
      </c>
      <c r="Q80" s="666" t="s">
        <v>1563</v>
      </c>
      <c r="R80" s="785">
        <f>IFERROR(VLOOKUP($Q80,'391'!$S:$Z,8,0),0)</f>
        <v>5246958</v>
      </c>
      <c r="S80" s="800"/>
      <c r="T80" s="801"/>
      <c r="U80" s="801"/>
      <c r="V80" s="801"/>
      <c r="W80" s="785">
        <f>IFERROR(VLOOKUP($Q80,'391'!$S:$AG,15,0),0)</f>
        <v>27972773</v>
      </c>
      <c r="X80" s="799">
        <f t="shared" si="33"/>
        <v>-2433665.7100000009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1"/>
      <c r="B81" s="2046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6">$L$7-E81</f>
        <v>990</v>
      </c>
      <c r="G81" s="297">
        <v>0</v>
      </c>
      <c r="H81" s="297"/>
      <c r="I81" s="297"/>
      <c r="J81" s="316"/>
      <c r="K81" s="297"/>
      <c r="L81" s="531">
        <f t="shared" si="5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6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1"/>
      <c r="B82" s="2068"/>
      <c r="C82" s="106" t="s">
        <v>444</v>
      </c>
      <c r="D82" s="852" t="s">
        <v>10</v>
      </c>
      <c r="E82" s="853">
        <v>45293</v>
      </c>
      <c r="F82" s="73">
        <f t="shared" si="36"/>
        <v>968</v>
      </c>
      <c r="G82" s="297">
        <v>0</v>
      </c>
      <c r="H82" s="297"/>
      <c r="I82" s="297"/>
      <c r="J82" s="316"/>
      <c r="K82" s="297"/>
      <c r="L82" s="531">
        <f t="shared" si="5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6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1"/>
      <c r="B83" s="2068"/>
      <c r="C83" s="106" t="s">
        <v>467</v>
      </c>
      <c r="D83" s="852" t="s">
        <v>10</v>
      </c>
      <c r="E83" s="853">
        <v>45273</v>
      </c>
      <c r="F83" s="73">
        <f t="shared" si="36"/>
        <v>988</v>
      </c>
      <c r="G83" s="297">
        <v>0</v>
      </c>
      <c r="H83" s="297"/>
      <c r="I83" s="297"/>
      <c r="J83" s="316"/>
      <c r="K83" s="297"/>
      <c r="L83" s="531">
        <f t="shared" si="5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6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1"/>
      <c r="B84" s="2068"/>
      <c r="C84" s="106" t="s">
        <v>470</v>
      </c>
      <c r="D84" s="852" t="s">
        <v>10</v>
      </c>
      <c r="E84" s="853">
        <v>45282</v>
      </c>
      <c r="F84" s="73">
        <f t="shared" si="36"/>
        <v>979</v>
      </c>
      <c r="G84" s="297">
        <v>0</v>
      </c>
      <c r="H84" s="297"/>
      <c r="I84" s="297"/>
      <c r="J84" s="316"/>
      <c r="K84" s="297"/>
      <c r="L84" s="531">
        <f t="shared" si="5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6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1"/>
      <c r="B85" s="2068"/>
      <c r="C85" s="106" t="s">
        <v>479</v>
      </c>
      <c r="D85" s="852" t="s">
        <v>10</v>
      </c>
      <c r="E85" s="853">
        <v>45258</v>
      </c>
      <c r="F85" s="73">
        <f t="shared" si="36"/>
        <v>1003</v>
      </c>
      <c r="G85" s="297">
        <v>0</v>
      </c>
      <c r="H85" s="297"/>
      <c r="I85" s="297"/>
      <c r="J85" s="316"/>
      <c r="K85" s="297"/>
      <c r="L85" s="531">
        <f t="shared" si="5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6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1"/>
      <c r="B86" s="2068"/>
      <c r="C86" s="106" t="s">
        <v>478</v>
      </c>
      <c r="D86" s="852" t="s">
        <v>10</v>
      </c>
      <c r="E86" s="853">
        <v>45268</v>
      </c>
      <c r="F86" s="73">
        <f t="shared" si="36"/>
        <v>993</v>
      </c>
      <c r="G86" s="297">
        <v>0</v>
      </c>
      <c r="H86" s="297"/>
      <c r="I86" s="297"/>
      <c r="J86" s="316"/>
      <c r="K86" s="297"/>
      <c r="L86" s="531">
        <f t="shared" si="5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6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2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5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6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3" t="s">
        <v>101</v>
      </c>
      <c r="B88" s="2164"/>
      <c r="C88" s="269"/>
      <c r="D88" s="2169"/>
      <c r="E88" s="2170"/>
      <c r="F88" s="270"/>
      <c r="G88" s="383">
        <v>28044554.289999999</v>
      </c>
      <c r="H88" s="383">
        <f>+H80+H61+H38+H87</f>
        <v>0</v>
      </c>
      <c r="I88" s="383">
        <f>+I80+I61+I38+I87</f>
        <v>1150000</v>
      </c>
      <c r="J88" s="383">
        <f>+J80+J61+J38+J87</f>
        <v>1190714.9000000001</v>
      </c>
      <c r="K88" s="383">
        <f>+K80+K61+K38+K87</f>
        <v>1337000</v>
      </c>
      <c r="L88" s="383">
        <f>+L80+L61+L38+L87</f>
        <v>26666839.390000001</v>
      </c>
      <c r="M88" s="383">
        <f>+M87+M61+M38+M80</f>
        <v>992860</v>
      </c>
      <c r="N88" s="270">
        <f>(L88/M88)</f>
        <v>26.858609864432044</v>
      </c>
      <c r="O88" s="383">
        <f>O87+O38+O61+O80</f>
        <v>1152855.3333333333</v>
      </c>
      <c r="P88" s="732">
        <f>(L88/O88)</f>
        <v>23.131123757649849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6"/>
        <v>28044554.289999999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66">
        <f>IF(L92=0,"",MAX($A$16:A88)+1)</f>
        <v>2</v>
      </c>
      <c r="B89" s="2046" t="s">
        <v>84</v>
      </c>
      <c r="C89" s="107" t="s">
        <v>220</v>
      </c>
      <c r="D89" s="850" t="s">
        <v>10</v>
      </c>
      <c r="E89" s="851">
        <v>46252</v>
      </c>
      <c r="F89" s="41">
        <f>$L$7-E89</f>
        <v>9</v>
      </c>
      <c r="G89" s="36">
        <v>10000</v>
      </c>
      <c r="H89" s="36"/>
      <c r="I89" s="36">
        <f>K16</f>
        <v>187000</v>
      </c>
      <c r="J89" s="1294"/>
      <c r="K89" s="36">
        <v>197000</v>
      </c>
      <c r="L89" s="531">
        <f>+G89+H89+I89-J89-K89</f>
        <v>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6"/>
        <v>10000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81"/>
      <c r="B90" s="2068"/>
      <c r="C90" s="107" t="s">
        <v>1387</v>
      </c>
      <c r="D90" s="850" t="s">
        <v>10</v>
      </c>
      <c r="E90" s="851">
        <v>46252</v>
      </c>
      <c r="F90" s="41">
        <f>$L$7-E90</f>
        <v>9</v>
      </c>
      <c r="G90" s="36">
        <v>0</v>
      </c>
      <c r="H90" s="36"/>
      <c r="I90" s="36">
        <v>174000</v>
      </c>
      <c r="J90" s="1294"/>
      <c r="K90" s="36"/>
      <c r="L90" s="531">
        <f>+G90+H90+I90-J90-K90</f>
        <v>174000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6"/>
        <v>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67"/>
      <c r="B91" s="2047"/>
      <c r="C91" s="108" t="s">
        <v>570</v>
      </c>
      <c r="D91" s="863" t="s">
        <v>10</v>
      </c>
      <c r="E91" s="851">
        <v>46252</v>
      </c>
      <c r="F91" s="38">
        <f>$L$7-E91</f>
        <v>9</v>
      </c>
      <c r="G91" s="28">
        <v>6561</v>
      </c>
      <c r="H91" s="28"/>
      <c r="I91" s="28">
        <f>K89+K90-I90</f>
        <v>23000</v>
      </c>
      <c r="J91" s="1295">
        <f>+usage!I8</f>
        <v>23773</v>
      </c>
      <c r="K91" s="28"/>
      <c r="L91" s="531">
        <f>+G91+H91+I91-J91-K91</f>
        <v>5788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6"/>
        <v>6561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2" t="s">
        <v>102</v>
      </c>
      <c r="B92" s="2023"/>
      <c r="C92" s="88"/>
      <c r="D92" s="864"/>
      <c r="E92" s="864"/>
      <c r="F92" s="865"/>
      <c r="G92" s="1296">
        <v>16561</v>
      </c>
      <c r="H92" s="1296">
        <f>SUM(H89:H91)</f>
        <v>0</v>
      </c>
      <c r="I92" s="1296">
        <f>SUM(I89:I91)</f>
        <v>384000</v>
      </c>
      <c r="J92" s="1296">
        <f>SUM(J89:J91)</f>
        <v>23773</v>
      </c>
      <c r="K92" s="1296">
        <f>SUM(K89:K91)</f>
        <v>197000</v>
      </c>
      <c r="L92" s="1296">
        <f>SUM(L89:L91)</f>
        <v>179788</v>
      </c>
      <c r="M92" s="59">
        <f>IFERROR(R92/$S$2,"")</f>
        <v>76285.166666666672</v>
      </c>
      <c r="N92" s="366">
        <f>(L92/M92)</f>
        <v>2.3567884538496999</v>
      </c>
      <c r="O92" s="59">
        <f>IFERROR(SUMIF(ETM!$A:$A,$Q92,ETM!$E:$E),"")</f>
        <v>77505.333333333328</v>
      </c>
      <c r="P92" s="855">
        <f>(L92/O92)</f>
        <v>2.3196855270174956</v>
      </c>
      <c r="Q92" s="795" t="s">
        <v>84</v>
      </c>
      <c r="R92" s="785">
        <f>IFERROR(VLOOKUP($Q92,'391'!$S:$Z,8,0),0)</f>
        <v>457711</v>
      </c>
      <c r="S92" s="796"/>
      <c r="T92" s="797"/>
      <c r="U92" s="797"/>
      <c r="V92" s="797"/>
      <c r="W92" s="785">
        <f>IFERROR(VLOOKUP($Q92,'391'!$S:$AG,15,0),0)</f>
        <v>92334</v>
      </c>
      <c r="X92" s="799">
        <f t="shared" si="16"/>
        <v>-75773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66" t="str">
        <f>IF(L97=0,"",MAX($A$16:A92)+1)</f>
        <v/>
      </c>
      <c r="B93" s="2046" t="s">
        <v>1440</v>
      </c>
      <c r="C93" s="107" t="s">
        <v>1511</v>
      </c>
      <c r="D93" s="850" t="s">
        <v>10</v>
      </c>
      <c r="E93" s="851">
        <v>45643</v>
      </c>
      <c r="F93" s="41">
        <f>$L$7-E93</f>
        <v>618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6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1"/>
      <c r="B94" s="2068"/>
      <c r="C94" s="107"/>
      <c r="D94" s="850" t="s">
        <v>10</v>
      </c>
      <c r="E94" s="851">
        <v>43544</v>
      </c>
      <c r="F94" s="41">
        <f>$L$7-E94</f>
        <v>2717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6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1"/>
      <c r="B95" s="2068"/>
      <c r="C95" s="107"/>
      <c r="D95" s="850" t="s">
        <v>10</v>
      </c>
      <c r="E95" s="851">
        <v>43056</v>
      </c>
      <c r="F95" s="41">
        <f>$L$7-E95</f>
        <v>3205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6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67"/>
      <c r="B96" s="2047"/>
      <c r="C96" s="108" t="s">
        <v>1320</v>
      </c>
      <c r="D96" s="863" t="s">
        <v>10</v>
      </c>
      <c r="E96" s="851">
        <v>45643</v>
      </c>
      <c r="F96" s="38">
        <f>$L$7-E96</f>
        <v>618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6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2" t="s">
        <v>1447</v>
      </c>
      <c r="B97" s="2023"/>
      <c r="C97" s="88"/>
      <c r="D97" s="864"/>
      <c r="E97" s="864"/>
      <c r="F97" s="865"/>
      <c r="G97" s="1296">
        <v>0</v>
      </c>
      <c r="H97" s="1296">
        <f t="shared" ref="H97" si="37">SUM(H93:H96)</f>
        <v>0</v>
      </c>
      <c r="I97" s="1296">
        <f>SUM(I93:I96)</f>
        <v>0</v>
      </c>
      <c r="J97" s="1296">
        <f t="shared" ref="J97:L97" si="38">SUM(J93:J96)</f>
        <v>0</v>
      </c>
      <c r="K97" s="1296">
        <f t="shared" si="38"/>
        <v>0</v>
      </c>
      <c r="L97" s="1296">
        <f t="shared" si="38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1440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6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66">
        <f>IF(L111=0,"",MAX($A$16:A96)+1)</f>
        <v>3</v>
      </c>
      <c r="B98" s="2046" t="s">
        <v>1294</v>
      </c>
      <c r="C98" s="109"/>
      <c r="D98" s="852" t="s">
        <v>10</v>
      </c>
      <c r="E98" s="853">
        <v>44060</v>
      </c>
      <c r="F98" s="73">
        <f>$L$7-E98</f>
        <v>2201</v>
      </c>
      <c r="G98" s="36">
        <v>0</v>
      </c>
      <c r="H98" s="36"/>
      <c r="I98" s="36"/>
      <c r="J98" s="1298"/>
      <c r="K98" s="36"/>
      <c r="L98" s="531">
        <f t="shared" ref="L98:L110" si="39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6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1"/>
      <c r="B99" s="2068"/>
      <c r="C99" s="109"/>
      <c r="D99" s="852" t="s">
        <v>10</v>
      </c>
      <c r="E99" s="853">
        <v>45049</v>
      </c>
      <c r="F99" s="73">
        <f>$L$7-E99</f>
        <v>1212</v>
      </c>
      <c r="G99" s="36">
        <v>0</v>
      </c>
      <c r="H99" s="36"/>
      <c r="I99" s="36"/>
      <c r="J99" s="1298"/>
      <c r="K99" s="36"/>
      <c r="L99" s="531">
        <f t="shared" si="39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6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1"/>
      <c r="B100" s="2068"/>
      <c r="C100" s="109"/>
      <c r="D100" s="852" t="s">
        <v>10</v>
      </c>
      <c r="E100" s="853">
        <v>44042</v>
      </c>
      <c r="F100" s="73">
        <f>$L$7-E100</f>
        <v>2219</v>
      </c>
      <c r="G100" s="36">
        <v>0</v>
      </c>
      <c r="H100" s="36"/>
      <c r="I100" s="36"/>
      <c r="J100" s="1298"/>
      <c r="K100" s="36"/>
      <c r="L100" s="531">
        <f t="shared" si="39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6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1"/>
      <c r="B101" s="2068"/>
      <c r="C101" s="109" t="s">
        <v>1293</v>
      </c>
      <c r="D101" s="863" t="s">
        <v>10</v>
      </c>
      <c r="E101" s="853">
        <v>45049</v>
      </c>
      <c r="F101" s="73">
        <f>$L$7-E101</f>
        <v>1212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9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6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1"/>
      <c r="B102" s="2047"/>
      <c r="C102" s="2136" t="s">
        <v>1296</v>
      </c>
      <c r="D102" s="2133"/>
      <c r="E102" s="2133"/>
      <c r="F102" s="2133"/>
      <c r="G102" s="1301">
        <v>0</v>
      </c>
      <c r="H102" s="1301">
        <f t="shared" ref="H102:K102" si="40">SUM(H98:H101)</f>
        <v>0</v>
      </c>
      <c r="I102" s="1301">
        <f t="shared" si="40"/>
        <v>0</v>
      </c>
      <c r="J102" s="1301">
        <f t="shared" si="40"/>
        <v>0</v>
      </c>
      <c r="K102" s="1301">
        <f t="shared" si="40"/>
        <v>0</v>
      </c>
      <c r="L102" s="531">
        <f t="shared" si="39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6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1"/>
      <c r="B103" s="2094" t="s">
        <v>1384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9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6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1"/>
      <c r="B104" s="2094"/>
      <c r="C104" s="109" t="s">
        <v>850</v>
      </c>
      <c r="D104" s="852" t="s">
        <v>10</v>
      </c>
      <c r="E104" s="853"/>
      <c r="F104" s="73">
        <f t="shared" ref="F104:F109" si="41">$L$7-E104</f>
        <v>46261</v>
      </c>
      <c r="G104" s="36">
        <v>0</v>
      </c>
      <c r="H104" s="36"/>
      <c r="I104" s="36"/>
      <c r="J104" s="1294"/>
      <c r="K104" s="1258"/>
      <c r="L104" s="531">
        <f t="shared" si="39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6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1"/>
      <c r="B105" s="2094"/>
      <c r="C105" s="109" t="s">
        <v>1425</v>
      </c>
      <c r="D105" s="852" t="s">
        <v>10</v>
      </c>
      <c r="E105" s="853">
        <v>45974</v>
      </c>
      <c r="F105" s="73">
        <f t="shared" si="41"/>
        <v>287</v>
      </c>
      <c r="G105" s="36">
        <v>0</v>
      </c>
      <c r="H105" s="36"/>
      <c r="I105" s="36"/>
      <c r="J105" s="1294"/>
      <c r="K105" s="36"/>
      <c r="L105" s="531">
        <f t="shared" si="39"/>
        <v>0</v>
      </c>
      <c r="M105" s="40"/>
      <c r="N105" s="84"/>
      <c r="O105" s="40"/>
      <c r="P105" s="756"/>
      <c r="Q105" s="666" t="s">
        <v>1380</v>
      </c>
      <c r="R105" s="785">
        <f>IFERROR(VLOOKUP($Q105,'391'!$P:$W,8,0),0)</f>
        <v>548600</v>
      </c>
      <c r="U105" s="787"/>
      <c r="V105" s="787"/>
      <c r="W105" s="802">
        <f>IFERROR(VLOOKUP($Q105,'391'!$P:$AG,15,0),0)</f>
        <v>435796</v>
      </c>
      <c r="X105" s="799">
        <f t="shared" si="16"/>
        <v>-435796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1"/>
      <c r="B106" s="2094"/>
      <c r="C106" s="109" t="s">
        <v>1600</v>
      </c>
      <c r="D106" s="852" t="s">
        <v>10</v>
      </c>
      <c r="E106" s="853">
        <v>45974</v>
      </c>
      <c r="F106" s="73">
        <f t="shared" si="41"/>
        <v>287</v>
      </c>
      <c r="G106" s="36">
        <v>0</v>
      </c>
      <c r="H106" s="36"/>
      <c r="I106" s="36"/>
      <c r="J106" s="1294"/>
      <c r="K106" s="36"/>
      <c r="L106" s="531">
        <f t="shared" si="39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6"/>
        <v>0</v>
      </c>
      <c r="Y106" s="787"/>
      <c r="Z106" s="791"/>
      <c r="AA106" s="787"/>
      <c r="AB106" s="787"/>
      <c r="AC106" s="679"/>
    </row>
    <row r="107" spans="1:45" ht="30" customHeight="1" x14ac:dyDescent="0.25">
      <c r="A107" s="2081"/>
      <c r="B107" s="2094"/>
      <c r="C107" s="109">
        <v>202</v>
      </c>
      <c r="D107" s="852" t="s">
        <v>10</v>
      </c>
      <c r="E107" s="853">
        <v>46241</v>
      </c>
      <c r="F107" s="73">
        <f t="shared" si="41"/>
        <v>20</v>
      </c>
      <c r="G107" s="36">
        <v>446398</v>
      </c>
      <c r="H107" s="1258">
        <v>117130</v>
      </c>
      <c r="I107" s="36"/>
      <c r="J107" s="1294"/>
      <c r="K107" s="1258">
        <v>120000</v>
      </c>
      <c r="L107" s="531">
        <f t="shared" si="39"/>
        <v>443528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6"/>
        <v>446398</v>
      </c>
      <c r="Y107" s="787"/>
      <c r="Z107" s="791"/>
      <c r="AA107" s="787"/>
      <c r="AB107" s="787"/>
      <c r="AC107" s="679"/>
    </row>
    <row r="108" spans="1:45" ht="30" hidden="1" customHeight="1" x14ac:dyDescent="0.25">
      <c r="A108" s="2081"/>
      <c r="B108" s="2094"/>
      <c r="C108" s="109"/>
      <c r="D108" s="852" t="s">
        <v>10</v>
      </c>
      <c r="E108" s="853"/>
      <c r="F108" s="73"/>
      <c r="G108" s="36">
        <v>0</v>
      </c>
      <c r="H108" s="1258"/>
      <c r="I108" s="36"/>
      <c r="J108" s="1294"/>
      <c r="K108" s="1258"/>
      <c r="L108" s="531">
        <f t="shared" si="39"/>
        <v>0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6"/>
        <v>0</v>
      </c>
      <c r="Y108" s="787"/>
      <c r="Z108" s="791"/>
      <c r="AA108" s="787"/>
      <c r="AB108" s="787"/>
      <c r="AC108" s="679"/>
    </row>
    <row r="109" spans="1:45" ht="30" customHeight="1" x14ac:dyDescent="0.25">
      <c r="A109" s="2081"/>
      <c r="B109" s="2094"/>
      <c r="C109" s="109" t="s">
        <v>1605</v>
      </c>
      <c r="D109" s="863" t="s">
        <v>10</v>
      </c>
      <c r="E109" s="853">
        <v>46241</v>
      </c>
      <c r="F109" s="73">
        <f t="shared" si="41"/>
        <v>20</v>
      </c>
      <c r="G109" s="28">
        <v>38035</v>
      </c>
      <c r="H109" s="28"/>
      <c r="I109" s="28">
        <f>+SUM(K103:K108)-I107-I108-I105-I106</f>
        <v>120000</v>
      </c>
      <c r="J109" s="1295">
        <f>usage!I12</f>
        <v>108865</v>
      </c>
      <c r="K109" s="28"/>
      <c r="L109" s="531">
        <f t="shared" si="39"/>
        <v>49170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6"/>
        <v>38035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67"/>
      <c r="B110" s="2094"/>
      <c r="C110" s="2136" t="s">
        <v>230</v>
      </c>
      <c r="D110" s="2133"/>
      <c r="E110" s="2133"/>
      <c r="F110" s="2133"/>
      <c r="G110" s="1301">
        <v>484433</v>
      </c>
      <c r="H110" s="1301">
        <f t="shared" ref="H110:K110" si="42">SUM(H103:H109)</f>
        <v>117130</v>
      </c>
      <c r="I110" s="1301">
        <f t="shared" si="42"/>
        <v>120000</v>
      </c>
      <c r="J110" s="1301">
        <f t="shared" si="42"/>
        <v>108865</v>
      </c>
      <c r="K110" s="1301">
        <f t="shared" si="42"/>
        <v>120000</v>
      </c>
      <c r="L110" s="531">
        <f t="shared" si="39"/>
        <v>492698</v>
      </c>
      <c r="M110" s="168">
        <f>+M111-M102</f>
        <v>91433.333333333328</v>
      </c>
      <c r="N110" s="868">
        <f>IFERROR((L110/M110),0)</f>
        <v>5.3886037185563254</v>
      </c>
      <c r="O110" s="168">
        <f>O111-O102</f>
        <v>107624.00000000001</v>
      </c>
      <c r="P110" s="868">
        <f>IFERROR(L110/O110,0)</f>
        <v>4.5779565896082648</v>
      </c>
      <c r="Q110" s="795"/>
      <c r="U110" s="787"/>
      <c r="V110" s="787"/>
      <c r="W110" s="802">
        <f>IFERROR(VLOOKUP($Q110,'391'!$P:$AG,15,0),0)</f>
        <v>0</v>
      </c>
      <c r="X110" s="799">
        <f t="shared" si="16"/>
        <v>484433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2" t="s">
        <v>103</v>
      </c>
      <c r="B111" s="2023"/>
      <c r="C111" s="88"/>
      <c r="D111" s="864"/>
      <c r="E111" s="864"/>
      <c r="F111" s="865"/>
      <c r="G111" s="1296">
        <v>484433</v>
      </c>
      <c r="H111" s="1296">
        <f t="shared" ref="H111:K111" si="43">+H110+H102</f>
        <v>117130</v>
      </c>
      <c r="I111" s="1296">
        <f t="shared" si="43"/>
        <v>120000</v>
      </c>
      <c r="J111" s="1296">
        <f t="shared" si="43"/>
        <v>108865</v>
      </c>
      <c r="K111" s="1296">
        <f t="shared" si="43"/>
        <v>120000</v>
      </c>
      <c r="L111" s="1296">
        <f>SUM(L107:L109)</f>
        <v>492698</v>
      </c>
      <c r="M111" s="59">
        <f>IFERROR(S111/$S$2,"")</f>
        <v>91433.333333333328</v>
      </c>
      <c r="N111" s="1185">
        <f>+(L111/M111)</f>
        <v>5.3886037185563254</v>
      </c>
      <c r="O111" s="59">
        <f>IFERROR(SUMIF(ETM!$A:$A,$Q111,ETM!$E:$E),"")+O102</f>
        <v>107624.00000000001</v>
      </c>
      <c r="P111" s="1186">
        <f>+(L111/O111)</f>
        <v>4.5779565896082648</v>
      </c>
      <c r="Q111" s="795" t="s">
        <v>234</v>
      </c>
      <c r="R111" s="785">
        <f>IFERROR(VLOOKUP($Q111,'391'!$P:$W,8,0),0)</f>
        <v>0</v>
      </c>
      <c r="S111" s="800">
        <f>+R111+R109+R105</f>
        <v>548600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48637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0">
        <f>IF(L119=0,"",MAX($A$16:A111)+1)</f>
        <v>4</v>
      </c>
      <c r="B112" s="2046" t="s">
        <v>85</v>
      </c>
      <c r="C112" s="106"/>
      <c r="D112" s="33" t="s">
        <v>10</v>
      </c>
      <c r="E112" s="853">
        <v>46058</v>
      </c>
      <c r="F112" s="42">
        <f t="shared" ref="F112:F118" si="44">$L$7-E112</f>
        <v>203</v>
      </c>
      <c r="G112" s="302">
        <v>0</v>
      </c>
      <c r="H112" s="296"/>
      <c r="I112" s="296"/>
      <c r="J112" s="1298"/>
      <c r="K112" s="296"/>
      <c r="L112" s="531">
        <f t="shared" ref="L112:L134" si="45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6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1"/>
      <c r="B113" s="2068"/>
      <c r="C113" s="106" t="s">
        <v>1600</v>
      </c>
      <c r="D113" s="33" t="s">
        <v>10</v>
      </c>
      <c r="E113" s="853">
        <v>46128</v>
      </c>
      <c r="F113" s="42">
        <f t="shared" si="44"/>
        <v>133</v>
      </c>
      <c r="G113" s="302">
        <v>0</v>
      </c>
      <c r="H113" s="296"/>
      <c r="I113" s="296"/>
      <c r="J113" s="1298"/>
      <c r="K113" s="296"/>
      <c r="L113" s="531">
        <f t="shared" si="45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6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1"/>
      <c r="B114" s="2068"/>
      <c r="C114" s="106" t="s">
        <v>1421</v>
      </c>
      <c r="D114" s="33" t="s">
        <v>10</v>
      </c>
      <c r="E114" s="851">
        <v>46249</v>
      </c>
      <c r="F114" s="41">
        <f t="shared" si="44"/>
        <v>12</v>
      </c>
      <c r="G114" s="30">
        <v>81380</v>
      </c>
      <c r="H114" s="308"/>
      <c r="I114" s="308"/>
      <c r="J114" s="1302"/>
      <c r="K114" s="308">
        <v>9000</v>
      </c>
      <c r="L114" s="531">
        <f t="shared" si="45"/>
        <v>72380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6"/>
        <v>81380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1"/>
      <c r="B115" s="2068"/>
      <c r="C115" s="106"/>
      <c r="D115" s="33" t="s">
        <v>10</v>
      </c>
      <c r="E115" s="34">
        <v>46168</v>
      </c>
      <c r="F115" s="54">
        <f t="shared" si="44"/>
        <v>93</v>
      </c>
      <c r="G115" s="302">
        <v>0</v>
      </c>
      <c r="H115" s="296"/>
      <c r="I115" s="296"/>
      <c r="J115" s="1298"/>
      <c r="K115" s="296"/>
      <c r="L115" s="531">
        <f t="shared" si="45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6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1"/>
      <c r="B116" s="2068"/>
      <c r="C116" s="109"/>
      <c r="D116" s="850" t="s">
        <v>10</v>
      </c>
      <c r="E116" s="851">
        <v>45154</v>
      </c>
      <c r="F116" s="73">
        <f t="shared" si="44"/>
        <v>1107</v>
      </c>
      <c r="G116" s="302">
        <v>0</v>
      </c>
      <c r="H116" s="296"/>
      <c r="I116" s="296"/>
      <c r="J116" s="1298"/>
      <c r="K116" s="296"/>
      <c r="L116" s="531">
        <f t="shared" si="45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6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1"/>
      <c r="B117" s="2068"/>
      <c r="C117" s="109"/>
      <c r="D117" s="850" t="s">
        <v>10</v>
      </c>
      <c r="E117" s="851">
        <v>45122</v>
      </c>
      <c r="F117" s="73">
        <f t="shared" si="44"/>
        <v>1139</v>
      </c>
      <c r="G117" s="302">
        <v>0</v>
      </c>
      <c r="H117" s="296"/>
      <c r="I117" s="296"/>
      <c r="J117" s="1298"/>
      <c r="K117" s="296"/>
      <c r="L117" s="531">
        <f t="shared" si="45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6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1"/>
      <c r="B118" s="2068"/>
      <c r="C118" s="109" t="s">
        <v>1823</v>
      </c>
      <c r="D118" s="850" t="s">
        <v>10</v>
      </c>
      <c r="E118" s="851">
        <v>46249</v>
      </c>
      <c r="F118" s="41">
        <f t="shared" si="44"/>
        <v>12</v>
      </c>
      <c r="G118" s="55">
        <v>21007</v>
      </c>
      <c r="H118" s="36"/>
      <c r="I118" s="36">
        <f>K116+K117+K112+K113+K115+K114</f>
        <v>9000</v>
      </c>
      <c r="J118" s="1294">
        <f>+usage!I14</f>
        <v>15014</v>
      </c>
      <c r="K118" s="36"/>
      <c r="L118" s="531">
        <f t="shared" si="45"/>
        <v>14993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6"/>
        <v>21007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2" t="s">
        <v>104</v>
      </c>
      <c r="B119" s="2023"/>
      <c r="C119" s="88"/>
      <c r="D119" s="864"/>
      <c r="E119" s="864"/>
      <c r="F119" s="865"/>
      <c r="G119" s="1296">
        <v>102387</v>
      </c>
      <c r="H119" s="1296">
        <f t="shared" ref="H119:L119" si="47">+SUM(H112:H118)</f>
        <v>0</v>
      </c>
      <c r="I119" s="1296">
        <f t="shared" si="47"/>
        <v>9000</v>
      </c>
      <c r="J119" s="1296">
        <f t="shared" si="47"/>
        <v>15014</v>
      </c>
      <c r="K119" s="1296">
        <f t="shared" si="47"/>
        <v>9000</v>
      </c>
      <c r="L119" s="1296">
        <f t="shared" si="47"/>
        <v>87373</v>
      </c>
      <c r="M119" s="59">
        <f>IFERROR((R119/$S$2),"")</f>
        <v>15409.833333333334</v>
      </c>
      <c r="N119" s="1187">
        <f>IFERROR(L119/M119,0)</f>
        <v>5.6699510053104616</v>
      </c>
      <c r="O119" s="59">
        <f>IFERROR(SUMIF(ETM!$A:$A,$Q119,ETM!$E:$E),"")</f>
        <v>22180.000000000004</v>
      </c>
      <c r="P119" s="1188">
        <f>IFERROR(L119/O119,0)</f>
        <v>3.9392696122632995</v>
      </c>
      <c r="Q119" s="795" t="s">
        <v>815</v>
      </c>
      <c r="R119" s="785">
        <f>IFERROR(VLOOKUP($Q119,'391'!$P:$W,8,0),"")</f>
        <v>92459</v>
      </c>
      <c r="S119" s="807"/>
      <c r="T119" s="797"/>
      <c r="U119" s="797"/>
      <c r="V119" s="797"/>
      <c r="W119" s="802">
        <f>IFERROR(VLOOKUP($Q119,'391'!$P:$AG,15,0),0)</f>
        <v>97267</v>
      </c>
      <c r="X119" s="799">
        <f t="shared" si="46"/>
        <v>5120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66" t="str">
        <f>IF(L124=0,"",MAX($A$16:A119)+1)</f>
        <v/>
      </c>
      <c r="B120" s="2102" t="s">
        <v>1174</v>
      </c>
      <c r="C120" s="109"/>
      <c r="D120" s="850" t="s">
        <v>10</v>
      </c>
      <c r="E120" s="851">
        <v>44891</v>
      </c>
      <c r="F120" s="73">
        <f>$L$7-E120</f>
        <v>1370</v>
      </c>
      <c r="G120" s="302">
        <v>0</v>
      </c>
      <c r="H120" s="311"/>
      <c r="I120" s="311"/>
      <c r="J120" s="1303"/>
      <c r="K120" s="302"/>
      <c r="L120" s="531">
        <f t="shared" si="45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6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1"/>
      <c r="B121" s="2103"/>
      <c r="C121" s="109"/>
      <c r="D121" s="850" t="s">
        <v>10</v>
      </c>
      <c r="E121" s="851">
        <v>44686</v>
      </c>
      <c r="F121" s="73">
        <f>$L$7-E121</f>
        <v>1575</v>
      </c>
      <c r="G121" s="302">
        <v>0</v>
      </c>
      <c r="H121" s="296"/>
      <c r="I121" s="36"/>
      <c r="J121" s="1303"/>
      <c r="K121" s="302"/>
      <c r="L121" s="531">
        <f t="shared" si="45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6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1"/>
      <c r="B122" s="2103"/>
      <c r="C122" s="109" t="s">
        <v>1227</v>
      </c>
      <c r="D122" s="850" t="s">
        <v>10</v>
      </c>
      <c r="E122" s="851">
        <v>44891</v>
      </c>
      <c r="F122" s="73">
        <f>$L$7-E122</f>
        <v>1370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5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6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67"/>
      <c r="B123" s="2103"/>
      <c r="C123" s="109"/>
      <c r="D123" s="850" t="s">
        <v>10</v>
      </c>
      <c r="E123" s="851">
        <v>44208</v>
      </c>
      <c r="F123" s="41">
        <f>$L$7-E123</f>
        <v>2053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5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6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2" t="s">
        <v>621</v>
      </c>
      <c r="B124" s="2023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8">+SUM(I120:I123)</f>
        <v>0</v>
      </c>
      <c r="J124" s="1296">
        <f t="shared" si="48"/>
        <v>0</v>
      </c>
      <c r="K124" s="1296">
        <f t="shared" si="48"/>
        <v>0</v>
      </c>
      <c r="L124" s="531">
        <f t="shared" si="45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6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66">
        <f>IF(L135=0,"",MAX($A$16:A124)+1)</f>
        <v>5</v>
      </c>
      <c r="B125" s="2068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9">$L$7-E125</f>
        <v>1996</v>
      </c>
      <c r="G125" s="300">
        <v>0</v>
      </c>
      <c r="H125" s="306"/>
      <c r="I125" s="306"/>
      <c r="J125" s="1305"/>
      <c r="K125" s="306"/>
      <c r="L125" s="531">
        <f t="shared" si="45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6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1"/>
      <c r="B126" s="2068"/>
      <c r="C126" s="158" t="s">
        <v>613</v>
      </c>
      <c r="D126" s="866" t="s">
        <v>10</v>
      </c>
      <c r="E126" s="867">
        <v>44265</v>
      </c>
      <c r="F126" s="358">
        <f t="shared" si="49"/>
        <v>1996</v>
      </c>
      <c r="G126" s="300">
        <v>0</v>
      </c>
      <c r="H126" s="306"/>
      <c r="I126" s="306"/>
      <c r="J126" s="1305"/>
      <c r="K126" s="306"/>
      <c r="L126" s="531">
        <f t="shared" si="45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6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1"/>
      <c r="B127" s="2068"/>
      <c r="C127" s="158" t="s">
        <v>491</v>
      </c>
      <c r="D127" s="866" t="s">
        <v>10</v>
      </c>
      <c r="E127" s="867">
        <v>43998</v>
      </c>
      <c r="F127" s="358">
        <f t="shared" si="49"/>
        <v>2263</v>
      </c>
      <c r="G127" s="300">
        <v>0</v>
      </c>
      <c r="H127" s="306"/>
      <c r="I127" s="306"/>
      <c r="J127" s="1305"/>
      <c r="K127" s="312"/>
      <c r="L127" s="531">
        <f t="shared" si="45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6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1"/>
      <c r="B128" s="2068"/>
      <c r="C128" s="158" t="s">
        <v>506</v>
      </c>
      <c r="D128" s="866" t="s">
        <v>10</v>
      </c>
      <c r="E128" s="867">
        <v>43847</v>
      </c>
      <c r="F128" s="358">
        <f t="shared" si="49"/>
        <v>2414</v>
      </c>
      <c r="G128" s="300">
        <v>0</v>
      </c>
      <c r="H128" s="306"/>
      <c r="I128" s="306"/>
      <c r="J128" s="1305"/>
      <c r="K128" s="312"/>
      <c r="L128" s="531">
        <f t="shared" si="45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6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1"/>
      <c r="B129" s="2068"/>
      <c r="C129" s="109" t="s">
        <v>489</v>
      </c>
      <c r="D129" s="852" t="s">
        <v>10</v>
      </c>
      <c r="E129" s="853">
        <v>46146</v>
      </c>
      <c r="F129" s="877">
        <f t="shared" ref="F129" si="50">$L$7-E129</f>
        <v>115</v>
      </c>
      <c r="G129" s="36">
        <v>0</v>
      </c>
      <c r="H129" s="296"/>
      <c r="I129" s="296"/>
      <c r="J129" s="1307"/>
      <c r="K129" s="919"/>
      <c r="L129" s="531">
        <f t="shared" si="45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6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1"/>
      <c r="B130" s="2068"/>
      <c r="C130" s="109"/>
      <c r="D130" s="852" t="s">
        <v>10</v>
      </c>
      <c r="E130" s="853">
        <v>46213</v>
      </c>
      <c r="F130" s="877">
        <f t="shared" si="49"/>
        <v>48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6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customHeight="1" x14ac:dyDescent="0.25">
      <c r="A131" s="2081"/>
      <c r="B131" s="2072"/>
      <c r="C131" s="106" t="s">
        <v>492</v>
      </c>
      <c r="D131" s="852" t="s">
        <v>10</v>
      </c>
      <c r="E131" s="853">
        <v>46212</v>
      </c>
      <c r="F131" s="877">
        <f t="shared" ref="F131" si="51">$L$7-E131</f>
        <v>49</v>
      </c>
      <c r="G131" s="302">
        <v>19580</v>
      </c>
      <c r="H131" s="296"/>
      <c r="I131" s="1282"/>
      <c r="J131" s="1282"/>
      <c r="K131" s="1282"/>
      <c r="L131" s="531">
        <f>+G131+H131+I131-J131-K131</f>
        <v>19580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1"/>
      <c r="B132" s="2072"/>
      <c r="C132" s="109" t="s">
        <v>347</v>
      </c>
      <c r="D132" s="852" t="s">
        <v>10</v>
      </c>
      <c r="E132" s="853">
        <v>46240</v>
      </c>
      <c r="F132" s="877">
        <f t="shared" ref="F132" si="52">$L$7-E132</f>
        <v>21</v>
      </c>
      <c r="G132" s="36">
        <v>60470</v>
      </c>
      <c r="H132" s="36"/>
      <c r="I132" s="1282"/>
      <c r="J132" s="1282"/>
      <c r="K132" s="1282">
        <v>4000</v>
      </c>
      <c r="L132" s="531">
        <f t="shared" si="45"/>
        <v>56470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1"/>
      <c r="B133" s="2072"/>
      <c r="C133" s="109" t="s">
        <v>489</v>
      </c>
      <c r="D133" s="852" t="s">
        <v>10</v>
      </c>
      <c r="E133" s="853">
        <v>46134</v>
      </c>
      <c r="F133" s="877">
        <f t="shared" ref="F133" si="53">$L$7-E133</f>
        <v>127</v>
      </c>
      <c r="G133" s="36">
        <v>0</v>
      </c>
      <c r="H133" s="36"/>
      <c r="I133" s="1282"/>
      <c r="J133" s="1282"/>
      <c r="K133" s="1282"/>
      <c r="L133" s="531">
        <f t="shared" ref="L133" si="54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1"/>
      <c r="B134" s="2047"/>
      <c r="C134" s="109" t="s">
        <v>600</v>
      </c>
      <c r="D134" s="850" t="s">
        <v>10</v>
      </c>
      <c r="E134" s="851">
        <v>46240</v>
      </c>
      <c r="F134" s="73">
        <f>$L$7-E134</f>
        <v>21</v>
      </c>
      <c r="G134" s="36">
        <v>3999</v>
      </c>
      <c r="H134" s="36"/>
      <c r="I134" s="28">
        <f>SUM(K129:K132)</f>
        <v>4000</v>
      </c>
      <c r="J134" s="36">
        <f>+usage!I15</f>
        <v>4518</v>
      </c>
      <c r="K134" s="36"/>
      <c r="L134" s="531">
        <f t="shared" si="45"/>
        <v>3481</v>
      </c>
      <c r="M134" s="35"/>
      <c r="N134" s="87"/>
      <c r="O134" s="35"/>
      <c r="P134" s="740"/>
      <c r="Q134" s="666" t="s">
        <v>1438</v>
      </c>
      <c r="R134" s="785">
        <f>IFERROR(VLOOKUP($Q134,'391'!$P:$W,8,0),"0")</f>
        <v>0</v>
      </c>
      <c r="S134" s="796"/>
      <c r="T134" s="797"/>
      <c r="U134" s="797"/>
      <c r="V134" s="797"/>
      <c r="W134" s="802">
        <f>IFERROR(VLOOKUP($Q134,'391'!$P:$AG,15,0),0)</f>
        <v>75750</v>
      </c>
      <c r="X134" s="799">
        <f>G134-W134</f>
        <v>-71751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2" t="s">
        <v>1439</v>
      </c>
      <c r="B135" s="2023"/>
      <c r="C135" s="88"/>
      <c r="D135" s="864"/>
      <c r="E135" s="864"/>
      <c r="F135" s="865"/>
      <c r="G135" s="1296">
        <v>84049</v>
      </c>
      <c r="H135" s="1296">
        <f>SUM(H125:H134)</f>
        <v>0</v>
      </c>
      <c r="I135" s="1296">
        <f>SUM(I125:I134)</f>
        <v>4000</v>
      </c>
      <c r="J135" s="1296">
        <f>SUM(J125:J134)</f>
        <v>4518</v>
      </c>
      <c r="K135" s="1296">
        <f>SUM(K125:K134)</f>
        <v>4000</v>
      </c>
      <c r="L135" s="1296">
        <f>SUM(L125:L134)</f>
        <v>79531</v>
      </c>
      <c r="M135" s="59">
        <f>IFERROR((S135/$S$2),"")</f>
        <v>2780.8333333333335</v>
      </c>
      <c r="N135" s="854">
        <f>(L135/M135)</f>
        <v>28.599700329637397</v>
      </c>
      <c r="O135" s="59">
        <f>IFERROR(SUMIF(ETM!$A:$A,$Q135,ETM!$E:$E),"")</f>
        <v>2449.9999999999995</v>
      </c>
      <c r="P135" s="880">
        <f>(L135/O135)</f>
        <v>32.46163265306123</v>
      </c>
      <c r="Q135" s="795" t="s">
        <v>818</v>
      </c>
      <c r="R135" s="785">
        <f>IFERROR(VLOOKUP($Q135,'391'!$P:$W,8,0),"0")</f>
        <v>16685</v>
      </c>
      <c r="S135" s="796">
        <f>+R134+R135</f>
        <v>16685</v>
      </c>
      <c r="T135" s="797"/>
      <c r="U135" s="797"/>
      <c r="V135" s="797"/>
      <c r="W135" s="802">
        <f>IFERROR(VLOOKUP($Q135,'391'!$P:$AG,15,0),0)</f>
        <v>17286</v>
      </c>
      <c r="X135" s="799">
        <f>G135-W135-W134</f>
        <v>-8987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76" t="str">
        <f>IF(L139=0,"",MAX($A$12:A135)+1)</f>
        <v/>
      </c>
      <c r="B136" s="2046" t="s">
        <v>480</v>
      </c>
      <c r="C136" s="106"/>
      <c r="D136" s="852" t="s">
        <v>10</v>
      </c>
      <c r="E136" s="853">
        <v>44670</v>
      </c>
      <c r="F136" s="877">
        <f>$L$7-E136</f>
        <v>1591</v>
      </c>
      <c r="G136" s="302">
        <v>0</v>
      </c>
      <c r="H136" s="36"/>
      <c r="I136" s="306"/>
      <c r="J136" s="1305"/>
      <c r="K136" s="306"/>
      <c r="L136" s="531">
        <f t="shared" ref="L136:L159" si="55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6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3"/>
      <c r="B137" s="2068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5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6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77"/>
      <c r="B138" s="2068"/>
      <c r="C138" s="106" t="s">
        <v>924</v>
      </c>
      <c r="D138" s="852" t="s">
        <v>10</v>
      </c>
      <c r="E138" s="853">
        <v>44670</v>
      </c>
      <c r="F138" s="856">
        <f>$L$7-E138</f>
        <v>1591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5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6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2" t="s">
        <v>482</v>
      </c>
      <c r="B139" s="2023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7">+SUM(I136:I138)</f>
        <v>0</v>
      </c>
      <c r="J139" s="1296">
        <f t="shared" si="57"/>
        <v>0</v>
      </c>
      <c r="K139" s="1296">
        <f t="shared" si="57"/>
        <v>0</v>
      </c>
      <c r="L139" s="531">
        <f t="shared" si="55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6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1">
        <f>IF(L161=0,"", MAX($A$12:A139)+1)</f>
        <v>6</v>
      </c>
      <c r="B140" s="2094" t="s">
        <v>1680</v>
      </c>
      <c r="C140" s="106" t="s">
        <v>469</v>
      </c>
      <c r="D140" s="852" t="s">
        <v>10</v>
      </c>
      <c r="E140" s="853">
        <v>46089</v>
      </c>
      <c r="F140" s="292">
        <f t="shared" ref="F140:F153" si="58">$L$7-E140</f>
        <v>172</v>
      </c>
      <c r="G140" s="315">
        <v>0</v>
      </c>
      <c r="H140" s="296"/>
      <c r="I140" s="345"/>
      <c r="J140" s="1309"/>
      <c r="K140" s="345"/>
      <c r="L140" s="531">
        <f t="shared" si="55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6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1"/>
      <c r="B141" s="2094"/>
      <c r="C141" s="106" t="s">
        <v>444</v>
      </c>
      <c r="D141" s="852" t="s">
        <v>10</v>
      </c>
      <c r="E141" s="853">
        <v>45705</v>
      </c>
      <c r="F141" s="292">
        <f t="shared" si="58"/>
        <v>556</v>
      </c>
      <c r="G141" s="315">
        <v>0</v>
      </c>
      <c r="H141" s="296"/>
      <c r="I141" s="296"/>
      <c r="J141" s="1310"/>
      <c r="K141" s="315"/>
      <c r="L141" s="531">
        <f t="shared" si="55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6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customHeight="1" x14ac:dyDescent="0.25">
      <c r="A142" s="2081"/>
      <c r="B142" s="2094"/>
      <c r="C142" s="106" t="s">
        <v>479</v>
      </c>
      <c r="D142" s="852" t="s">
        <v>10</v>
      </c>
      <c r="E142" s="853">
        <v>46255</v>
      </c>
      <c r="F142" s="292">
        <f t="shared" si="58"/>
        <v>6</v>
      </c>
      <c r="G142" s="315">
        <v>280000</v>
      </c>
      <c r="H142" s="315"/>
      <c r="I142" s="315"/>
      <c r="J142" s="1298"/>
      <c r="K142" s="296"/>
      <c r="L142" s="531">
        <f t="shared" si="55"/>
        <v>280000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6"/>
        <v>280000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customHeight="1" x14ac:dyDescent="0.25">
      <c r="A143" s="2081"/>
      <c r="B143" s="2132"/>
      <c r="C143" s="106" t="s">
        <v>478</v>
      </c>
      <c r="D143" s="852" t="s">
        <v>10</v>
      </c>
      <c r="E143" s="853">
        <v>46256</v>
      </c>
      <c r="F143" s="292">
        <f t="shared" si="58"/>
        <v>5</v>
      </c>
      <c r="G143" s="315">
        <v>280000</v>
      </c>
      <c r="H143" s="315"/>
      <c r="I143" s="315"/>
      <c r="J143" s="1310"/>
      <c r="K143" s="315"/>
      <c r="L143" s="531">
        <f t="shared" si="55"/>
        <v>280000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6"/>
        <v>280000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customHeight="1" x14ac:dyDescent="0.25">
      <c r="A144" s="2081"/>
      <c r="B144" s="2132"/>
      <c r="C144" s="106" t="s">
        <v>477</v>
      </c>
      <c r="D144" s="852" t="s">
        <v>10</v>
      </c>
      <c r="E144" s="853">
        <v>46255</v>
      </c>
      <c r="F144" s="292">
        <f t="shared" ref="F144:F145" si="59">$L$7-E144</f>
        <v>6</v>
      </c>
      <c r="G144" s="315">
        <v>280000</v>
      </c>
      <c r="H144" s="296"/>
      <c r="I144" s="296"/>
      <c r="J144" s="1310"/>
      <c r="K144" s="315"/>
      <c r="L144" s="531">
        <f t="shared" si="55"/>
        <v>280000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6"/>
        <v>280000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customHeight="1" x14ac:dyDescent="0.25">
      <c r="A145" s="2081"/>
      <c r="B145" s="2132"/>
      <c r="C145" s="106" t="s">
        <v>476</v>
      </c>
      <c r="D145" s="852" t="s">
        <v>10</v>
      </c>
      <c r="E145" s="853">
        <v>46256</v>
      </c>
      <c r="F145" s="292">
        <f t="shared" si="59"/>
        <v>5</v>
      </c>
      <c r="G145" s="315">
        <v>280000</v>
      </c>
      <c r="H145" s="296"/>
      <c r="I145" s="296"/>
      <c r="J145" s="1310"/>
      <c r="K145" s="315">
        <v>120000</v>
      </c>
      <c r="L145" s="531">
        <f t="shared" si="55"/>
        <v>160000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6"/>
        <v>280000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1"/>
      <c r="B146" s="2132"/>
      <c r="C146" s="106" t="s">
        <v>959</v>
      </c>
      <c r="D146" s="852" t="s">
        <v>10</v>
      </c>
      <c r="E146" s="853">
        <v>46228</v>
      </c>
      <c r="F146" s="292">
        <f t="shared" si="58"/>
        <v>33</v>
      </c>
      <c r="G146" s="315">
        <v>1168130</v>
      </c>
      <c r="H146" s="315"/>
      <c r="I146" s="315"/>
      <c r="J146" s="1310"/>
      <c r="K146" s="315"/>
      <c r="L146" s="531">
        <f t="shared" si="55"/>
        <v>1168130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6"/>
        <v>1168130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81"/>
      <c r="B147" s="2132"/>
      <c r="C147" s="106" t="s">
        <v>489</v>
      </c>
      <c r="D147" s="852" t="s">
        <v>10</v>
      </c>
      <c r="E147" s="853">
        <v>46253</v>
      </c>
      <c r="F147" s="292">
        <f t="shared" si="58"/>
        <v>8</v>
      </c>
      <c r="G147" s="315">
        <v>151560</v>
      </c>
      <c r="H147" s="296"/>
      <c r="I147" s="296">
        <v>120000</v>
      </c>
      <c r="J147" s="1310"/>
      <c r="K147" s="315">
        <v>45000</v>
      </c>
      <c r="L147" s="531">
        <f t="shared" si="55"/>
        <v>226560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6"/>
        <v>151560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1"/>
      <c r="B148" s="2094"/>
      <c r="C148" s="106" t="s">
        <v>479</v>
      </c>
      <c r="D148" s="852" t="s">
        <v>10</v>
      </c>
      <c r="E148" s="853">
        <v>46094</v>
      </c>
      <c r="F148" s="292">
        <f t="shared" ref="F148:F150" si="60">$L$7-E148</f>
        <v>167</v>
      </c>
      <c r="G148" s="315">
        <v>0</v>
      </c>
      <c r="H148" s="296"/>
      <c r="I148" s="296"/>
      <c r="J148" s="1310"/>
      <c r="K148" s="315"/>
      <c r="L148" s="531">
        <f t="shared" si="55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6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1"/>
      <c r="B149" s="2095"/>
      <c r="C149" s="106" t="s">
        <v>478</v>
      </c>
      <c r="D149" s="852" t="s">
        <v>10</v>
      </c>
      <c r="E149" s="853">
        <v>46147</v>
      </c>
      <c r="F149" s="292">
        <f t="shared" si="60"/>
        <v>114</v>
      </c>
      <c r="G149" s="315">
        <v>0</v>
      </c>
      <c r="H149" s="296"/>
      <c r="I149" s="296"/>
      <c r="J149" s="1310"/>
      <c r="K149" s="315"/>
      <c r="L149" s="531">
        <f t="shared" si="55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6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1"/>
      <c r="B150" s="2095"/>
      <c r="C150" s="106" t="s">
        <v>466</v>
      </c>
      <c r="D150" s="852" t="s">
        <v>10</v>
      </c>
      <c r="E150" s="853">
        <v>46147</v>
      </c>
      <c r="F150" s="292">
        <f t="shared" si="60"/>
        <v>114</v>
      </c>
      <c r="G150" s="315">
        <v>0</v>
      </c>
      <c r="H150" s="296"/>
      <c r="I150" s="296"/>
      <c r="J150" s="1310"/>
      <c r="K150" s="315"/>
      <c r="L150" s="531">
        <f t="shared" si="55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6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1"/>
      <c r="B151" s="2132"/>
      <c r="C151" s="106" t="s">
        <v>477</v>
      </c>
      <c r="D151" s="852" t="s">
        <v>10</v>
      </c>
      <c r="E151" s="853">
        <v>46089</v>
      </c>
      <c r="F151" s="292">
        <f t="shared" ref="F151:F152" si="61">$L$7-E151</f>
        <v>172</v>
      </c>
      <c r="G151" s="315">
        <v>0</v>
      </c>
      <c r="H151" s="296"/>
      <c r="I151" s="296"/>
      <c r="J151" s="1310"/>
      <c r="K151" s="315"/>
      <c r="L151" s="531">
        <f t="shared" si="55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6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1"/>
      <c r="B152" s="2095"/>
      <c r="C152" s="106" t="s">
        <v>475</v>
      </c>
      <c r="D152" s="852" t="s">
        <v>10</v>
      </c>
      <c r="E152" s="853">
        <v>46155</v>
      </c>
      <c r="F152" s="292">
        <f t="shared" si="61"/>
        <v>106</v>
      </c>
      <c r="G152" s="315">
        <v>0</v>
      </c>
      <c r="H152" s="296"/>
      <c r="I152" s="296"/>
      <c r="J152" s="1310"/>
      <c r="K152" s="315"/>
      <c r="L152" s="531">
        <f t="shared" si="55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6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1"/>
      <c r="B153" s="2094"/>
      <c r="C153" s="849" t="s">
        <v>1854</v>
      </c>
      <c r="D153" s="884" t="s">
        <v>10</v>
      </c>
      <c r="E153" s="885">
        <v>46253</v>
      </c>
      <c r="F153" s="292">
        <f t="shared" si="58"/>
        <v>8</v>
      </c>
      <c r="G153" s="313">
        <v>36053</v>
      </c>
      <c r="H153" s="308"/>
      <c r="I153" s="308">
        <f>+K146+K147+K145-I146-120000</f>
        <v>45000</v>
      </c>
      <c r="J153" s="1302">
        <f>usage!I16</f>
        <v>52115</v>
      </c>
      <c r="K153" s="308"/>
      <c r="L153" s="531">
        <f t="shared" si="55"/>
        <v>28938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6"/>
        <v>36053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1"/>
      <c r="B154" s="2096"/>
      <c r="C154" s="2133" t="s">
        <v>907</v>
      </c>
      <c r="D154" s="2133"/>
      <c r="E154" s="2133"/>
      <c r="F154" s="2133"/>
      <c r="G154" s="1301">
        <v>2475743</v>
      </c>
      <c r="H154" s="1301">
        <f t="shared" ref="H154:L154" si="62">+SUM(H140:H153)</f>
        <v>0</v>
      </c>
      <c r="I154" s="1301">
        <f t="shared" si="62"/>
        <v>165000</v>
      </c>
      <c r="J154" s="1301">
        <f t="shared" si="62"/>
        <v>52115</v>
      </c>
      <c r="K154" s="1301">
        <f t="shared" si="62"/>
        <v>165000</v>
      </c>
      <c r="L154" s="1301">
        <f t="shared" si="62"/>
        <v>2423628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6"/>
        <v>2475743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1"/>
      <c r="B155" s="2068" t="s">
        <v>887</v>
      </c>
      <c r="C155" s="106"/>
      <c r="D155" s="852" t="s">
        <v>10</v>
      </c>
      <c r="E155" s="853">
        <v>43774</v>
      </c>
      <c r="F155" s="292">
        <f>$L$7-E155</f>
        <v>2487</v>
      </c>
      <c r="G155" s="315">
        <v>0</v>
      </c>
      <c r="H155" s="296"/>
      <c r="I155" s="296"/>
      <c r="J155" s="1310"/>
      <c r="K155" s="296"/>
      <c r="L155" s="531">
        <f t="shared" si="55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6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1"/>
      <c r="B156" s="2068"/>
      <c r="C156" s="106" t="s">
        <v>53</v>
      </c>
      <c r="D156" s="852" t="s">
        <v>10</v>
      </c>
      <c r="E156" s="853">
        <v>44158</v>
      </c>
      <c r="F156" s="292">
        <f>$L$7-E156</f>
        <v>2103</v>
      </c>
      <c r="G156" s="315">
        <v>0</v>
      </c>
      <c r="H156" s="296"/>
      <c r="I156" s="296"/>
      <c r="J156" s="1310"/>
      <c r="K156" s="296"/>
      <c r="L156" s="531">
        <f t="shared" si="55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6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1"/>
      <c r="B157" s="2123"/>
      <c r="C157" s="106" t="s">
        <v>920</v>
      </c>
      <c r="D157" s="852" t="s">
        <v>10</v>
      </c>
      <c r="E157" s="853">
        <v>44303</v>
      </c>
      <c r="F157" s="292">
        <f>$L$7-E157</f>
        <v>1958</v>
      </c>
      <c r="G157" s="315">
        <v>0</v>
      </c>
      <c r="H157" s="296"/>
      <c r="I157" s="296"/>
      <c r="J157" s="1310"/>
      <c r="K157" s="296"/>
      <c r="L157" s="531">
        <f t="shared" si="55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6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1"/>
      <c r="B158" s="2068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5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6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1"/>
      <c r="B159" s="2068"/>
      <c r="C159" s="849" t="s">
        <v>927</v>
      </c>
      <c r="D159" s="884" t="s">
        <v>10</v>
      </c>
      <c r="E159" s="885">
        <v>44158</v>
      </c>
      <c r="F159" s="292">
        <f>$L$7-E159</f>
        <v>2103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5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6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67"/>
      <c r="B160" s="2047"/>
      <c r="C160" s="2133" t="s">
        <v>908</v>
      </c>
      <c r="D160" s="2133"/>
      <c r="E160" s="2133"/>
      <c r="F160" s="2133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6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2" t="s">
        <v>1128</v>
      </c>
      <c r="B161" s="2023"/>
      <c r="C161" s="88"/>
      <c r="D161" s="864"/>
      <c r="E161" s="864"/>
      <c r="F161" s="865"/>
      <c r="G161" s="1296">
        <v>2475743</v>
      </c>
      <c r="H161" s="1296">
        <f>+H160+H154</f>
        <v>0</v>
      </c>
      <c r="I161" s="1296">
        <f>+I160+I154</f>
        <v>165000</v>
      </c>
      <c r="J161" s="1296">
        <f>+J160+J154</f>
        <v>52115</v>
      </c>
      <c r="K161" s="1296">
        <f>+K160+K154</f>
        <v>165000</v>
      </c>
      <c r="L161" s="1296">
        <f>+L160+L154</f>
        <v>2423628</v>
      </c>
      <c r="M161" s="59">
        <f>IFERROR((R161/$S$2),"")</f>
        <v>71267.833333333328</v>
      </c>
      <c r="N161" s="366">
        <f>(L161/M161)</f>
        <v>34.007319805335278</v>
      </c>
      <c r="O161" s="59">
        <f>IFERROR(SUMIF(ETM!$A:$A,$Q161,ETM!$E:$E),"")</f>
        <v>59878.333333333328</v>
      </c>
      <c r="P161" s="880">
        <f>(L161/O161)</f>
        <v>40.475876082055279</v>
      </c>
      <c r="Q161" s="809" t="s">
        <v>808</v>
      </c>
      <c r="R161" s="785">
        <f>IFERROR(VLOOKUP($Q161,'391'!$P:$W,8,0),"")</f>
        <v>427607</v>
      </c>
      <c r="S161" s="796"/>
      <c r="T161" s="797"/>
      <c r="U161" s="797"/>
      <c r="V161" s="797"/>
      <c r="W161" s="802">
        <f>IFERROR(VLOOKUP($Q161,'391'!$P:$AG,15,0),0)</f>
        <v>2589908</v>
      </c>
      <c r="X161" s="799">
        <f t="shared" si="56"/>
        <v>-114165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76">
        <f>IF(L168=0,"", MAX($A$16:A161)+1)</f>
        <v>7</v>
      </c>
      <c r="B162" s="2046" t="s">
        <v>193</v>
      </c>
      <c r="C162" s="106"/>
      <c r="D162" s="852" t="s">
        <v>10</v>
      </c>
      <c r="E162" s="853">
        <v>45887</v>
      </c>
      <c r="F162" s="856">
        <f t="shared" ref="F162:F167" si="63">$L$7-E162</f>
        <v>374</v>
      </c>
      <c r="G162" s="296">
        <v>0</v>
      </c>
      <c r="H162" s="296"/>
      <c r="I162" s="296"/>
      <c r="J162" s="1298"/>
      <c r="K162" s="296"/>
      <c r="L162" s="531">
        <f t="shared" ref="L162:L167" si="64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6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3"/>
      <c r="B163" s="2068"/>
      <c r="C163" s="106"/>
      <c r="D163" s="852" t="s">
        <v>10</v>
      </c>
      <c r="E163" s="853">
        <v>45878</v>
      </c>
      <c r="F163" s="856">
        <f t="shared" si="63"/>
        <v>383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6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3"/>
      <c r="B164" s="2072"/>
      <c r="C164" s="106" t="s">
        <v>1487</v>
      </c>
      <c r="D164" s="852" t="s">
        <v>10</v>
      </c>
      <c r="E164" s="853">
        <v>46211</v>
      </c>
      <c r="F164" s="856">
        <f t="shared" si="63"/>
        <v>50</v>
      </c>
      <c r="G164" s="296">
        <v>207330</v>
      </c>
      <c r="H164" s="296"/>
      <c r="I164" s="296"/>
      <c r="J164" s="1298"/>
      <c r="K164" s="296">
        <v>5000</v>
      </c>
      <c r="L164" s="531">
        <f>+G164+H164+I164-J164-K164</f>
        <v>202330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5">G164-W164</f>
        <v>207330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3"/>
      <c r="B165" s="2072"/>
      <c r="C165" s="106"/>
      <c r="D165" s="852" t="s">
        <v>10</v>
      </c>
      <c r="E165" s="853">
        <v>45975</v>
      </c>
      <c r="F165" s="856">
        <f t="shared" si="63"/>
        <v>286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6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3"/>
      <c r="B166" s="2068"/>
      <c r="C166" s="106" t="s">
        <v>492</v>
      </c>
      <c r="D166" s="852" t="s">
        <v>10</v>
      </c>
      <c r="E166" s="853">
        <v>45988</v>
      </c>
      <c r="F166" s="856">
        <f t="shared" si="63"/>
        <v>273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6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3"/>
      <c r="B167" s="2068"/>
      <c r="C167" s="106" t="s">
        <v>1855</v>
      </c>
      <c r="D167" s="852" t="s">
        <v>10</v>
      </c>
      <c r="E167" s="853">
        <v>46211</v>
      </c>
      <c r="F167" s="856">
        <f t="shared" si="63"/>
        <v>50</v>
      </c>
      <c r="G167" s="296">
        <v>1765</v>
      </c>
      <c r="H167" s="296"/>
      <c r="I167" s="296">
        <f>SUM(K162:K166)-I163</f>
        <v>5000</v>
      </c>
      <c r="J167" s="1298">
        <f>+usage!I17</f>
        <v>5633</v>
      </c>
      <c r="K167" s="36"/>
      <c r="L167" s="531">
        <f t="shared" si="64"/>
        <v>1132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6"/>
        <v>1765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2" t="s">
        <v>289</v>
      </c>
      <c r="B168" s="2023"/>
      <c r="C168" s="88"/>
      <c r="D168" s="864"/>
      <c r="E168" s="864"/>
      <c r="F168" s="865"/>
      <c r="G168" s="1296">
        <v>209095</v>
      </c>
      <c r="H168" s="1296">
        <f t="shared" ref="H168:L168" si="67">+SUM(H162:H167)</f>
        <v>0</v>
      </c>
      <c r="I168" s="1296">
        <f t="shared" si="67"/>
        <v>5000</v>
      </c>
      <c r="J168" s="1296">
        <f t="shared" si="67"/>
        <v>5633</v>
      </c>
      <c r="K168" s="1296">
        <f t="shared" si="67"/>
        <v>5000</v>
      </c>
      <c r="L168" s="1296">
        <f t="shared" si="67"/>
        <v>203462</v>
      </c>
      <c r="M168" s="59">
        <f>IFERROR((R168/$S$2),"")</f>
        <v>20989.833333333332</v>
      </c>
      <c r="N168" s="1185">
        <f>+(L168/M168)</f>
        <v>9.6933594835595009</v>
      </c>
      <c r="O168" s="59">
        <f>IFERROR(SUMIF(ETM!$A:$A,$Q168,ETM!$E:$E),"")</f>
        <v>22108.5</v>
      </c>
      <c r="P168" s="1186">
        <f>+(L168/O168)</f>
        <v>9.2028857679173175</v>
      </c>
      <c r="Q168" s="795" t="s">
        <v>813</v>
      </c>
      <c r="R168" s="785">
        <f>IFERROR(VLOOKUP($Q168,'391'!$P:$W,8,0),"")</f>
        <v>125939</v>
      </c>
      <c r="S168" s="796"/>
      <c r="T168" s="797"/>
      <c r="U168" s="797"/>
      <c r="V168" s="797"/>
      <c r="W168" s="802">
        <f>IFERROR(VLOOKUP($Q168,'391'!$P:$AG,15,0),0)</f>
        <v>134810</v>
      </c>
      <c r="X168" s="799">
        <f t="shared" si="66"/>
        <v>74285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76" t="str">
        <f>IF(L177=0,"", MAX($A$16:A168)+1)</f>
        <v/>
      </c>
      <c r="B169" s="2068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8">$L$7-E169</f>
        <v>3279</v>
      </c>
      <c r="G169" s="306">
        <v>0</v>
      </c>
      <c r="H169" s="1313"/>
      <c r="I169" s="1313"/>
      <c r="J169" s="1314"/>
      <c r="K169" s="1313"/>
      <c r="L169" s="531">
        <f t="shared" ref="L169:L183" si="69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6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3"/>
      <c r="B170" s="2068"/>
      <c r="C170" s="143" t="s">
        <v>326</v>
      </c>
      <c r="D170" s="881" t="s">
        <v>10</v>
      </c>
      <c r="E170" s="882">
        <v>42987</v>
      </c>
      <c r="F170" s="71">
        <f t="shared" si="68"/>
        <v>3274</v>
      </c>
      <c r="G170" s="306">
        <v>0</v>
      </c>
      <c r="H170" s="306"/>
      <c r="I170" s="306"/>
      <c r="J170" s="1298"/>
      <c r="K170" s="306"/>
      <c r="L170" s="531">
        <f t="shared" si="69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6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3"/>
      <c r="B171" s="2068"/>
      <c r="C171" s="143" t="s">
        <v>326</v>
      </c>
      <c r="D171" s="881" t="s">
        <v>10</v>
      </c>
      <c r="E171" s="882">
        <v>42885</v>
      </c>
      <c r="F171" s="71">
        <f t="shared" si="68"/>
        <v>3376</v>
      </c>
      <c r="G171" s="306">
        <v>0</v>
      </c>
      <c r="H171" s="306"/>
      <c r="I171" s="306"/>
      <c r="J171" s="1298"/>
      <c r="K171" s="306"/>
      <c r="L171" s="531">
        <f t="shared" si="69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6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3"/>
      <c r="B172" s="2068"/>
      <c r="C172" s="132"/>
      <c r="D172" s="850" t="s">
        <v>10</v>
      </c>
      <c r="E172" s="853">
        <v>44991</v>
      </c>
      <c r="F172" s="73">
        <f t="shared" si="68"/>
        <v>1270</v>
      </c>
      <c r="G172" s="296">
        <v>0</v>
      </c>
      <c r="H172" s="296"/>
      <c r="I172" s="1218"/>
      <c r="J172" s="1298"/>
      <c r="K172" s="296"/>
      <c r="L172" s="531">
        <f t="shared" si="69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6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3"/>
      <c r="B173" s="2068"/>
      <c r="C173" s="132"/>
      <c r="D173" s="850" t="s">
        <v>10</v>
      </c>
      <c r="E173" s="853">
        <v>44929</v>
      </c>
      <c r="F173" s="73">
        <f t="shared" si="68"/>
        <v>1332</v>
      </c>
      <c r="G173" s="296">
        <v>0</v>
      </c>
      <c r="H173" s="1257"/>
      <c r="I173" s="315"/>
      <c r="J173" s="1298"/>
      <c r="K173" s="296"/>
      <c r="L173" s="531">
        <f t="shared" si="69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6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3"/>
      <c r="B174" s="2068"/>
      <c r="C174" s="132"/>
      <c r="D174" s="850" t="s">
        <v>10</v>
      </c>
      <c r="E174" s="853">
        <v>44797</v>
      </c>
      <c r="F174" s="73">
        <f t="shared" si="68"/>
        <v>1464</v>
      </c>
      <c r="G174" s="296">
        <v>0</v>
      </c>
      <c r="H174" s="1257"/>
      <c r="I174" s="296"/>
      <c r="J174" s="1298"/>
      <c r="K174" s="296"/>
      <c r="L174" s="531">
        <f t="shared" si="69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6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3"/>
      <c r="B175" s="2068"/>
      <c r="C175" s="132"/>
      <c r="D175" s="850" t="s">
        <v>10</v>
      </c>
      <c r="E175" s="853">
        <v>42919</v>
      </c>
      <c r="F175" s="73">
        <f t="shared" si="68"/>
        <v>3342</v>
      </c>
      <c r="G175" s="296">
        <v>0</v>
      </c>
      <c r="H175" s="296"/>
      <c r="I175" s="296"/>
      <c r="J175" s="1298"/>
      <c r="K175" s="296"/>
      <c r="L175" s="531">
        <f t="shared" si="69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6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77"/>
      <c r="B176" s="2068"/>
      <c r="C176" s="138" t="s">
        <v>1163</v>
      </c>
      <c r="D176" s="863" t="s">
        <v>10</v>
      </c>
      <c r="E176" s="886">
        <v>44991</v>
      </c>
      <c r="F176" s="293">
        <f t="shared" si="68"/>
        <v>1270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9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6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2" t="s">
        <v>1155</v>
      </c>
      <c r="B177" s="2023"/>
      <c r="C177" s="2039"/>
      <c r="D177" s="2039"/>
      <c r="E177" s="2039"/>
      <c r="F177" s="2039"/>
      <c r="G177" s="1296">
        <v>0</v>
      </c>
      <c r="H177" s="1296">
        <f t="shared" ref="H177:K177" si="70">+SUM(H169:H176)</f>
        <v>0</v>
      </c>
      <c r="I177" s="1296">
        <f t="shared" si="70"/>
        <v>0</v>
      </c>
      <c r="J177" s="1296">
        <f t="shared" si="70"/>
        <v>0</v>
      </c>
      <c r="K177" s="1296">
        <f t="shared" si="70"/>
        <v>0</v>
      </c>
      <c r="L177" s="531">
        <f t="shared" si="69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6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66">
        <f>IF(L193=0,"",MAX($A$16:A177)+1)</f>
        <v>8</v>
      </c>
      <c r="B178" s="2093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3</v>
      </c>
      <c r="G178" s="36">
        <v>129971</v>
      </c>
      <c r="H178" s="36">
        <v>60130</v>
      </c>
      <c r="I178" s="1316"/>
      <c r="J178" s="1294"/>
      <c r="K178" s="1902">
        <v>25000</v>
      </c>
      <c r="L178" s="531">
        <f>+G178+H178+I178-J178-K178</f>
        <v>165101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129971</v>
      </c>
      <c r="Y178" s="787"/>
      <c r="Z178" s="791"/>
      <c r="AA178" s="787"/>
      <c r="AB178" s="787"/>
      <c r="AC178" s="679"/>
    </row>
    <row r="179" spans="1:45" ht="30" customHeight="1" x14ac:dyDescent="0.25">
      <c r="A179" s="2081"/>
      <c r="B179" s="2094"/>
      <c r="C179" s="107" t="s">
        <v>512</v>
      </c>
      <c r="D179" s="850" t="s">
        <v>10</v>
      </c>
      <c r="E179" s="851">
        <v>46221</v>
      </c>
      <c r="F179" s="41">
        <f>$L$7-E179</f>
        <v>40</v>
      </c>
      <c r="G179" s="36">
        <v>167915</v>
      </c>
      <c r="H179" s="36"/>
      <c r="I179" s="1316"/>
      <c r="J179" s="1294"/>
      <c r="K179" s="1862">
        <v>27000</v>
      </c>
      <c r="L179" s="531">
        <f>+G179+H179+I179-J179-K179</f>
        <v>140915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167915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1"/>
      <c r="B180" s="2094"/>
      <c r="C180" s="107" t="s">
        <v>489</v>
      </c>
      <c r="D180" s="850" t="s">
        <v>10</v>
      </c>
      <c r="E180" s="851">
        <v>46111</v>
      </c>
      <c r="F180" s="41">
        <f>$L$7-E180</f>
        <v>150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1"/>
      <c r="B181" s="2095"/>
      <c r="C181" s="107" t="s">
        <v>850</v>
      </c>
      <c r="D181" s="850" t="s">
        <v>10</v>
      </c>
      <c r="E181" s="851">
        <v>46127</v>
      </c>
      <c r="F181" s="41">
        <f>$L$7-E181</f>
        <v>134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1"/>
      <c r="B182" s="2094"/>
      <c r="C182" s="107"/>
      <c r="D182" s="850" t="s">
        <v>10</v>
      </c>
      <c r="E182" s="851">
        <v>45737</v>
      </c>
      <c r="F182" s="41">
        <f>$L$7-E182</f>
        <v>524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1"/>
      <c r="B183" s="2094"/>
      <c r="C183" s="135" t="s">
        <v>1856</v>
      </c>
      <c r="D183" s="850" t="s">
        <v>10</v>
      </c>
      <c r="E183" s="851">
        <v>46221</v>
      </c>
      <c r="F183" s="41">
        <f t="shared" ref="F183" si="71">$L$7-E183</f>
        <v>40</v>
      </c>
      <c r="G183" s="36">
        <v>7011</v>
      </c>
      <c r="H183" s="1218"/>
      <c r="I183" s="1316">
        <f>+K180+K182+K179+K181+K178</f>
        <v>52000</v>
      </c>
      <c r="J183" s="1294">
        <f>usage!I20+usage!I21</f>
        <v>45795</v>
      </c>
      <c r="K183" s="296"/>
      <c r="L183" s="531">
        <f t="shared" si="69"/>
        <v>13216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6"/>
        <v>7011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1"/>
      <c r="B184" s="2094"/>
      <c r="C184" s="2113" t="s">
        <v>1365</v>
      </c>
      <c r="D184" s="2114"/>
      <c r="E184" s="2114"/>
      <c r="F184" s="2114"/>
      <c r="G184" s="1284">
        <v>304897</v>
      </c>
      <c r="H184" s="1284">
        <f>+SUM(H178:H183)</f>
        <v>60130</v>
      </c>
      <c r="I184" s="1284">
        <f t="shared" ref="I184:L184" si="72">+SUM(I178:I183)</f>
        <v>52000</v>
      </c>
      <c r="J184" s="1284">
        <f t="shared" si="72"/>
        <v>45795</v>
      </c>
      <c r="K184" s="1284">
        <f>+SUM(K178:K183)</f>
        <v>52000</v>
      </c>
      <c r="L184" s="1284">
        <f t="shared" si="72"/>
        <v>319232</v>
      </c>
      <c r="M184" s="168">
        <f>+M193-M188</f>
        <v>47141.833333333336</v>
      </c>
      <c r="N184" s="1285">
        <f>+(L184/M184)</f>
        <v>6.7717349417184307</v>
      </c>
      <c r="O184" s="168">
        <f>IFERROR(SUMIF(ETM!$A:$A,$Q184,ETM!$E:$E),"")</f>
        <v>61735.166666666664</v>
      </c>
      <c r="P184" s="1285">
        <f>+(L184/O184)</f>
        <v>5.170991142271693</v>
      </c>
      <c r="Q184" s="795" t="s">
        <v>806</v>
      </c>
      <c r="R184" s="785">
        <f>IFERROR(VLOOKUP($Q184,'391'!$P:$W,8,0),"")</f>
        <v>282851</v>
      </c>
      <c r="S184" s="786"/>
      <c r="T184" s="787"/>
      <c r="U184" s="787"/>
      <c r="V184" s="787"/>
      <c r="W184" s="802">
        <f>IFERROR(VLOOKUP($Q184,'391'!$P:$AG,15,0),0)</f>
        <v>313176</v>
      </c>
      <c r="X184" s="799">
        <f t="shared" si="66"/>
        <v>-8279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1"/>
      <c r="B185" s="2094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3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6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1"/>
      <c r="B186" s="2094"/>
      <c r="C186" s="107"/>
      <c r="D186" s="850" t="s">
        <v>10</v>
      </c>
      <c r="E186" s="851">
        <v>45234</v>
      </c>
      <c r="F186" s="41">
        <f>$L$7-E186</f>
        <v>1027</v>
      </c>
      <c r="G186" s="1282">
        <v>0</v>
      </c>
      <c r="H186" s="1218"/>
      <c r="I186" s="1319"/>
      <c r="J186" s="1320"/>
      <c r="K186" s="1218"/>
      <c r="L186" s="531">
        <f t="shared" si="73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6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1"/>
      <c r="B187" s="2094"/>
      <c r="C187" s="135"/>
      <c r="D187" s="850" t="s">
        <v>10</v>
      </c>
      <c r="E187" s="851">
        <v>45234</v>
      </c>
      <c r="F187" s="41">
        <f>$L$7-E187</f>
        <v>1027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3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6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1"/>
      <c r="B188" s="2094"/>
      <c r="C188" s="2113" t="s">
        <v>1367</v>
      </c>
      <c r="D188" s="2114"/>
      <c r="E188" s="2114"/>
      <c r="F188" s="2114"/>
      <c r="G188" s="1284">
        <v>0</v>
      </c>
      <c r="H188" s="1284">
        <f t="shared" ref="H188:K188" si="74">+SUM(H186:H187)</f>
        <v>0</v>
      </c>
      <c r="I188" s="1284">
        <f t="shared" si="74"/>
        <v>0</v>
      </c>
      <c r="J188" s="1284">
        <f t="shared" si="74"/>
        <v>0</v>
      </c>
      <c r="K188" s="1284">
        <f t="shared" si="74"/>
        <v>0</v>
      </c>
      <c r="L188" s="531">
        <f t="shared" si="73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6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1"/>
      <c r="B189" s="2094"/>
      <c r="C189" s="122" t="s">
        <v>351</v>
      </c>
      <c r="D189" s="887" t="s">
        <v>10</v>
      </c>
      <c r="E189" s="888">
        <v>43141</v>
      </c>
      <c r="F189" s="41">
        <f>$L$7-E189</f>
        <v>3120</v>
      </c>
      <c r="G189" s="312">
        <v>0</v>
      </c>
      <c r="H189" s="312"/>
      <c r="I189" s="1321"/>
      <c r="J189" s="1322"/>
      <c r="K189" s="312"/>
      <c r="L189" s="531">
        <f t="shared" si="73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6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1"/>
      <c r="B190" s="2094"/>
      <c r="C190" s="122" t="s">
        <v>361</v>
      </c>
      <c r="D190" s="887" t="s">
        <v>10</v>
      </c>
      <c r="E190" s="888">
        <v>43141</v>
      </c>
      <c r="F190" s="41">
        <f>$L$7-E190</f>
        <v>3120</v>
      </c>
      <c r="G190" s="312">
        <v>0</v>
      </c>
      <c r="H190" s="312"/>
      <c r="I190" s="1321"/>
      <c r="J190" s="1322"/>
      <c r="K190" s="312"/>
      <c r="L190" s="531">
        <f t="shared" si="73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6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1"/>
      <c r="B191" s="2094"/>
      <c r="C191" s="122" t="s">
        <v>257</v>
      </c>
      <c r="D191" s="887" t="s">
        <v>10</v>
      </c>
      <c r="E191" s="888">
        <v>43142</v>
      </c>
      <c r="F191" s="41">
        <f>$L$7-E191</f>
        <v>3119</v>
      </c>
      <c r="G191" s="312">
        <v>0</v>
      </c>
      <c r="H191" s="312"/>
      <c r="I191" s="1321"/>
      <c r="J191" s="1322"/>
      <c r="K191" s="312"/>
      <c r="L191" s="531">
        <f t="shared" si="73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6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1"/>
      <c r="B192" s="2094"/>
      <c r="C192" s="135" t="s">
        <v>1321</v>
      </c>
      <c r="D192" s="850" t="s">
        <v>10</v>
      </c>
      <c r="E192" s="851">
        <v>45181</v>
      </c>
      <c r="F192" s="41">
        <f>$L$7-E192</f>
        <v>1080</v>
      </c>
      <c r="G192" s="36">
        <v>0</v>
      </c>
      <c r="H192" s="36"/>
      <c r="I192" s="1316"/>
      <c r="J192" s="1323"/>
      <c r="K192" s="1316"/>
      <c r="L192" s="531">
        <f t="shared" si="73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6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2" t="s">
        <v>105</v>
      </c>
      <c r="B193" s="2023"/>
      <c r="C193" s="88"/>
      <c r="D193" s="864"/>
      <c r="E193" s="864"/>
      <c r="F193" s="865"/>
      <c r="G193" s="1296">
        <v>304897</v>
      </c>
      <c r="H193" s="1296">
        <f>+H188+H184</f>
        <v>60130</v>
      </c>
      <c r="I193" s="1296">
        <f t="shared" ref="I193:L193" si="75">+I188+I184</f>
        <v>52000</v>
      </c>
      <c r="J193" s="1296">
        <f t="shared" si="75"/>
        <v>45795</v>
      </c>
      <c r="K193" s="1296">
        <f t="shared" si="75"/>
        <v>52000</v>
      </c>
      <c r="L193" s="1296">
        <f t="shared" si="75"/>
        <v>319232</v>
      </c>
      <c r="M193" s="59">
        <f>IFERROR((S193/$S$2),"")</f>
        <v>47141.833333333336</v>
      </c>
      <c r="N193" s="1185">
        <f>+(L193/M193)</f>
        <v>6.7717349417184307</v>
      </c>
      <c r="O193" s="889">
        <f>+O188+O184</f>
        <v>61735.166666666664</v>
      </c>
      <c r="P193" s="1186">
        <f>+(L193/O193)</f>
        <v>5.170991142271693</v>
      </c>
      <c r="Q193" s="795" t="s">
        <v>806</v>
      </c>
      <c r="R193" s="785">
        <f>IFERROR(VLOOKUP($Q193,'391'!$P:$W,8,0),"0")</f>
        <v>282851</v>
      </c>
      <c r="S193" s="796">
        <f>+R192+R193</f>
        <v>282851</v>
      </c>
      <c r="T193" s="797"/>
      <c r="U193" s="797"/>
      <c r="V193" s="797"/>
      <c r="W193" s="802">
        <f>IFERROR(VLOOKUP($Q193,'391'!$P:$AG,15,0),0)</f>
        <v>313176</v>
      </c>
      <c r="X193" s="799">
        <f t="shared" si="66"/>
        <v>-8279</v>
      </c>
      <c r="Y193" s="1232">
        <f>+W193+W192</f>
        <v>313176</v>
      </c>
      <c r="Z193" s="1088">
        <f>G193-Y193</f>
        <v>-8279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1" t="s">
        <v>7</v>
      </c>
      <c r="B194" s="2122"/>
      <c r="C194" s="847"/>
      <c r="D194" s="869"/>
      <c r="E194" s="870"/>
      <c r="F194" s="1325"/>
      <c r="G194" s="1325">
        <f t="shared" ref="G194:L194" si="76">SUM(G88,G92,G111,G119,G135,G161,G168,G177,G193,G124,G139,G97)</f>
        <v>31721719.289999999</v>
      </c>
      <c r="H194" s="1325">
        <f t="shared" si="76"/>
        <v>177260</v>
      </c>
      <c r="I194" s="1325">
        <f t="shared" si="76"/>
        <v>1889000</v>
      </c>
      <c r="J194" s="1325">
        <f t="shared" si="76"/>
        <v>1446427.9000000001</v>
      </c>
      <c r="K194" s="1325">
        <f t="shared" si="76"/>
        <v>1889000</v>
      </c>
      <c r="L194" s="1325">
        <f t="shared" si="76"/>
        <v>30452551.390000001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6"/>
        <v>31721719.289999999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4">
        <f>IF(L225=0,"",MAX($A$16:A194)+1)</f>
        <v>9</v>
      </c>
      <c r="B195" s="2027" t="s">
        <v>1239</v>
      </c>
      <c r="C195" s="132"/>
      <c r="D195" s="850" t="s">
        <v>10</v>
      </c>
      <c r="E195" s="853">
        <v>45691</v>
      </c>
      <c r="F195" s="42">
        <f t="shared" ref="F195" si="77">$L$7-E195</f>
        <v>570</v>
      </c>
      <c r="G195" s="36">
        <v>0</v>
      </c>
      <c r="H195" s="1964"/>
      <c r="I195" s="345"/>
      <c r="J195" s="1309"/>
      <c r="K195" s="345"/>
      <c r="L195" s="531">
        <f t="shared" ref="L195:L201" si="78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6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5"/>
      <c r="B196" s="2028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8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9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5"/>
      <c r="B197" s="2028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8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9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5"/>
      <c r="B198" s="2028"/>
      <c r="C198" s="132"/>
      <c r="D198" s="33" t="s">
        <v>10</v>
      </c>
      <c r="E198" s="853">
        <v>45706</v>
      </c>
      <c r="F198" s="42">
        <f>$L$7-E198</f>
        <v>555</v>
      </c>
      <c r="G198" s="296">
        <v>0</v>
      </c>
      <c r="H198" s="1964"/>
      <c r="I198" s="315"/>
      <c r="J198" s="1310"/>
      <c r="K198" s="315"/>
      <c r="L198" s="531">
        <f t="shared" si="78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9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5"/>
      <c r="B199" s="2028"/>
      <c r="C199" s="132" t="s">
        <v>1511</v>
      </c>
      <c r="D199" s="33" t="s">
        <v>10</v>
      </c>
      <c r="E199" s="853">
        <v>45706</v>
      </c>
      <c r="F199" s="42">
        <f>$L$7-E199</f>
        <v>555</v>
      </c>
      <c r="G199" s="315">
        <v>0</v>
      </c>
      <c r="H199" s="1964"/>
      <c r="I199" s="315"/>
      <c r="J199" s="1298"/>
      <c r="K199" s="296"/>
      <c r="L199" s="531">
        <f t="shared" si="78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9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5"/>
      <c r="B200" s="2028"/>
      <c r="C200" s="132" t="s">
        <v>1427</v>
      </c>
      <c r="D200" s="33" t="s">
        <v>10</v>
      </c>
      <c r="E200" s="853">
        <v>45708</v>
      </c>
      <c r="F200" s="42">
        <f>$L$7-E200</f>
        <v>553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9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5"/>
      <c r="B201" s="2028"/>
      <c r="C201" s="148" t="s">
        <v>1552</v>
      </c>
      <c r="D201" s="29" t="s">
        <v>10</v>
      </c>
      <c r="E201" s="853">
        <v>45691</v>
      </c>
      <c r="F201" s="73">
        <f>$L$7-E201</f>
        <v>570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8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9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5"/>
      <c r="B202" s="2029"/>
      <c r="C202" s="2113" t="s">
        <v>1393</v>
      </c>
      <c r="D202" s="2114"/>
      <c r="E202" s="2114"/>
      <c r="F202" s="2114"/>
      <c r="G202" s="1776">
        <v>0</v>
      </c>
      <c r="H202" s="1964"/>
      <c r="I202" s="1301">
        <f t="shared" ref="I202:L202" si="80">SUM(I195:I201)</f>
        <v>0</v>
      </c>
      <c r="J202" s="1301">
        <f t="shared" si="80"/>
        <v>0</v>
      </c>
      <c r="K202" s="1301">
        <f t="shared" si="80"/>
        <v>0</v>
      </c>
      <c r="L202" s="1301">
        <f t="shared" si="80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9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25"/>
      <c r="B203" s="2027" t="s">
        <v>1708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81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9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5"/>
      <c r="B204" s="2111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2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3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5"/>
      <c r="B205" s="2028"/>
      <c r="C205" s="132">
        <v>203</v>
      </c>
      <c r="D205" s="850" t="s">
        <v>10</v>
      </c>
      <c r="E205" s="853">
        <v>46205</v>
      </c>
      <c r="F205" s="42">
        <f t="shared" ref="F205:F208" si="84">$L$7-E205</f>
        <v>56</v>
      </c>
      <c r="G205" s="36">
        <v>1299980</v>
      </c>
      <c r="H205" s="36">
        <v>733690</v>
      </c>
      <c r="I205" s="36"/>
      <c r="J205" s="1294"/>
      <c r="K205" s="36">
        <v>350000</v>
      </c>
      <c r="L205" s="531">
        <f t="shared" si="81"/>
        <v>1683670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9"/>
        <v>1299980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5"/>
      <c r="B206" s="2111"/>
      <c r="C206" s="132"/>
      <c r="D206" s="850" t="s">
        <v>10</v>
      </c>
      <c r="E206" s="853">
        <v>46249</v>
      </c>
      <c r="F206" s="42">
        <f t="shared" si="84"/>
        <v>12</v>
      </c>
      <c r="G206" s="36">
        <v>0</v>
      </c>
      <c r="H206" s="36"/>
      <c r="I206" s="36"/>
      <c r="J206" s="1294"/>
      <c r="K206" s="36"/>
      <c r="L206" s="531">
        <f t="shared" ref="L206" si="85">+G206+H206+I206-J206-K206</f>
        <v>0</v>
      </c>
      <c r="M206" s="1905"/>
      <c r="N206" s="163"/>
      <c r="O206" s="45"/>
      <c r="P206" s="738"/>
      <c r="Q206" s="666" t="s">
        <v>1409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6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25"/>
      <c r="B207" s="2028"/>
      <c r="C207" s="132" t="s">
        <v>1511</v>
      </c>
      <c r="D207" s="850" t="s">
        <v>10</v>
      </c>
      <c r="E207" s="853">
        <v>46260</v>
      </c>
      <c r="F207" s="42">
        <f t="shared" si="84"/>
        <v>1</v>
      </c>
      <c r="G207" s="36">
        <v>70000</v>
      </c>
      <c r="H207" s="36"/>
      <c r="I207" s="36">
        <v>350000</v>
      </c>
      <c r="J207" s="1294"/>
      <c r="K207" s="36">
        <v>338000</v>
      </c>
      <c r="L207" s="531">
        <f t="shared" si="81"/>
        <v>82000</v>
      </c>
      <c r="M207" s="1905"/>
      <c r="N207" s="163"/>
      <c r="O207" s="45"/>
      <c r="P207" s="738"/>
      <c r="Q207" s="666" t="s">
        <v>1409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9"/>
        <v>70000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25"/>
      <c r="B208" s="2028"/>
      <c r="C208" s="148" t="s">
        <v>1822</v>
      </c>
      <c r="D208" s="850" t="s">
        <v>10</v>
      </c>
      <c r="E208" s="853">
        <v>46205</v>
      </c>
      <c r="F208" s="42">
        <f t="shared" si="84"/>
        <v>56</v>
      </c>
      <c r="G208" s="36">
        <v>30023</v>
      </c>
      <c r="H208" s="36"/>
      <c r="I208" s="36">
        <f>+K207+K206</f>
        <v>338000</v>
      </c>
      <c r="J208" s="1294">
        <f>usage!I24-J217</f>
        <v>341890</v>
      </c>
      <c r="K208" s="36"/>
      <c r="L208" s="531">
        <f t="shared" si="81"/>
        <v>26133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9"/>
        <v>30023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5"/>
      <c r="B209" s="2112"/>
      <c r="C209" s="2113" t="s">
        <v>1703</v>
      </c>
      <c r="D209" s="2114"/>
      <c r="E209" s="2114"/>
      <c r="F209" s="2114"/>
      <c r="G209" s="1301">
        <v>1400003</v>
      </c>
      <c r="H209" s="1301">
        <f t="shared" ref="H209:L209" si="87">+SUM(H203:H208)</f>
        <v>733690</v>
      </c>
      <c r="I209" s="1301">
        <f t="shared" si="87"/>
        <v>688000</v>
      </c>
      <c r="J209" s="1301">
        <f t="shared" si="87"/>
        <v>341890</v>
      </c>
      <c r="K209" s="1301">
        <f t="shared" si="87"/>
        <v>688000</v>
      </c>
      <c r="L209" s="1301">
        <f t="shared" si="87"/>
        <v>1791803</v>
      </c>
      <c r="M209" s="285">
        <f>(R209+R207)/$S$2</f>
        <v>342306.66666666669</v>
      </c>
      <c r="N209" s="387">
        <f>IFERROR(L209/M209,0)</f>
        <v>5.2344963580415218</v>
      </c>
      <c r="O209" s="285">
        <f>IFERROR(SUMIF(ETM!$A:$A,$Q209,ETM!$E:$E),"")+333745+48439</f>
        <v>382184</v>
      </c>
      <c r="P209" s="387">
        <f>IFERROR(L209/O209,0)</f>
        <v>4.6883255185983712</v>
      </c>
      <c r="Q209" s="666" t="s">
        <v>1708</v>
      </c>
      <c r="R209" s="785">
        <f>IFERROR(VLOOKUP($Q209,'391'!$S:$Z,8,0),0)</f>
        <v>2053840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9"/>
        <v>1400003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25"/>
      <c r="B210" s="2027" t="s">
        <v>1426</v>
      </c>
      <c r="C210" s="132">
        <v>201</v>
      </c>
      <c r="D210" s="850" t="s">
        <v>10</v>
      </c>
      <c r="E210" s="853">
        <v>46258</v>
      </c>
      <c r="F210" s="42">
        <f>$L$7-E210</f>
        <v>3</v>
      </c>
      <c r="G210" s="36">
        <v>3020820</v>
      </c>
      <c r="H210" s="36"/>
      <c r="I210" s="36"/>
      <c r="J210" s="1294"/>
      <c r="K210" s="36"/>
      <c r="L210" s="531">
        <f t="shared" si="81"/>
        <v>3020820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9"/>
        <v>3020820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hidden="1" customHeight="1" x14ac:dyDescent="0.25">
      <c r="A211" s="2025"/>
      <c r="B211" s="2110"/>
      <c r="C211" s="132"/>
      <c r="D211" s="850" t="s">
        <v>10</v>
      </c>
      <c r="E211" s="853">
        <v>46087</v>
      </c>
      <c r="F211" s="42">
        <f>$L$7-E211</f>
        <v>174</v>
      </c>
      <c r="G211" s="36">
        <v>0</v>
      </c>
      <c r="H211" s="36"/>
      <c r="I211" s="36"/>
      <c r="J211" s="1294"/>
      <c r="K211" s="36"/>
      <c r="L211" s="531">
        <f t="shared" si="81"/>
        <v>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9"/>
        <v>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5"/>
      <c r="B212" s="2028"/>
      <c r="C212" s="132"/>
      <c r="D212" s="850" t="s">
        <v>10</v>
      </c>
      <c r="E212" s="853">
        <v>46102</v>
      </c>
      <c r="F212" s="42">
        <f>$L$7-E212</f>
        <v>159</v>
      </c>
      <c r="G212" s="36">
        <v>0</v>
      </c>
      <c r="H212" s="36"/>
      <c r="I212" s="36"/>
      <c r="J212" s="1294"/>
      <c r="K212" s="36"/>
      <c r="L212" s="531">
        <f t="shared" si="81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9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5"/>
      <c r="B213" s="2028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81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9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5"/>
      <c r="B214" s="2110"/>
      <c r="C214" s="132"/>
      <c r="D214" s="850" t="s">
        <v>10</v>
      </c>
      <c r="E214" s="853">
        <v>45876</v>
      </c>
      <c r="F214" s="42">
        <f>$L$7-E214</f>
        <v>385</v>
      </c>
      <c r="G214" s="36">
        <v>0</v>
      </c>
      <c r="H214" s="36"/>
      <c r="I214" s="36"/>
      <c r="J214" s="1294"/>
      <c r="K214" s="36"/>
      <c r="L214" s="531">
        <f t="shared" si="81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9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5"/>
      <c r="B215" s="2110"/>
      <c r="C215" s="132"/>
      <c r="D215" s="850" t="s">
        <v>10</v>
      </c>
      <c r="E215" s="853">
        <v>46104</v>
      </c>
      <c r="F215" s="42">
        <f>$L$7-E215</f>
        <v>157</v>
      </c>
      <c r="G215" s="36">
        <v>0</v>
      </c>
      <c r="H215" s="36"/>
      <c r="I215" s="36"/>
      <c r="J215" s="1294"/>
      <c r="K215" s="36"/>
      <c r="L215" s="531">
        <f t="shared" si="81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9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hidden="1" customHeight="1" x14ac:dyDescent="0.25">
      <c r="A216" s="2025"/>
      <c r="B216" s="2111"/>
      <c r="C216" s="132"/>
      <c r="D216" s="850" t="s">
        <v>10</v>
      </c>
      <c r="E216" s="853">
        <v>46060</v>
      </c>
      <c r="F216" s="42">
        <f>$L$7-E216</f>
        <v>201</v>
      </c>
      <c r="G216" s="36">
        <v>0</v>
      </c>
      <c r="H216" s="36"/>
      <c r="I216" s="36"/>
      <c r="J216" s="1294"/>
      <c r="K216" s="36"/>
      <c r="L216" s="531">
        <f t="shared" ref="L216" si="88">+G216+H216+I216-J216-K216</f>
        <v>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9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hidden="1" customHeight="1" x14ac:dyDescent="0.25">
      <c r="A217" s="2025"/>
      <c r="B217" s="2028"/>
      <c r="C217" s="148" t="s">
        <v>1764</v>
      </c>
      <c r="D217" s="850" t="s">
        <v>10</v>
      </c>
      <c r="E217" s="853">
        <v>46087</v>
      </c>
      <c r="F217" s="42">
        <f t="shared" ref="F217" si="90">$L$7-E217</f>
        <v>174</v>
      </c>
      <c r="G217" s="36">
        <v>0</v>
      </c>
      <c r="H217" s="36"/>
      <c r="I217" s="36"/>
      <c r="J217" s="1294"/>
      <c r="K217" s="36"/>
      <c r="L217" s="531">
        <f t="shared" si="81"/>
        <v>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9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25"/>
      <c r="B218" s="2112"/>
      <c r="C218" s="2113" t="s">
        <v>1424</v>
      </c>
      <c r="D218" s="2114"/>
      <c r="E218" s="2114"/>
      <c r="F218" s="2114"/>
      <c r="G218" s="1301">
        <v>3020820</v>
      </c>
      <c r="H218" s="1301">
        <f t="shared" ref="H218:L218" si="91">+SUM(H210:H217)</f>
        <v>0</v>
      </c>
      <c r="I218" s="1301">
        <f t="shared" si="91"/>
        <v>0</v>
      </c>
      <c r="J218" s="1301">
        <f t="shared" si="91"/>
        <v>0</v>
      </c>
      <c r="K218" s="1301">
        <f t="shared" si="91"/>
        <v>0</v>
      </c>
      <c r="L218" s="1301">
        <f t="shared" si="91"/>
        <v>3020820</v>
      </c>
      <c r="M218" s="285">
        <f>R218/$S$2</f>
        <v>0</v>
      </c>
      <c r="N218" s="387">
        <f>IFERROR(L218/M218,0)</f>
        <v>0</v>
      </c>
      <c r="O218" s="285">
        <f>IFERROR(SUMIF(ETM!$A:$A,$Q218,ETM!$E:$E),"")-333745</f>
        <v>0.16666666668606922</v>
      </c>
      <c r="P218" s="387"/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9"/>
        <v>3020820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5"/>
      <c r="B219" s="2028" t="s">
        <v>1422</v>
      </c>
      <c r="C219" s="132"/>
      <c r="D219" s="850" t="s">
        <v>10</v>
      </c>
      <c r="E219" s="853">
        <v>46237</v>
      </c>
      <c r="F219" s="42">
        <f t="shared" ref="F219" si="92">$L$7-E219</f>
        <v>24</v>
      </c>
      <c r="G219" s="36">
        <v>0</v>
      </c>
      <c r="H219" s="36"/>
      <c r="I219" s="36"/>
      <c r="J219" s="1294"/>
      <c r="K219" s="36"/>
      <c r="L219" s="531">
        <f t="shared" ref="L219:L223" si="93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9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5"/>
      <c r="B220" s="2110"/>
      <c r="C220" s="132"/>
      <c r="D220" s="850" t="s">
        <v>10</v>
      </c>
      <c r="E220" s="853">
        <v>46167</v>
      </c>
      <c r="F220" s="1216">
        <f>$L$7-E220</f>
        <v>94</v>
      </c>
      <c r="G220" s="36">
        <v>0</v>
      </c>
      <c r="H220" s="296"/>
      <c r="I220" s="36"/>
      <c r="J220" s="1298"/>
      <c r="K220" s="296"/>
      <c r="L220" s="531">
        <f t="shared" si="93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9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5"/>
      <c r="B221" s="2028"/>
      <c r="C221" s="132"/>
      <c r="D221" s="850" t="s">
        <v>10</v>
      </c>
      <c r="E221" s="853">
        <v>46182</v>
      </c>
      <c r="F221" s="1216">
        <f>$L$7-E221</f>
        <v>79</v>
      </c>
      <c r="G221" s="36">
        <v>0</v>
      </c>
      <c r="H221" s="36"/>
      <c r="I221" s="36"/>
      <c r="J221" s="1298"/>
      <c r="K221" s="296"/>
      <c r="L221" s="531">
        <f t="shared" si="93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9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5"/>
      <c r="B222" s="2028"/>
      <c r="C222" s="132" t="s">
        <v>1427</v>
      </c>
      <c r="D222" s="850" t="s">
        <v>10</v>
      </c>
      <c r="E222" s="853">
        <v>46240</v>
      </c>
      <c r="F222" s="1962">
        <f>$L$7-E222</f>
        <v>21</v>
      </c>
      <c r="G222" s="296">
        <v>0</v>
      </c>
      <c r="H222" s="296"/>
      <c r="I222" s="296"/>
      <c r="J222" s="1298"/>
      <c r="K222" s="296"/>
      <c r="L222" s="531">
        <f t="shared" si="93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9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5"/>
      <c r="B223" s="2028"/>
      <c r="C223" s="148" t="s">
        <v>1293</v>
      </c>
      <c r="D223" s="852" t="s">
        <v>10</v>
      </c>
      <c r="E223" s="890">
        <v>46237</v>
      </c>
      <c r="F223" s="39">
        <f>$L$7-E223</f>
        <v>24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3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9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5"/>
      <c r="B224" s="2028"/>
      <c r="C224" s="2113" t="s">
        <v>1423</v>
      </c>
      <c r="D224" s="2114"/>
      <c r="E224" s="2114"/>
      <c r="F224" s="2114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IFERROR(SUMIF(ETM!$A:$A,$Q224,ETM!$E:$E),"")-48439</f>
        <v>-0.16666666667151731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9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2" t="s">
        <v>177</v>
      </c>
      <c r="B225" s="2023"/>
      <c r="C225" s="88"/>
      <c r="D225" s="864"/>
      <c r="E225" s="864"/>
      <c r="F225" s="865"/>
      <c r="G225" s="1296">
        <v>4420823</v>
      </c>
      <c r="H225" s="1296">
        <f>H209+H224+H202+H218</f>
        <v>733690</v>
      </c>
      <c r="I225" s="1296">
        <f t="shared" ref="I225:M225" si="94">I209+I224+I202+I218</f>
        <v>688000</v>
      </c>
      <c r="J225" s="1296">
        <f t="shared" si="94"/>
        <v>341890</v>
      </c>
      <c r="K225" s="1296">
        <f t="shared" si="94"/>
        <v>688000</v>
      </c>
      <c r="L225" s="1296">
        <f t="shared" si="94"/>
        <v>4812623</v>
      </c>
      <c r="M225" s="1296">
        <f t="shared" si="94"/>
        <v>342306.66666666669</v>
      </c>
      <c r="N225" s="854">
        <f>+(L225/M225)</f>
        <v>14.059390215401393</v>
      </c>
      <c r="O225" s="59">
        <f>+O224+O209+O202+O218</f>
        <v>382184</v>
      </c>
      <c r="P225" s="855">
        <f>+(L225/O225)</f>
        <v>12.592424067988194</v>
      </c>
      <c r="Q225" s="795" t="s">
        <v>842</v>
      </c>
      <c r="R225" s="785">
        <f>IFERROR(VLOOKUP($Q225,'391'!$P:$W,8,0),"")</f>
        <v>2053840</v>
      </c>
      <c r="S225" s="796"/>
      <c r="T225" s="797"/>
      <c r="U225" s="797"/>
      <c r="V225" s="797"/>
      <c r="W225" s="802">
        <f>IFERROR(VLOOKUP($Q225,'391'!$P:$AG,15,0),0)</f>
        <v>1831336</v>
      </c>
      <c r="X225" s="799">
        <f t="shared" si="79"/>
        <v>2589487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4">
        <f>IF(L229=0,"",COUNT($A$16:A225)+1)</f>
        <v>10</v>
      </c>
      <c r="B226" s="2046" t="s">
        <v>130</v>
      </c>
      <c r="C226" s="109" t="s">
        <v>1427</v>
      </c>
      <c r="D226" s="850" t="s">
        <v>10</v>
      </c>
      <c r="E226" s="853">
        <v>46260</v>
      </c>
      <c r="F226" s="42">
        <f>$L$7-E226</f>
        <v>1</v>
      </c>
      <c r="G226" s="36">
        <v>32820</v>
      </c>
      <c r="H226" s="36"/>
      <c r="I226" s="36"/>
      <c r="J226" s="1294"/>
      <c r="K226" s="36">
        <v>19000</v>
      </c>
      <c r="L226" s="531">
        <f t="shared" ref="L226:L232" si="95">+G226+H226+I226-J226-K226</f>
        <v>13820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9"/>
        <v>32820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5"/>
      <c r="B227" s="2068"/>
      <c r="C227" s="109"/>
      <c r="D227" s="850" t="s">
        <v>10</v>
      </c>
      <c r="E227" s="853">
        <v>43483</v>
      </c>
      <c r="F227" s="42">
        <f>$L$7-E227</f>
        <v>2778</v>
      </c>
      <c r="G227" s="36">
        <v>0</v>
      </c>
      <c r="H227" s="36"/>
      <c r="I227" s="36"/>
      <c r="J227" s="1294"/>
      <c r="K227" s="36"/>
      <c r="L227" s="531">
        <f t="shared" si="95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9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5"/>
      <c r="B228" s="2068"/>
      <c r="C228" s="109" t="s">
        <v>924</v>
      </c>
      <c r="D228" s="850" t="s">
        <v>10</v>
      </c>
      <c r="E228" s="853">
        <v>46260</v>
      </c>
      <c r="F228" s="42">
        <f>$L$7-E228</f>
        <v>1</v>
      </c>
      <c r="G228" s="36">
        <v>9565</v>
      </c>
      <c r="H228" s="36"/>
      <c r="I228" s="36">
        <f>+K226</f>
        <v>19000</v>
      </c>
      <c r="J228" s="1294">
        <f>usage!I27</f>
        <v>1107</v>
      </c>
      <c r="K228" s="36"/>
      <c r="L228" s="531">
        <f t="shared" si="95"/>
        <v>27458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9"/>
        <v>9565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2" t="s">
        <v>352</v>
      </c>
      <c r="B229" s="2023"/>
      <c r="C229" s="893"/>
      <c r="D229" s="894"/>
      <c r="E229" s="895"/>
      <c r="F229" s="896"/>
      <c r="G229" s="1327">
        <v>42385</v>
      </c>
      <c r="H229" s="1327">
        <f t="shared" ref="H229:L229" si="96">+SUM(H226:H228)</f>
        <v>0</v>
      </c>
      <c r="I229" s="1327">
        <f t="shared" si="96"/>
        <v>19000</v>
      </c>
      <c r="J229" s="1327">
        <f t="shared" si="96"/>
        <v>1107</v>
      </c>
      <c r="K229" s="1327">
        <f t="shared" si="96"/>
        <v>19000</v>
      </c>
      <c r="L229" s="1327">
        <f t="shared" si="96"/>
        <v>41278</v>
      </c>
      <c r="M229" s="59">
        <f>IFERROR((R229/$S$2),"")</f>
        <v>2139.3333333333335</v>
      </c>
      <c r="N229" s="854">
        <f>IFERROR(L229/M229,0)</f>
        <v>19.294795886569023</v>
      </c>
      <c r="O229" s="59">
        <f>IFERROR(SUMIF(ETM!$A:$A,$Q229,ETM!$E:$E),"")</f>
        <v>2223.8333333333335</v>
      </c>
      <c r="P229" s="880">
        <f>IFERROR(L229/O229,0)</f>
        <v>18.561642808963501</v>
      </c>
      <c r="Q229" s="666" t="s">
        <v>1683</v>
      </c>
      <c r="R229" s="785">
        <f>IFERROR(VLOOKUP($Q229,'391'!$P:$W,8,0),"")</f>
        <v>12836</v>
      </c>
      <c r="S229" s="796"/>
      <c r="T229" s="797"/>
      <c r="U229" s="797"/>
      <c r="V229" s="797"/>
      <c r="W229" s="802">
        <f>IFERROR(VLOOKUP($Q229,'391'!$P:$AG,15,0),0)</f>
        <v>18799</v>
      </c>
      <c r="X229" s="799">
        <f t="shared" si="79"/>
        <v>23586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66">
        <f>IF(L233=0,"", MAX($A$16:A229)+1)</f>
        <v>11</v>
      </c>
      <c r="B230" s="2046" t="s">
        <v>170</v>
      </c>
      <c r="C230" s="109" t="s">
        <v>82</v>
      </c>
      <c r="D230" s="850" t="s">
        <v>10</v>
      </c>
      <c r="E230" s="851">
        <v>46252</v>
      </c>
      <c r="F230" s="42">
        <f>$L$7-E230</f>
        <v>9</v>
      </c>
      <c r="G230" s="308">
        <v>27000</v>
      </c>
      <c r="H230" s="1329"/>
      <c r="I230" s="308"/>
      <c r="J230" s="1330"/>
      <c r="K230" s="308">
        <v>20000</v>
      </c>
      <c r="L230" s="531">
        <f t="shared" si="95"/>
        <v>7000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7">G230-W230</f>
        <v>27000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1"/>
      <c r="B231" s="2068"/>
      <c r="C231" s="109"/>
      <c r="D231" s="852" t="s">
        <v>10</v>
      </c>
      <c r="E231" s="851">
        <v>46017</v>
      </c>
      <c r="F231" s="73">
        <f>$L$7-E231</f>
        <v>244</v>
      </c>
      <c r="G231" s="296">
        <v>0</v>
      </c>
      <c r="H231" s="300"/>
      <c r="I231" s="296"/>
      <c r="J231" s="1294"/>
      <c r="K231" s="300"/>
      <c r="L231" s="531">
        <f t="shared" si="95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7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67"/>
      <c r="B232" s="2047"/>
      <c r="C232" s="132" t="s">
        <v>1257</v>
      </c>
      <c r="D232" s="852" t="s">
        <v>10</v>
      </c>
      <c r="E232" s="851">
        <v>46252</v>
      </c>
      <c r="F232" s="73">
        <f>$L$7-E232</f>
        <v>9</v>
      </c>
      <c r="G232" s="296">
        <v>15899</v>
      </c>
      <c r="H232" s="300"/>
      <c r="I232" s="296">
        <f>K230</f>
        <v>20000</v>
      </c>
      <c r="J232" s="1294">
        <f>usage!I25</f>
        <v>11145</v>
      </c>
      <c r="K232" s="300"/>
      <c r="L232" s="531">
        <f t="shared" si="95"/>
        <v>24754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7"/>
        <v>15899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2" t="s">
        <v>106</v>
      </c>
      <c r="B233" s="2023"/>
      <c r="C233" s="575"/>
      <c r="D233" s="900"/>
      <c r="E233" s="901"/>
      <c r="F233" s="902"/>
      <c r="G233" s="1296">
        <v>42899</v>
      </c>
      <c r="H233" s="1296">
        <f t="shared" ref="H233:L233" si="98">+SUM(H230:H232)</f>
        <v>0</v>
      </c>
      <c r="I233" s="1296">
        <f t="shared" si="98"/>
        <v>20000</v>
      </c>
      <c r="J233" s="1296">
        <f t="shared" si="98"/>
        <v>11145</v>
      </c>
      <c r="K233" s="1296">
        <f t="shared" si="98"/>
        <v>20000</v>
      </c>
      <c r="L233" s="1296">
        <f t="shared" si="98"/>
        <v>31754</v>
      </c>
      <c r="M233" s="59">
        <f>IFERROR((R233/$S$2),"")</f>
        <v>28769</v>
      </c>
      <c r="N233" s="1185">
        <f>IFERROR(L233/M233,0)</f>
        <v>1.103757516771525</v>
      </c>
      <c r="O233" s="59">
        <f>IFERROR(SUMIF(ETM!$A:$A,$Q233,ETM!$E:$E),"")</f>
        <v>26102.833333333332</v>
      </c>
      <c r="P233" s="1189">
        <f>(L233/O233)</f>
        <v>1.2164962935058137</v>
      </c>
      <c r="Q233" s="795" t="s">
        <v>812</v>
      </c>
      <c r="R233" s="785">
        <f>IFERROR(VLOOKUP($Q233,'391'!$P:$W,8,0),"")</f>
        <v>172614</v>
      </c>
      <c r="S233" s="796"/>
      <c r="T233" s="797"/>
      <c r="U233" s="797"/>
      <c r="V233" s="797"/>
      <c r="W233" s="802">
        <f>IFERROR(VLOOKUP($Q233,'391'!$P:$AG,15,0),0)</f>
        <v>242650</v>
      </c>
      <c r="X233" s="799">
        <f t="shared" si="97"/>
        <v>-199751</v>
      </c>
      <c r="Y233" s="1087">
        <f>G233+G239</f>
        <v>418380</v>
      </c>
      <c r="Z233" s="1088">
        <f>+W233-Y233</f>
        <v>-175730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66">
        <f>IF(L239=0,"",MAX($A$16:A233)+1)</f>
        <v>12</v>
      </c>
      <c r="B234" s="2046" t="s">
        <v>87</v>
      </c>
      <c r="C234" s="112" t="s">
        <v>66</v>
      </c>
      <c r="D234" s="903" t="s">
        <v>10</v>
      </c>
      <c r="E234" s="904">
        <v>46218</v>
      </c>
      <c r="F234" s="357">
        <f>$L$7-E234</f>
        <v>43</v>
      </c>
      <c r="G234" s="308">
        <v>122881</v>
      </c>
      <c r="H234" s="308"/>
      <c r="I234" s="308"/>
      <c r="J234" s="1330"/>
      <c r="K234" s="296"/>
      <c r="L234" s="531">
        <f>+G234+H234+I234-J234-K234</f>
        <v>122881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7"/>
        <v>122881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81"/>
      <c r="B235" s="2072"/>
      <c r="C235" s="1484" t="s">
        <v>467</v>
      </c>
      <c r="D235" s="850" t="s">
        <v>10</v>
      </c>
      <c r="E235" s="1210">
        <v>46213</v>
      </c>
      <c r="F235" s="1485">
        <f>$L$7-E235</f>
        <v>48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7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1"/>
      <c r="B236" s="2072"/>
      <c r="C236" s="1484" t="s">
        <v>470</v>
      </c>
      <c r="D236" s="850" t="s">
        <v>10</v>
      </c>
      <c r="E236" s="1210">
        <v>46177</v>
      </c>
      <c r="F236" s="1485">
        <f>$L$7-E236</f>
        <v>84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7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81"/>
      <c r="B237" s="2072"/>
      <c r="C237" s="1484" t="s">
        <v>469</v>
      </c>
      <c r="D237" s="850" t="s">
        <v>10</v>
      </c>
      <c r="E237" s="1210">
        <v>46258</v>
      </c>
      <c r="F237" s="1485">
        <f>$L$7-E237</f>
        <v>3</v>
      </c>
      <c r="G237" s="1282">
        <v>252600</v>
      </c>
      <c r="H237" s="1282"/>
      <c r="I237" s="1282"/>
      <c r="J237" s="1486"/>
      <c r="K237" s="1282"/>
      <c r="L237" s="531">
        <f>+G237+H237+I237-J237-K237</f>
        <v>252600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9">G237-W237</f>
        <v>252600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67"/>
      <c r="B238" s="2047"/>
      <c r="C238" s="1484" t="s">
        <v>466</v>
      </c>
      <c r="D238" s="850" t="s">
        <v>10</v>
      </c>
      <c r="E238" s="1210">
        <v>45957</v>
      </c>
      <c r="F238" s="1485">
        <f>$L$7-E238</f>
        <v>304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7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2" t="s">
        <v>1129</v>
      </c>
      <c r="B239" s="2023"/>
      <c r="C239" s="906"/>
      <c r="D239" s="907"/>
      <c r="E239" s="908"/>
      <c r="F239" s="909"/>
      <c r="G239" s="1296">
        <v>375481</v>
      </c>
      <c r="H239" s="1296">
        <f>+SUM(H234:H238)</f>
        <v>0</v>
      </c>
      <c r="I239" s="1296">
        <f>+SUM(I234:I238)</f>
        <v>0</v>
      </c>
      <c r="J239" s="1296">
        <f t="shared" ref="J239:L239" si="100">+SUM(J234:J238)</f>
        <v>0</v>
      </c>
      <c r="K239" s="1296">
        <f>+SUM(K234:K238)</f>
        <v>0</v>
      </c>
      <c r="L239" s="1296">
        <f t="shared" si="100"/>
        <v>375481</v>
      </c>
      <c r="M239" s="59">
        <f>+M233</f>
        <v>28769</v>
      </c>
      <c r="N239" s="1185">
        <f>(L239/M239)</f>
        <v>13.051583301470332</v>
      </c>
      <c r="O239" s="59">
        <f>O233</f>
        <v>26102.833333333332</v>
      </c>
      <c r="P239" s="1189">
        <f>(L239/O239)</f>
        <v>14.384683655031063</v>
      </c>
      <c r="Q239" s="795" t="s">
        <v>812</v>
      </c>
      <c r="R239" s="785">
        <f>IFERROR(VLOOKUP($Q239,'391'!$P:$W,8,0),"")</f>
        <v>172614</v>
      </c>
      <c r="S239" s="796"/>
      <c r="T239" s="797"/>
      <c r="U239" s="797"/>
      <c r="V239" s="797"/>
      <c r="W239" s="802">
        <f>IFERROR(VLOOKUP($Q239,'391'!$P:$AG,15,0),0)</f>
        <v>242650</v>
      </c>
      <c r="X239" s="799">
        <f t="shared" si="97"/>
        <v>132831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66">
        <f>IF(L246=0,"",MAX($A$16:A239)+1)</f>
        <v>13</v>
      </c>
      <c r="B240" s="2046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1">$L$7-E240</f>
        <v>4822</v>
      </c>
      <c r="G240" s="300">
        <v>0</v>
      </c>
      <c r="H240" s="1329"/>
      <c r="I240" s="1329"/>
      <c r="J240" s="1330"/>
      <c r="K240" s="1329"/>
      <c r="L240" s="531">
        <f t="shared" ref="L240:L245" si="102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7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1"/>
      <c r="B241" s="2068"/>
      <c r="C241" s="113"/>
      <c r="D241" s="910" t="s">
        <v>10</v>
      </c>
      <c r="E241" s="890">
        <v>43153</v>
      </c>
      <c r="F241" s="292">
        <f t="shared" si="101"/>
        <v>3108</v>
      </c>
      <c r="G241" s="315">
        <v>0</v>
      </c>
      <c r="H241" s="315"/>
      <c r="I241" s="1333"/>
      <c r="J241" s="1334"/>
      <c r="K241" s="36"/>
      <c r="L241" s="531">
        <f t="shared" si="102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7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81"/>
      <c r="B242" s="2068"/>
      <c r="C242" s="113"/>
      <c r="D242" s="910" t="s">
        <v>10</v>
      </c>
      <c r="E242" s="890">
        <v>43157</v>
      </c>
      <c r="F242" s="292">
        <f t="shared" si="101"/>
        <v>3104</v>
      </c>
      <c r="G242" s="315">
        <v>0</v>
      </c>
      <c r="H242" s="315"/>
      <c r="I242" s="1333"/>
      <c r="J242" s="1334"/>
      <c r="K242" s="36"/>
      <c r="L242" s="531">
        <f t="shared" si="102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7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1"/>
      <c r="B243" s="2068"/>
      <c r="C243" s="131" t="s">
        <v>199</v>
      </c>
      <c r="D243" s="852" t="s">
        <v>10</v>
      </c>
      <c r="E243" s="853">
        <v>46258</v>
      </c>
      <c r="F243" s="73">
        <f t="shared" si="101"/>
        <v>3</v>
      </c>
      <c r="G243" s="296">
        <v>362570</v>
      </c>
      <c r="H243" s="308">
        <v>36700</v>
      </c>
      <c r="I243" s="296"/>
      <c r="J243" s="1298"/>
      <c r="K243" s="296">
        <v>83000</v>
      </c>
      <c r="L243" s="531">
        <f t="shared" si="102"/>
        <v>316270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7"/>
        <v>362570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81"/>
      <c r="B244" s="2068"/>
      <c r="C244" s="131"/>
      <c r="D244" s="910" t="s">
        <v>10</v>
      </c>
      <c r="E244" s="904">
        <v>45693</v>
      </c>
      <c r="F244" s="292">
        <f t="shared" si="101"/>
        <v>568</v>
      </c>
      <c r="G244" s="308">
        <v>0</v>
      </c>
      <c r="H244" s="36"/>
      <c r="I244" s="36"/>
      <c r="J244" s="1294"/>
      <c r="K244" s="36"/>
      <c r="L244" s="531">
        <f t="shared" si="102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7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1"/>
      <c r="B245" s="2068"/>
      <c r="C245" s="61" t="s">
        <v>1320</v>
      </c>
      <c r="D245" s="863" t="s">
        <v>10</v>
      </c>
      <c r="E245" s="851">
        <v>46258</v>
      </c>
      <c r="F245" s="42">
        <f t="shared" si="101"/>
        <v>3</v>
      </c>
      <c r="G245" s="36">
        <v>72636</v>
      </c>
      <c r="H245" s="36"/>
      <c r="I245" s="36">
        <f>K243+K244</f>
        <v>83000</v>
      </c>
      <c r="J245" s="1294">
        <f>usage!I26</f>
        <v>84248</v>
      </c>
      <c r="K245" s="36"/>
      <c r="L245" s="531">
        <f t="shared" si="102"/>
        <v>71388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7"/>
        <v>72636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2" t="s">
        <v>107</v>
      </c>
      <c r="B246" s="2023"/>
      <c r="C246" s="88"/>
      <c r="D246" s="864"/>
      <c r="E246" s="864"/>
      <c r="F246" s="865"/>
      <c r="G246" s="1296">
        <v>435206</v>
      </c>
      <c r="H246" s="1296">
        <f t="shared" ref="H246:L246" si="103">+SUM(H240:H245)</f>
        <v>36700</v>
      </c>
      <c r="I246" s="1296">
        <f t="shared" si="103"/>
        <v>83000</v>
      </c>
      <c r="J246" s="1296">
        <f t="shared" si="103"/>
        <v>84248</v>
      </c>
      <c r="K246" s="1296">
        <f t="shared" si="103"/>
        <v>83000</v>
      </c>
      <c r="L246" s="1296">
        <f t="shared" si="103"/>
        <v>387658</v>
      </c>
      <c r="M246" s="59">
        <f>IFERROR((R246/$S$2),"")</f>
        <v>64988.666666666664</v>
      </c>
      <c r="N246" s="854">
        <f>(L246/M246)</f>
        <v>5.9650092836699731</v>
      </c>
      <c r="O246" s="59">
        <f>IFERROR(SUMIF(ETM!$A:$A,$Q246,ETM!$E:$E),"")</f>
        <v>72706.333333333328</v>
      </c>
      <c r="P246" s="880">
        <f>(L246/O246)</f>
        <v>5.3318326234761759</v>
      </c>
      <c r="Q246" s="795" t="s">
        <v>809</v>
      </c>
      <c r="R246" s="785">
        <f>IFERROR(VLOOKUP($Q246,'391'!$P:$W,8,0),"")</f>
        <v>389932</v>
      </c>
      <c r="S246" s="796"/>
      <c r="T246" s="797"/>
      <c r="U246" s="797"/>
      <c r="V246" s="797"/>
      <c r="W246" s="802">
        <f>IFERROR(VLOOKUP($Q246,'391'!$P:$AG,15,0),0)</f>
        <v>510066</v>
      </c>
      <c r="X246" s="799">
        <f t="shared" si="97"/>
        <v>-74860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66">
        <f>IF(L251=0,"",MAX($A$16:A246)+1)</f>
        <v>14</v>
      </c>
      <c r="B247" s="2046" t="s">
        <v>1653</v>
      </c>
      <c r="C247" s="1873" t="s">
        <v>123</v>
      </c>
      <c r="D247" s="1874" t="s">
        <v>10</v>
      </c>
      <c r="E247" s="1875">
        <v>45933</v>
      </c>
      <c r="F247" s="1876">
        <f t="shared" ref="F247:F248" si="104">$L$7-E247</f>
        <v>328</v>
      </c>
      <c r="G247" s="1877">
        <v>0</v>
      </c>
      <c r="H247" s="1862"/>
      <c r="I247" s="1333"/>
      <c r="J247" s="1334"/>
      <c r="K247" s="36"/>
      <c r="L247" s="1670">
        <f t="shared" ref="L247:L250" si="105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6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1"/>
      <c r="B248" s="2068"/>
      <c r="C248" s="131" t="s">
        <v>1421</v>
      </c>
      <c r="D248" s="910" t="s">
        <v>10</v>
      </c>
      <c r="E248" s="853">
        <v>46042</v>
      </c>
      <c r="F248" s="42">
        <f t="shared" si="104"/>
        <v>219</v>
      </c>
      <c r="G248" s="36">
        <v>0</v>
      </c>
      <c r="H248" s="305"/>
      <c r="I248" s="312"/>
      <c r="J248" s="1334"/>
      <c r="K248" s="36"/>
      <c r="L248" s="1713">
        <f t="shared" si="105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6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1"/>
      <c r="B249" s="2068"/>
      <c r="C249" s="106" t="s">
        <v>1600</v>
      </c>
      <c r="D249" s="910" t="s">
        <v>10</v>
      </c>
      <c r="E249" s="853">
        <v>46261</v>
      </c>
      <c r="F249" s="42">
        <f t="shared" ref="F249:F250" si="107">$L$7-E249</f>
        <v>0</v>
      </c>
      <c r="G249" s="36">
        <v>85270</v>
      </c>
      <c r="H249" s="36"/>
      <c r="I249" s="36"/>
      <c r="J249" s="36"/>
      <c r="K249" s="36">
        <v>21000</v>
      </c>
      <c r="L249" s="36">
        <f t="shared" si="105"/>
        <v>64270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6"/>
        <v>85270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1"/>
      <c r="B250" s="2068"/>
      <c r="C250" s="61" t="s">
        <v>1756</v>
      </c>
      <c r="D250" s="863" t="s">
        <v>10</v>
      </c>
      <c r="E250" s="851">
        <v>46261</v>
      </c>
      <c r="F250" s="42">
        <f t="shared" si="107"/>
        <v>0</v>
      </c>
      <c r="G250" s="36">
        <v>7963</v>
      </c>
      <c r="H250" s="36"/>
      <c r="I250" s="36">
        <f>K249</f>
        <v>21000</v>
      </c>
      <c r="J250" s="1294">
        <f>usage!I33</f>
        <v>9954</v>
      </c>
      <c r="K250" s="36"/>
      <c r="L250" s="1331">
        <f t="shared" si="105"/>
        <v>19009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6"/>
        <v>7963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2" t="s">
        <v>1633</v>
      </c>
      <c r="B251" s="2023"/>
      <c r="C251" s="88"/>
      <c r="D251" s="864"/>
      <c r="E251" s="864"/>
      <c r="F251" s="865"/>
      <c r="G251" s="1296">
        <v>93233</v>
      </c>
      <c r="H251" s="1296">
        <f>+SUM(H247:H250)</f>
        <v>0</v>
      </c>
      <c r="I251" s="1296">
        <f>+SUM(I247:I250)</f>
        <v>21000</v>
      </c>
      <c r="J251" s="1296">
        <f>+SUM(J247:J250)</f>
        <v>9954</v>
      </c>
      <c r="K251" s="1296">
        <f>+SUM(K247:K250)</f>
        <v>21000</v>
      </c>
      <c r="L251" s="1296">
        <f>+SUM(L247:L250)</f>
        <v>83279</v>
      </c>
      <c r="M251" s="59">
        <f>IFERROR((R251/$S$2),"")</f>
        <v>5151</v>
      </c>
      <c r="N251" s="854">
        <f>IFERROR(L251/M251,0)</f>
        <v>16.167540283440108</v>
      </c>
      <c r="O251" s="59">
        <f>IFERROR(SUMIF(ETM!$A:$A,$Q251,ETM!$E:$E),"")</f>
        <v>5291.1666666666661</v>
      </c>
      <c r="P251" s="880">
        <f>IFERROR(L251/O251,0)</f>
        <v>15.739250952845939</v>
      </c>
      <c r="Q251" s="666" t="s">
        <v>1654</v>
      </c>
      <c r="R251" s="785">
        <f>IFERROR(VLOOKUP($Q251,'391'!$P:$W,8,0),"")</f>
        <v>30906</v>
      </c>
      <c r="S251" s="796"/>
      <c r="T251" s="797"/>
      <c r="U251" s="797"/>
      <c r="V251" s="797"/>
      <c r="W251" s="802">
        <f>IFERROR(VLOOKUP($Q251,'391'!$P:$AG,15,0),0)</f>
        <v>109262</v>
      </c>
      <c r="X251" s="799">
        <f>G251-W251</f>
        <v>-16029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4">
        <f>IF(L263=0,"",MAX($A$16:A251)+1)</f>
        <v>15</v>
      </c>
      <c r="B252" s="2093" t="s">
        <v>1420</v>
      </c>
      <c r="C252" s="120" t="s">
        <v>481</v>
      </c>
      <c r="D252" s="881" t="s">
        <v>10</v>
      </c>
      <c r="E252" s="888">
        <v>43487</v>
      </c>
      <c r="F252" s="71">
        <f t="shared" ref="F252:F260" si="108">$L$7-E252</f>
        <v>2774</v>
      </c>
      <c r="G252" s="247">
        <v>0</v>
      </c>
      <c r="H252" s="305"/>
      <c r="I252" s="305"/>
      <c r="J252" s="1335"/>
      <c r="K252" s="305"/>
      <c r="L252" s="531">
        <f t="shared" ref="L252:L262" si="109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7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5"/>
      <c r="B253" s="2094"/>
      <c r="C253" s="120" t="s">
        <v>257</v>
      </c>
      <c r="D253" s="881" t="s">
        <v>10</v>
      </c>
      <c r="E253" s="888">
        <v>42538</v>
      </c>
      <c r="F253" s="71">
        <f t="shared" si="108"/>
        <v>3723</v>
      </c>
      <c r="G253" s="312">
        <v>0</v>
      </c>
      <c r="H253" s="306"/>
      <c r="I253" s="306"/>
      <c r="J253" s="1305"/>
      <c r="K253" s="306"/>
      <c r="L253" s="531">
        <f t="shared" si="109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7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5"/>
      <c r="B254" s="2094"/>
      <c r="C254" s="106"/>
      <c r="D254" s="852" t="s">
        <v>10</v>
      </c>
      <c r="E254" s="851">
        <v>43406</v>
      </c>
      <c r="F254" s="73">
        <f t="shared" si="108"/>
        <v>2855</v>
      </c>
      <c r="G254" s="36">
        <v>0</v>
      </c>
      <c r="H254" s="36"/>
      <c r="I254" s="296"/>
      <c r="J254" s="1298"/>
      <c r="K254" s="296"/>
      <c r="L254" s="531">
        <f t="shared" si="109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7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5"/>
      <c r="B255" s="2094"/>
      <c r="C255" s="106"/>
      <c r="D255" s="852" t="s">
        <v>10</v>
      </c>
      <c r="E255" s="851">
        <v>46157</v>
      </c>
      <c r="F255" s="73">
        <f t="shared" si="108"/>
        <v>104</v>
      </c>
      <c r="G255" s="36">
        <v>0</v>
      </c>
      <c r="H255" s="296"/>
      <c r="I255" s="36"/>
      <c r="J255" s="1294"/>
      <c r="K255" s="36"/>
      <c r="L255" s="531">
        <f t="shared" si="109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7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5"/>
      <c r="B256" s="2094"/>
      <c r="C256" s="106" t="s">
        <v>505</v>
      </c>
      <c r="D256" s="852" t="s">
        <v>10</v>
      </c>
      <c r="E256" s="851">
        <v>46259</v>
      </c>
      <c r="F256" s="73">
        <f t="shared" ref="F256:F257" si="110">$L$7-E256</f>
        <v>2</v>
      </c>
      <c r="G256" s="36">
        <v>70480</v>
      </c>
      <c r="H256" s="296">
        <v>30210</v>
      </c>
      <c r="I256" s="36"/>
      <c r="J256" s="1294"/>
      <c r="K256" s="36">
        <v>9000</v>
      </c>
      <c r="L256" s="531">
        <f t="shared" si="109"/>
        <v>91690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7"/>
        <v>70480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5"/>
      <c r="B257" s="2095"/>
      <c r="C257" s="106"/>
      <c r="D257" s="852" t="s">
        <v>10</v>
      </c>
      <c r="E257" s="851">
        <v>46234</v>
      </c>
      <c r="F257" s="73">
        <f t="shared" si="110"/>
        <v>27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7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5"/>
      <c r="B258" s="2094"/>
      <c r="C258" s="106" t="s">
        <v>492</v>
      </c>
      <c r="D258" s="852" t="s">
        <v>10</v>
      </c>
      <c r="E258" s="851">
        <v>45694</v>
      </c>
      <c r="F258" s="73">
        <f t="shared" si="108"/>
        <v>567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7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5"/>
      <c r="B259" s="2094"/>
      <c r="C259" s="65" t="s">
        <v>1379</v>
      </c>
      <c r="D259" s="852" t="s">
        <v>10</v>
      </c>
      <c r="E259" s="851">
        <v>46259</v>
      </c>
      <c r="F259" s="73">
        <f t="shared" si="108"/>
        <v>2</v>
      </c>
      <c r="G259" s="296">
        <v>36914</v>
      </c>
      <c r="H259" s="296"/>
      <c r="I259" s="296">
        <f>K258+K256+K257+K255-I255</f>
        <v>9000</v>
      </c>
      <c r="J259" s="1298">
        <f>usage!I29</f>
        <v>17367</v>
      </c>
      <c r="K259" s="296"/>
      <c r="L259" s="531">
        <f t="shared" si="109"/>
        <v>28547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7"/>
        <v>36914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5"/>
      <c r="B260" s="2094"/>
      <c r="C260" s="108" t="s">
        <v>221</v>
      </c>
      <c r="D260" s="863" t="s">
        <v>10</v>
      </c>
      <c r="E260" s="851">
        <v>42247</v>
      </c>
      <c r="F260" s="42">
        <f t="shared" si="108"/>
        <v>4014</v>
      </c>
      <c r="G260" s="28">
        <v>0</v>
      </c>
      <c r="H260" s="28"/>
      <c r="I260" s="28"/>
      <c r="J260" s="1295"/>
      <c r="K260" s="28"/>
      <c r="L260" s="531">
        <f t="shared" si="109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7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5"/>
      <c r="B261" s="2094"/>
      <c r="C261" s="2113" t="s">
        <v>225</v>
      </c>
      <c r="D261" s="2114"/>
      <c r="E261" s="2114"/>
      <c r="F261" s="2114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9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7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6"/>
      <c r="B262" s="2096"/>
      <c r="C262" s="2119"/>
      <c r="D262" s="2120"/>
      <c r="E262" s="2120"/>
      <c r="F262" s="2120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9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7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2" t="s">
        <v>217</v>
      </c>
      <c r="B263" s="2023"/>
      <c r="C263" s="88"/>
      <c r="D263" s="864"/>
      <c r="E263" s="864"/>
      <c r="F263" s="865"/>
      <c r="G263" s="1296">
        <v>107394</v>
      </c>
      <c r="H263" s="1296">
        <f t="shared" ref="H263:L263" si="111">+SUM(H252:H259)</f>
        <v>30210</v>
      </c>
      <c r="I263" s="1296">
        <f t="shared" si="111"/>
        <v>9000</v>
      </c>
      <c r="J263" s="1296">
        <f t="shared" si="111"/>
        <v>17367</v>
      </c>
      <c r="K263" s="1296">
        <f t="shared" si="111"/>
        <v>9000</v>
      </c>
      <c r="L263" s="1296">
        <f t="shared" si="111"/>
        <v>120237</v>
      </c>
      <c r="M263" s="59">
        <f>IFERROR((R263/$S$2),"")</f>
        <v>8242.3333333333339</v>
      </c>
      <c r="N263" s="1185">
        <f>(L263/M263)</f>
        <v>14.587738100052572</v>
      </c>
      <c r="O263" s="59">
        <f>IFERROR(SUMIF(ETM!$A:$A,$Q263,ETM!$E:$E),"")</f>
        <v>7482.5000000000009</v>
      </c>
      <c r="P263" s="1186">
        <f>(L263/O263)</f>
        <v>16.069094553959236</v>
      </c>
      <c r="Q263" s="795" t="s">
        <v>814</v>
      </c>
      <c r="R263" s="785">
        <f>IFERROR(VLOOKUP($Q263,'391'!$P:$W,8,0),"")</f>
        <v>49454</v>
      </c>
      <c r="S263" s="796"/>
      <c r="T263" s="797"/>
      <c r="U263" s="797"/>
      <c r="V263" s="797"/>
      <c r="W263" s="802">
        <f>IFERROR(VLOOKUP($Q263,'391'!$P:$AG,15,0),0)</f>
        <v>122643</v>
      </c>
      <c r="X263" s="799">
        <f t="shared" si="97"/>
        <v>-15249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66" t="str">
        <f>IF(L268=0,"",MAX($A$16:A263)+1)</f>
        <v/>
      </c>
      <c r="B264" s="2027" t="s">
        <v>42</v>
      </c>
      <c r="C264" s="112"/>
      <c r="D264" s="850" t="s">
        <v>10</v>
      </c>
      <c r="E264" s="851">
        <v>44771</v>
      </c>
      <c r="F264" s="42">
        <f>$L$7-E264</f>
        <v>1490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7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1"/>
      <c r="B265" s="2110"/>
      <c r="C265" s="106"/>
      <c r="D265" s="850" t="s">
        <v>10</v>
      </c>
      <c r="E265" s="851">
        <v>45737</v>
      </c>
      <c r="F265" s="42">
        <f>$L$7-E265</f>
        <v>524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7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1"/>
      <c r="B266" s="2110"/>
      <c r="C266" s="109"/>
      <c r="D266" s="850" t="s">
        <v>10</v>
      </c>
      <c r="E266" s="851">
        <v>46062</v>
      </c>
      <c r="F266" s="42">
        <f>$L$7-E266</f>
        <v>199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7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67"/>
      <c r="B267" s="2029"/>
      <c r="C267" s="138" t="s">
        <v>1302</v>
      </c>
      <c r="D267" s="863" t="s">
        <v>10</v>
      </c>
      <c r="E267" s="851">
        <v>46062</v>
      </c>
      <c r="F267" s="42">
        <f>$L$7-E267</f>
        <v>199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7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2" t="s">
        <v>108</v>
      </c>
      <c r="B268" s="2023"/>
      <c r="C268" s="88"/>
      <c r="D268" s="864"/>
      <c r="E268" s="864"/>
      <c r="F268" s="865"/>
      <c r="G268" s="1296">
        <v>0</v>
      </c>
      <c r="H268" s="1296">
        <f t="shared" ref="H268:L268" si="112">+SUM(H264:H267)</f>
        <v>0</v>
      </c>
      <c r="I268" s="1296">
        <f t="shared" si="112"/>
        <v>0</v>
      </c>
      <c r="J268" s="1296">
        <f t="shared" si="112"/>
        <v>0</v>
      </c>
      <c r="K268" s="1296">
        <f>+SUM(K264:K267)</f>
        <v>0</v>
      </c>
      <c r="L268" s="1296">
        <f t="shared" si="112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7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76">
        <f>IF(L278=0,"",MAX($A$16:A268)+1)</f>
        <v>16</v>
      </c>
      <c r="B269" s="2027" t="s">
        <v>1378</v>
      </c>
      <c r="C269" s="109"/>
      <c r="D269" s="852" t="s">
        <v>10</v>
      </c>
      <c r="E269" s="853">
        <v>42955</v>
      </c>
      <c r="F269" s="856">
        <f t="shared" ref="F269:F277" si="113">$L$7-E269</f>
        <v>3306</v>
      </c>
      <c r="G269" s="351">
        <v>0</v>
      </c>
      <c r="H269" s="36"/>
      <c r="I269" s="36"/>
      <c r="J269" s="1294"/>
      <c r="K269" s="36"/>
      <c r="L269" s="531">
        <f t="shared" ref="L269:L277" si="114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5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3"/>
      <c r="B270" s="2028"/>
      <c r="C270" s="109"/>
      <c r="D270" s="852" t="s">
        <v>10</v>
      </c>
      <c r="E270" s="853">
        <v>42791</v>
      </c>
      <c r="F270" s="856">
        <f t="shared" si="113"/>
        <v>3470</v>
      </c>
      <c r="G270" s="351">
        <v>0</v>
      </c>
      <c r="H270" s="36"/>
      <c r="I270" s="36"/>
      <c r="J270" s="1294"/>
      <c r="K270" s="36"/>
      <c r="L270" s="531">
        <f t="shared" si="114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5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3"/>
      <c r="B271" s="2028"/>
      <c r="C271" s="109" t="s">
        <v>1387</v>
      </c>
      <c r="D271" s="852" t="s">
        <v>10</v>
      </c>
      <c r="E271" s="853">
        <v>46155</v>
      </c>
      <c r="F271" s="856">
        <f t="shared" si="113"/>
        <v>106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5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3"/>
      <c r="B272" s="2028"/>
      <c r="C272" s="109" t="s">
        <v>949</v>
      </c>
      <c r="D272" s="852" t="s">
        <v>10</v>
      </c>
      <c r="E272" s="853">
        <v>46251</v>
      </c>
      <c r="F272" s="856">
        <f t="shared" si="113"/>
        <v>10</v>
      </c>
      <c r="G272" s="351">
        <v>140100</v>
      </c>
      <c r="H272" s="1258"/>
      <c r="I272" s="1258"/>
      <c r="J272" s="1294"/>
      <c r="K272" s="36"/>
      <c r="L272" s="531">
        <f>+G272+H272+I272-J272-K272</f>
        <v>140100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5"/>
        <v>140100</v>
      </c>
      <c r="Y272" s="787"/>
      <c r="Z272" s="791"/>
      <c r="AA272" s="787"/>
      <c r="AB272" s="787"/>
      <c r="AC272" s="679"/>
    </row>
    <row r="273" spans="1:45" ht="30" customHeight="1" x14ac:dyDescent="0.25">
      <c r="A273" s="2073"/>
      <c r="B273" s="2028"/>
      <c r="C273" s="109" t="s">
        <v>1425</v>
      </c>
      <c r="D273" s="852" t="s">
        <v>10</v>
      </c>
      <c r="E273" s="853">
        <v>46253</v>
      </c>
      <c r="F273" s="856">
        <f t="shared" ref="F273:F274" si="116">$L$7-E273</f>
        <v>8</v>
      </c>
      <c r="G273" s="351">
        <v>159740</v>
      </c>
      <c r="H273" s="36"/>
      <c r="I273" s="36"/>
      <c r="J273" s="1294"/>
      <c r="K273" s="36"/>
      <c r="L273" s="531">
        <f>+G273+H273+I273-J273-K273</f>
        <v>159740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5"/>
        <v>159740</v>
      </c>
      <c r="Y273" s="787"/>
      <c r="Z273" s="791"/>
      <c r="AA273" s="787"/>
      <c r="AB273" s="787"/>
      <c r="AC273" s="679"/>
    </row>
    <row r="274" spans="1:45" ht="30" customHeight="1" x14ac:dyDescent="0.25">
      <c r="A274" s="2073"/>
      <c r="B274" s="2028"/>
      <c r="C274" s="109" t="s">
        <v>850</v>
      </c>
      <c r="D274" s="852" t="s">
        <v>10</v>
      </c>
      <c r="E274" s="853">
        <v>46253</v>
      </c>
      <c r="F274" s="856">
        <f t="shared" si="116"/>
        <v>8</v>
      </c>
      <c r="G274" s="351">
        <v>34400</v>
      </c>
      <c r="H274" s="36">
        <v>76450</v>
      </c>
      <c r="I274" s="36">
        <v>34100</v>
      </c>
      <c r="J274" s="1294"/>
      <c r="K274" s="36">
        <v>114000</v>
      </c>
      <c r="L274" s="531">
        <f t="shared" si="114"/>
        <v>30950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5"/>
        <v>34400</v>
      </c>
      <c r="Y274" s="787"/>
      <c r="Z274" s="791"/>
      <c r="AA274" s="787"/>
      <c r="AB274" s="787"/>
      <c r="AC274" s="679"/>
    </row>
    <row r="275" spans="1:45" ht="30" customHeight="1" x14ac:dyDescent="0.25">
      <c r="A275" s="2073"/>
      <c r="B275" s="2028"/>
      <c r="C275" s="109" t="s">
        <v>1550</v>
      </c>
      <c r="D275" s="852" t="s">
        <v>10</v>
      </c>
      <c r="E275" s="853">
        <v>46255</v>
      </c>
      <c r="F275" s="856">
        <f t="shared" si="113"/>
        <v>6</v>
      </c>
      <c r="G275" s="351">
        <v>180300</v>
      </c>
      <c r="H275" s="36"/>
      <c r="I275" s="36"/>
      <c r="J275" s="1294"/>
      <c r="K275" s="36"/>
      <c r="L275" s="531">
        <f t="shared" si="114"/>
        <v>180300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5"/>
        <v>180300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3"/>
      <c r="B276" s="2028"/>
      <c r="C276" s="109" t="s">
        <v>1421</v>
      </c>
      <c r="D276" s="852" t="s">
        <v>10</v>
      </c>
      <c r="E276" s="853">
        <v>45913</v>
      </c>
      <c r="F276" s="856">
        <f t="shared" si="113"/>
        <v>348</v>
      </c>
      <c r="G276" s="351">
        <v>0</v>
      </c>
      <c r="H276" s="36"/>
      <c r="I276" s="36"/>
      <c r="J276" s="1294"/>
      <c r="K276" s="36"/>
      <c r="L276" s="531">
        <f t="shared" si="114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5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3"/>
      <c r="B277" s="2028"/>
      <c r="C277" s="109" t="s">
        <v>1625</v>
      </c>
      <c r="D277" s="852" t="s">
        <v>10</v>
      </c>
      <c r="E277" s="853">
        <v>46253</v>
      </c>
      <c r="F277" s="856">
        <f t="shared" si="113"/>
        <v>8</v>
      </c>
      <c r="G277" s="549">
        <v>17963</v>
      </c>
      <c r="H277" s="36"/>
      <c r="I277" s="36">
        <f>+SUM(K271:K276)</f>
        <v>114000</v>
      </c>
      <c r="J277" s="1294">
        <f>usage!I31</f>
        <v>115483</v>
      </c>
      <c r="K277" s="36"/>
      <c r="L277" s="531">
        <f t="shared" si="114"/>
        <v>16480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5"/>
        <v>17963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2" t="s">
        <v>109</v>
      </c>
      <c r="B278" s="2023"/>
      <c r="C278" s="88"/>
      <c r="D278" s="864"/>
      <c r="E278" s="939"/>
      <c r="F278" s="865"/>
      <c r="G278" s="1336">
        <v>532503</v>
      </c>
      <c r="H278" s="1336">
        <f t="shared" ref="H278:J278" si="117">+SUM(H271:H277)</f>
        <v>76450</v>
      </c>
      <c r="I278" s="1336">
        <f t="shared" si="117"/>
        <v>148100</v>
      </c>
      <c r="J278" s="1336">
        <f t="shared" si="117"/>
        <v>115483</v>
      </c>
      <c r="K278" s="1336">
        <f>+SUM(K271:K277)</f>
        <v>114000</v>
      </c>
      <c r="L278" s="1336">
        <f>+SUM(L271:L277)</f>
        <v>527570</v>
      </c>
      <c r="M278" s="59">
        <f>IFERROR((R278/$S$2),"")</f>
        <v>102602.16666666667</v>
      </c>
      <c r="N278" s="1185">
        <f>(L278/M278)</f>
        <v>5.1418992126547032</v>
      </c>
      <c r="O278" s="59">
        <f>IFERROR(SUMIF(ETM!$A:$A,$Q278,ETM!$E:$E),"")</f>
        <v>121289.16666666667</v>
      </c>
      <c r="P278" s="1186">
        <f>(L278/O278)</f>
        <v>4.349687729736786</v>
      </c>
      <c r="Q278" s="795" t="s">
        <v>807</v>
      </c>
      <c r="R278" s="785">
        <f>IFERROR(VLOOKUP($Q278,'391'!$P:$W,8,0),"")</f>
        <v>615613</v>
      </c>
      <c r="S278" s="796"/>
      <c r="T278" s="787"/>
      <c r="U278" s="797"/>
      <c r="V278" s="797"/>
      <c r="W278" s="802">
        <f>IFERROR(VLOOKUP($Q278,'391'!$P:$AG,15,0),0)</f>
        <v>540666</v>
      </c>
      <c r="X278" s="799">
        <f t="shared" si="115"/>
        <v>-8163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76" t="str">
        <f>IF(L286=0,"",MAX($A$16:A278)+1)</f>
        <v/>
      </c>
      <c r="B279" s="2046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8">$L$7-E279</f>
        <v>616</v>
      </c>
      <c r="G279" s="296">
        <v>0</v>
      </c>
      <c r="H279" s="36"/>
      <c r="I279" s="36"/>
      <c r="J279" s="1294"/>
      <c r="K279" s="36"/>
      <c r="L279" s="531">
        <f t="shared" ref="L279:L285" si="119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20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5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3"/>
      <c r="B280" s="2072"/>
      <c r="C280" s="109" t="s">
        <v>466</v>
      </c>
      <c r="D280" s="852" t="s">
        <v>10</v>
      </c>
      <c r="E280" s="853">
        <v>45617</v>
      </c>
      <c r="F280" s="856">
        <f t="shared" ref="F280" si="121">$L$7-E280</f>
        <v>644</v>
      </c>
      <c r="G280" s="296">
        <v>0</v>
      </c>
      <c r="H280" s="36"/>
      <c r="I280" s="36"/>
      <c r="J280" s="1320"/>
      <c r="K280" s="1282"/>
      <c r="L280" s="531">
        <f t="shared" ref="L280" si="122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20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3"/>
      <c r="B281" s="2072"/>
      <c r="C281" s="109" t="s">
        <v>476</v>
      </c>
      <c r="D281" s="852" t="s">
        <v>10</v>
      </c>
      <c r="E281" s="853">
        <v>45609</v>
      </c>
      <c r="F281" s="856">
        <f t="shared" si="118"/>
        <v>652</v>
      </c>
      <c r="G281" s="296">
        <v>0</v>
      </c>
      <c r="H281" s="36"/>
      <c r="I281" s="36"/>
      <c r="J281" s="1320"/>
      <c r="K281" s="1282"/>
      <c r="L281" s="531">
        <f t="shared" si="119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20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3"/>
      <c r="B282" s="2072"/>
      <c r="C282" s="109"/>
      <c r="D282" s="852" t="s">
        <v>10</v>
      </c>
      <c r="E282" s="853">
        <v>45618</v>
      </c>
      <c r="F282" s="856">
        <f t="shared" ref="F282" si="123">$L$7-E282</f>
        <v>643</v>
      </c>
      <c r="G282" s="296">
        <v>0</v>
      </c>
      <c r="H282" s="36"/>
      <c r="I282" s="36"/>
      <c r="J282" s="1320"/>
      <c r="K282" s="1282"/>
      <c r="L282" s="531">
        <f t="shared" si="119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20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3"/>
      <c r="B283" s="2072"/>
      <c r="C283" s="109" t="s">
        <v>1511</v>
      </c>
      <c r="D283" s="852" t="s">
        <v>10</v>
      </c>
      <c r="E283" s="853">
        <v>45605</v>
      </c>
      <c r="F283" s="856">
        <f t="shared" si="118"/>
        <v>656</v>
      </c>
      <c r="G283" s="296">
        <v>0</v>
      </c>
      <c r="H283" s="36"/>
      <c r="I283" s="36"/>
      <c r="J283" s="1294"/>
      <c r="K283" s="36"/>
      <c r="L283" s="531">
        <f t="shared" si="119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20"/>
        <v>MUNG BEAN MEALWH4245605</v>
      </c>
      <c r="U283" s="797"/>
      <c r="V283" s="797"/>
      <c r="W283" s="802">
        <f>IFERROR(VLOOKUP($Q283,'391'!$P:$AG,15,0),0)</f>
        <v>0</v>
      </c>
      <c r="X283" s="799">
        <f t="shared" si="115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3"/>
      <c r="B284" s="2072"/>
      <c r="C284" s="109"/>
      <c r="D284" s="852" t="s">
        <v>10</v>
      </c>
      <c r="E284" s="853">
        <v>45625</v>
      </c>
      <c r="F284" s="856">
        <f t="shared" si="118"/>
        <v>636</v>
      </c>
      <c r="G284" s="296">
        <v>0</v>
      </c>
      <c r="H284" s="36"/>
      <c r="I284" s="36"/>
      <c r="J284" s="1294"/>
      <c r="K284" s="36"/>
      <c r="L284" s="531">
        <f t="shared" si="119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20"/>
        <v>MUNG BEAN MEAL45625</v>
      </c>
      <c r="U284" s="797"/>
      <c r="V284" s="797"/>
      <c r="W284" s="802">
        <f>IFERROR(VLOOKUP($Q284,'391'!$P:$AG,15,0),0)</f>
        <v>0</v>
      </c>
      <c r="X284" s="799">
        <f t="shared" si="115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77"/>
      <c r="B285" s="2047"/>
      <c r="C285" s="109" t="s">
        <v>1163</v>
      </c>
      <c r="D285" s="852" t="s">
        <v>10</v>
      </c>
      <c r="E285" s="853">
        <v>45625</v>
      </c>
      <c r="F285" s="856">
        <f t="shared" si="118"/>
        <v>636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9"/>
        <v>0</v>
      </c>
      <c r="M285" s="46"/>
      <c r="N285" s="176"/>
      <c r="O285" s="46"/>
      <c r="P285" s="1293"/>
      <c r="Q285" s="666" t="s">
        <v>1413</v>
      </c>
      <c r="R285" s="785" t="str">
        <f>IFERROR(VLOOKUP($Q285,'391'!$P:$W,8,0),"0")</f>
        <v>0</v>
      </c>
      <c r="S285" s="796"/>
      <c r="T285" s="787" t="str">
        <f t="shared" si="120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2" t="s">
        <v>269</v>
      </c>
      <c r="B286" s="2023"/>
      <c r="C286" s="88"/>
      <c r="D286" s="864"/>
      <c r="E286" s="939"/>
      <c r="F286" s="865"/>
      <c r="G286" s="1296">
        <v>0</v>
      </c>
      <c r="H286" s="1336">
        <f t="shared" ref="H286:L286" si="124">+SUM(H279:H285)</f>
        <v>0</v>
      </c>
      <c r="I286" s="1336">
        <f t="shared" si="124"/>
        <v>0</v>
      </c>
      <c r="J286" s="1336">
        <f t="shared" si="124"/>
        <v>0</v>
      </c>
      <c r="K286" s="1336">
        <f t="shared" si="124"/>
        <v>0</v>
      </c>
      <c r="L286" s="1336">
        <f t="shared" si="124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1403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20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76">
        <f>IF(L293=0,"",MAX($A$16:A279)+1)</f>
        <v>17</v>
      </c>
      <c r="B287" s="2046" t="s">
        <v>1785</v>
      </c>
      <c r="C287" s="1952"/>
      <c r="D287" s="887" t="s">
        <v>10</v>
      </c>
      <c r="E287" s="888">
        <v>46128</v>
      </c>
      <c r="F287" s="70">
        <f t="shared" ref="F287:F292" si="125">$L$7-E287</f>
        <v>133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6">+G287+H287+I287-J287-K287</f>
        <v>0</v>
      </c>
      <c r="M287" s="1716"/>
      <c r="N287" s="1717"/>
      <c r="O287" s="1718"/>
      <c r="P287" s="1719"/>
      <c r="Q287" s="666" t="s">
        <v>1785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7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customHeight="1" x14ac:dyDescent="0.25">
      <c r="A288" s="2073"/>
      <c r="B288" s="2072"/>
      <c r="C288" s="1953" t="s">
        <v>1870</v>
      </c>
      <c r="D288" s="887" t="s">
        <v>10</v>
      </c>
      <c r="E288" s="888">
        <v>46206</v>
      </c>
      <c r="F288" s="70">
        <f t="shared" si="125"/>
        <v>55</v>
      </c>
      <c r="G288" s="247">
        <v>10391.000000000002</v>
      </c>
      <c r="H288" s="312"/>
      <c r="I288" s="312"/>
      <c r="J288" s="1322"/>
      <c r="K288" s="12">
        <f>IFERROR(SUMIF(INTAKE!$A:$A,$T288,INTAKE!$P:$P),0)</f>
        <v>0</v>
      </c>
      <c r="L288" s="1670">
        <f t="shared" si="126"/>
        <v>10391.000000000002</v>
      </c>
      <c r="M288" s="46"/>
      <c r="N288" s="176"/>
      <c r="O288" s="46"/>
      <c r="P288" s="857"/>
      <c r="Q288" s="666" t="s">
        <v>1785</v>
      </c>
      <c r="R288" s="785" t="str">
        <f>IFERROR(VLOOKUP($Q288,'391'!$P:$W,8,0),"")</f>
        <v/>
      </c>
      <c r="T288" s="787" t="str">
        <f>$Q$288&amp;C288&amp;E288</f>
        <v>Mung Bean ShellA346206</v>
      </c>
      <c r="U288" s="787"/>
      <c r="V288" s="787"/>
      <c r="W288" s="802">
        <f>IFERROR(VLOOKUP($Q288,'391'!$P:$AG,15,0),0)</f>
        <v>0</v>
      </c>
      <c r="X288" s="799">
        <f t="shared" si="127"/>
        <v>10391.000000000002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3"/>
      <c r="B289" s="2072"/>
      <c r="C289" s="1009"/>
      <c r="D289" s="887" t="s">
        <v>10</v>
      </c>
      <c r="E289" s="888">
        <v>42305</v>
      </c>
      <c r="F289" s="70">
        <f t="shared" si="125"/>
        <v>3956</v>
      </c>
      <c r="G289" s="312">
        <v>0</v>
      </c>
      <c r="H289" s="312"/>
      <c r="I289" s="312"/>
      <c r="J289" s="1322"/>
      <c r="K289" s="312"/>
      <c r="L289" s="1670">
        <f t="shared" si="126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20"/>
        <v>MUNG BEAN MEAL42305</v>
      </c>
      <c r="U289" s="787"/>
      <c r="V289" s="787"/>
      <c r="W289" s="802">
        <f>IFERROR(VLOOKUP($Q289,'391'!$P:$AG,15,0),0)</f>
        <v>0</v>
      </c>
      <c r="X289" s="799">
        <f t="shared" si="127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3"/>
      <c r="B290" s="2072"/>
      <c r="C290" s="135"/>
      <c r="D290" s="850" t="s">
        <v>10</v>
      </c>
      <c r="E290" s="851">
        <v>43689</v>
      </c>
      <c r="F290" s="42">
        <f t="shared" si="125"/>
        <v>2572</v>
      </c>
      <c r="G290" s="36">
        <v>0</v>
      </c>
      <c r="H290" s="36"/>
      <c r="I290" s="36"/>
      <c r="J290" s="36"/>
      <c r="K290" s="36"/>
      <c r="L290" s="531">
        <f t="shared" si="126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20"/>
        <v>MUNG BEAN MEAL43689</v>
      </c>
      <c r="U290" s="787"/>
      <c r="V290" s="787"/>
      <c r="W290" s="802">
        <f>IFERROR(VLOOKUP($Q290,'391'!$P:$AG,15,0),0)</f>
        <v>0</v>
      </c>
      <c r="X290" s="799">
        <f t="shared" si="127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3"/>
      <c r="B291" s="2072"/>
      <c r="C291" s="135"/>
      <c r="D291" s="850" t="s">
        <v>10</v>
      </c>
      <c r="E291" s="851">
        <v>43194</v>
      </c>
      <c r="F291" s="42">
        <f t="shared" si="125"/>
        <v>3067</v>
      </c>
      <c r="G291" s="36">
        <v>0</v>
      </c>
      <c r="H291" s="36"/>
      <c r="I291" s="36"/>
      <c r="J291" s="36"/>
      <c r="K291" s="36"/>
      <c r="L291" s="531">
        <f t="shared" si="126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20"/>
        <v>MUNG BEAN MEAL43194</v>
      </c>
      <c r="U291" s="787"/>
      <c r="V291" s="787"/>
      <c r="W291" s="802">
        <f>IFERROR(VLOOKUP($Q291,'391'!$P:$AG,15,0),0)</f>
        <v>0</v>
      </c>
      <c r="X291" s="799">
        <f t="shared" si="127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3"/>
      <c r="B292" s="2072"/>
      <c r="C292" s="138" t="s">
        <v>1819</v>
      </c>
      <c r="D292" s="850" t="s">
        <v>10</v>
      </c>
      <c r="E292" s="851">
        <v>46206</v>
      </c>
      <c r="F292" s="42">
        <f t="shared" si="125"/>
        <v>55</v>
      </c>
      <c r="G292" s="28">
        <v>12794</v>
      </c>
      <c r="H292" s="36"/>
      <c r="I292" s="36">
        <f>+K288</f>
        <v>0</v>
      </c>
      <c r="J292" s="36">
        <f>usage!I66</f>
        <v>0</v>
      </c>
      <c r="K292" s="36"/>
      <c r="L292" s="531">
        <f t="shared" si="126"/>
        <v>12794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7"/>
        <v>12794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2" t="s">
        <v>1786</v>
      </c>
      <c r="B293" s="2023"/>
      <c r="C293" s="88"/>
      <c r="D293" s="864"/>
      <c r="E293" s="864"/>
      <c r="F293" s="865"/>
      <c r="G293" s="1296">
        <v>23185</v>
      </c>
      <c r="H293" s="1296">
        <f>+SUM(H287:H292)</f>
        <v>0</v>
      </c>
      <c r="I293" s="1296">
        <f t="shared" ref="I293:L293" si="128">+SUM(I287:I292)</f>
        <v>0</v>
      </c>
      <c r="J293" s="1296">
        <f t="shared" si="128"/>
        <v>0</v>
      </c>
      <c r="K293" s="1296">
        <f t="shared" si="128"/>
        <v>0</v>
      </c>
      <c r="L293" s="1296">
        <f t="shared" si="128"/>
        <v>23185</v>
      </c>
      <c r="M293" s="59">
        <f>IFERROR((R293/$S$2),"")</f>
        <v>556.16666666666663</v>
      </c>
      <c r="N293" s="854">
        <f>IFERROR(L293/M293,0)</f>
        <v>41.687144141444413</v>
      </c>
      <c r="O293" s="59">
        <f>IFERROR(SUMIF(ETM!$A:$A,$Q293,ETM!$E:$E),"")</f>
        <v>199.99999999999997</v>
      </c>
      <c r="P293" s="855">
        <f>IFERROR(L293/O293,0)</f>
        <v>115.92500000000001</v>
      </c>
      <c r="Q293" s="666" t="s">
        <v>1791</v>
      </c>
      <c r="R293" s="785">
        <f>IFERROR(VLOOKUP($Q293,'391'!$P:$W,8,0),"")</f>
        <v>3337</v>
      </c>
      <c r="S293" s="796"/>
      <c r="T293" s="797"/>
      <c r="U293" s="797"/>
      <c r="V293" s="797"/>
      <c r="W293" s="802">
        <f>IFERROR(VLOOKUP($Q293,'391'!$P:$AG,15,0),0)</f>
        <v>23493</v>
      </c>
      <c r="X293" s="799">
        <f>G293-W293</f>
        <v>-308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76" t="str">
        <f>IF(L300=0,"",MAX($A$16:A286)+1)</f>
        <v/>
      </c>
      <c r="B294" s="2046" t="s">
        <v>1494</v>
      </c>
      <c r="C294" s="1959"/>
      <c r="D294" s="850" t="s">
        <v>10</v>
      </c>
      <c r="E294" s="1210">
        <v>46178</v>
      </c>
      <c r="F294" s="1675">
        <f t="shared" ref="F294:F299" si="129">$L$7-E294</f>
        <v>83</v>
      </c>
      <c r="G294" s="1902">
        <v>0</v>
      </c>
      <c r="H294" s="1960"/>
      <c r="I294" s="1960"/>
      <c r="J294" s="1330"/>
      <c r="K294" s="1721"/>
      <c r="L294" s="531">
        <f t="shared" ref="L294:L313" si="130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1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3"/>
      <c r="B295" s="2072"/>
      <c r="C295" s="1961" t="s">
        <v>347</v>
      </c>
      <c r="D295" s="852" t="s">
        <v>10</v>
      </c>
      <c r="E295" s="853">
        <v>46147</v>
      </c>
      <c r="F295" s="1962">
        <f t="shared" ref="F295" si="132">$L$7-E295</f>
        <v>114</v>
      </c>
      <c r="G295" s="1862">
        <v>0</v>
      </c>
      <c r="H295" s="1862"/>
      <c r="I295" s="1862"/>
      <c r="J295" s="1294"/>
      <c r="K295" s="36"/>
      <c r="L295" s="531">
        <f t="shared" si="130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1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3"/>
      <c r="B296" s="2072"/>
      <c r="C296" s="135"/>
      <c r="D296" s="850" t="s">
        <v>10</v>
      </c>
      <c r="E296" s="851">
        <v>42305</v>
      </c>
      <c r="F296" s="42">
        <f t="shared" si="129"/>
        <v>3956</v>
      </c>
      <c r="G296" s="36">
        <v>0</v>
      </c>
      <c r="H296" s="36"/>
      <c r="I296" s="36"/>
      <c r="J296" s="1294"/>
      <c r="K296" s="36"/>
      <c r="L296" s="531">
        <f t="shared" si="130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1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3"/>
      <c r="B297" s="2072"/>
      <c r="C297" s="135"/>
      <c r="D297" s="850" t="s">
        <v>10</v>
      </c>
      <c r="E297" s="851">
        <v>43689</v>
      </c>
      <c r="F297" s="42">
        <f t="shared" si="129"/>
        <v>2572</v>
      </c>
      <c r="G297" s="36">
        <v>0</v>
      </c>
      <c r="H297" s="36"/>
      <c r="I297" s="36"/>
      <c r="J297" s="36"/>
      <c r="K297" s="36"/>
      <c r="L297" s="531">
        <f t="shared" si="130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1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3"/>
      <c r="B298" s="2072"/>
      <c r="C298" s="135"/>
      <c r="D298" s="850" t="s">
        <v>10</v>
      </c>
      <c r="E298" s="851">
        <v>43194</v>
      </c>
      <c r="F298" s="42">
        <f t="shared" si="129"/>
        <v>3067</v>
      </c>
      <c r="G298" s="36">
        <v>0</v>
      </c>
      <c r="H298" s="36"/>
      <c r="I298" s="36"/>
      <c r="J298" s="36"/>
      <c r="K298" s="36"/>
      <c r="L298" s="531">
        <f t="shared" si="130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1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3"/>
      <c r="B299" s="2072"/>
      <c r="C299" s="138" t="s">
        <v>1867</v>
      </c>
      <c r="D299" s="850" t="s">
        <v>10</v>
      </c>
      <c r="E299" s="851">
        <v>46178</v>
      </c>
      <c r="F299" s="42">
        <f t="shared" si="129"/>
        <v>83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30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1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2" t="s">
        <v>1495</v>
      </c>
      <c r="B300" s="2023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3">+SUM(I294:I299)</f>
        <v>0</v>
      </c>
      <c r="J300" s="1296">
        <f t="shared" si="133"/>
        <v>0</v>
      </c>
      <c r="K300" s="1296">
        <f t="shared" si="133"/>
        <v>0</v>
      </c>
      <c r="L300" s="1296">
        <f t="shared" si="133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1500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1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hidden="1" customHeight="1" x14ac:dyDescent="0.25">
      <c r="A301" s="2024">
        <f>IF(L314=0,"",MAX($A$16:A300)+1)</f>
        <v>18</v>
      </c>
      <c r="B301" s="393" t="s">
        <v>1811</v>
      </c>
      <c r="C301" s="1199"/>
      <c r="D301" s="887" t="s">
        <v>10</v>
      </c>
      <c r="E301" s="1777">
        <v>46127</v>
      </c>
      <c r="F301" s="1674">
        <f t="shared" ref="F301:F302" si="134">$L$7-E301</f>
        <v>134</v>
      </c>
      <c r="G301" s="1778">
        <v>0</v>
      </c>
      <c r="H301" s="18"/>
      <c r="I301" s="18"/>
      <c r="J301" s="1338"/>
      <c r="K301" s="1379">
        <f>IFERROR(SUMIF(INTAKE!$A:$A,$T301,INTAKE!$P:$P),0)</f>
        <v>0</v>
      </c>
      <c r="L301" s="1670">
        <f t="shared" si="130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(USA)46127</v>
      </c>
      <c r="U301" s="797"/>
      <c r="V301" s="797"/>
      <c r="W301" s="802">
        <f>IFERROR(VLOOKUP($Q301,'391'!$P:$AG,15,0),0)</f>
        <v>0</v>
      </c>
      <c r="X301" s="799">
        <f t="shared" si="131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5"/>
      <c r="B302" s="393" t="s">
        <v>88</v>
      </c>
      <c r="C302" s="1199" t="s">
        <v>1615</v>
      </c>
      <c r="D302" s="887" t="s">
        <v>10</v>
      </c>
      <c r="E302" s="1777">
        <v>46253</v>
      </c>
      <c r="F302" s="1674">
        <f t="shared" si="134"/>
        <v>8</v>
      </c>
      <c r="G302" s="1778">
        <v>22086</v>
      </c>
      <c r="H302" s="1778"/>
      <c r="I302" s="1778"/>
      <c r="J302" s="1486"/>
      <c r="K302" s="12">
        <f>IFERROR(SUMIF(INTAKE!$A:$A,$T302,INTAKE!$P:$P),0)</f>
        <v>0</v>
      </c>
      <c r="L302" s="1670">
        <f t="shared" si="130"/>
        <v>22086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(USA)B24.246253</v>
      </c>
      <c r="U302" s="797"/>
      <c r="V302" s="797"/>
      <c r="W302" s="802">
        <f>IFERROR(VLOOKUP($Q302,'391'!$P:$AG,15,0),0)</f>
        <v>0</v>
      </c>
      <c r="X302" s="799">
        <f t="shared" si="131"/>
        <v>22086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5"/>
      <c r="B303" s="393" t="s">
        <v>2247</v>
      </c>
      <c r="C303" s="1199" t="s">
        <v>325</v>
      </c>
      <c r="D303" s="887" t="s">
        <v>10</v>
      </c>
      <c r="E303" s="1777">
        <v>46260</v>
      </c>
      <c r="F303" s="1674">
        <f t="shared" ref="F303" si="135">$L$7-E303</f>
        <v>1</v>
      </c>
      <c r="G303" s="1778">
        <v>23320</v>
      </c>
      <c r="H303" s="1778"/>
      <c r="I303" s="1778"/>
      <c r="J303" s="1486"/>
      <c r="K303" s="12">
        <f>IFERROR(SUMIF(INTAKE!$A:$A,$T303,INTAKE!$P:$P),0)</f>
        <v>0</v>
      </c>
      <c r="L303" s="1670">
        <f t="shared" si="130"/>
        <v>23320</v>
      </c>
      <c r="M303" s="46"/>
      <c r="N303" s="176"/>
      <c r="O303" s="46"/>
      <c r="P303" s="748"/>
      <c r="Q303" s="795" t="s">
        <v>2170</v>
      </c>
      <c r="R303" s="785" t="str">
        <f>IFERROR(VLOOKUP($Q303,'391'!$P:$W,8,0),"")</f>
        <v/>
      </c>
      <c r="S303" s="796"/>
      <c r="T303" s="787" t="str">
        <f>$Q$306&amp;C303&amp;E303</f>
        <v>Feather Meal (USA)B24.146260</v>
      </c>
      <c r="U303" s="797"/>
      <c r="V303" s="797"/>
      <c r="W303" s="802">
        <f>IFERROR(VLOOKUP($Q303,'391'!$P:$AG,15,0),0)</f>
        <v>0</v>
      </c>
      <c r="X303" s="799">
        <f t="shared" si="131"/>
        <v>23320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5"/>
      <c r="B304" s="393" t="s">
        <v>88</v>
      </c>
      <c r="C304" s="1199"/>
      <c r="D304" s="887" t="s">
        <v>10</v>
      </c>
      <c r="E304" s="1777">
        <v>46240</v>
      </c>
      <c r="F304" s="1674">
        <f t="shared" ref="F304" si="136">$L$7-E304</f>
        <v>21</v>
      </c>
      <c r="G304" s="1778">
        <v>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7">+G304+H304+I304-J304-K304</f>
        <v>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(USA)46240</v>
      </c>
      <c r="U304" s="797"/>
      <c r="V304" s="797"/>
      <c r="W304" s="802">
        <f>IFERROR(VLOOKUP($Q304,'391'!$P:$AG,15,0),0)</f>
        <v>0</v>
      </c>
      <c r="X304" s="799">
        <f t="shared" ref="X304" si="138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5"/>
      <c r="B305" s="393" t="s">
        <v>88</v>
      </c>
      <c r="C305" s="1199"/>
      <c r="D305" s="887" t="s">
        <v>10</v>
      </c>
      <c r="E305" s="1777">
        <v>46129</v>
      </c>
      <c r="F305" s="1674">
        <f t="shared" ref="F305:F313" si="139">$L$7-E305</f>
        <v>132</v>
      </c>
      <c r="G305" s="1778">
        <v>0</v>
      </c>
      <c r="H305" s="1778"/>
      <c r="I305" s="1778"/>
      <c r="J305" s="1486"/>
      <c r="K305" s="12">
        <f>IFERROR(SUMIF(INTAKE!$A:$A,$T305,INTAKE!$P:$P),0)</f>
        <v>0</v>
      </c>
      <c r="L305" s="1944">
        <f t="shared" si="130"/>
        <v>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(USA)46129</v>
      </c>
      <c r="U305" s="797"/>
      <c r="V305" s="797"/>
      <c r="W305" s="802">
        <f>IFERROR(VLOOKUP($Q305,'391'!$P:$AG,15,0),0)</f>
        <v>0</v>
      </c>
      <c r="X305" s="799">
        <f t="shared" si="131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5"/>
      <c r="B306" s="2036" t="s">
        <v>1555</v>
      </c>
      <c r="C306" s="2037"/>
      <c r="D306" s="1783"/>
      <c r="E306" s="1784"/>
      <c r="F306" s="1785"/>
      <c r="G306" s="1786">
        <v>45406</v>
      </c>
      <c r="H306" s="1786">
        <f t="shared" ref="H306:K306" si="140">+SUM(H301:H305)</f>
        <v>0</v>
      </c>
      <c r="I306" s="1786">
        <f t="shared" si="140"/>
        <v>0</v>
      </c>
      <c r="J306" s="1786">
        <f t="shared" si="140"/>
        <v>0</v>
      </c>
      <c r="K306" s="1786">
        <f t="shared" si="140"/>
        <v>0</v>
      </c>
      <c r="L306" s="1786">
        <f t="shared" ref="L306" si="141">+SUM(L301:L305)</f>
        <v>45406</v>
      </c>
      <c r="M306" s="2033"/>
      <c r="N306" s="2034"/>
      <c r="O306" s="2034"/>
      <c r="P306" s="2035"/>
      <c r="Q306" s="666" t="s">
        <v>1655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1"/>
        <v>45406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5"/>
      <c r="B307" s="393" t="s">
        <v>1751</v>
      </c>
      <c r="C307" s="1199" t="s">
        <v>1748</v>
      </c>
      <c r="D307" s="887" t="s">
        <v>10</v>
      </c>
      <c r="E307" s="888">
        <v>46059</v>
      </c>
      <c r="F307" s="70">
        <f t="shared" ref="F307" si="142">$L$7-E307</f>
        <v>202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30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1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5"/>
      <c r="B308" s="393" t="s">
        <v>1580</v>
      </c>
      <c r="C308" s="114"/>
      <c r="D308" s="887" t="s">
        <v>10</v>
      </c>
      <c r="E308" s="888">
        <v>45780</v>
      </c>
      <c r="F308" s="70">
        <f t="shared" ref="F308" si="143">$L$7-E308</f>
        <v>481</v>
      </c>
      <c r="G308" s="300">
        <v>0</v>
      </c>
      <c r="H308" s="300"/>
      <c r="I308" s="18"/>
      <c r="J308" s="1338"/>
      <c r="K308" s="18"/>
      <c r="L308" s="1670">
        <f t="shared" si="130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1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5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4">$L$7-E309</f>
        <v>471</v>
      </c>
      <c r="G309" s="300">
        <v>0</v>
      </c>
      <c r="H309" s="300"/>
      <c r="I309" s="18"/>
      <c r="J309" s="1338"/>
      <c r="K309" s="18"/>
      <c r="L309" s="1670">
        <f t="shared" si="130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1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5"/>
      <c r="B310" s="393" t="s">
        <v>88</v>
      </c>
      <c r="C310" s="127"/>
      <c r="D310" s="887" t="s">
        <v>10</v>
      </c>
      <c r="E310" s="888">
        <v>45217</v>
      </c>
      <c r="F310" s="70">
        <f t="shared" si="139"/>
        <v>1044</v>
      </c>
      <c r="G310" s="300">
        <v>0</v>
      </c>
      <c r="H310" s="18"/>
      <c r="I310" s="18"/>
      <c r="J310" s="1338"/>
      <c r="K310" s="18"/>
      <c r="L310" s="531">
        <f t="shared" si="130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1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5"/>
      <c r="B311" s="393" t="s">
        <v>88</v>
      </c>
      <c r="C311" s="127"/>
      <c r="D311" s="887" t="s">
        <v>10</v>
      </c>
      <c r="E311" s="888">
        <v>44890</v>
      </c>
      <c r="F311" s="70">
        <f t="shared" si="139"/>
        <v>1371</v>
      </c>
      <c r="G311" s="300">
        <v>0</v>
      </c>
      <c r="H311" s="18"/>
      <c r="I311" s="18"/>
      <c r="J311" s="1338"/>
      <c r="K311" s="18"/>
      <c r="L311" s="531">
        <f t="shared" si="130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1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5"/>
      <c r="B312" s="2036" t="s">
        <v>1556</v>
      </c>
      <c r="C312" s="2037"/>
      <c r="D312" s="1783"/>
      <c r="E312" s="1784"/>
      <c r="F312" s="1785"/>
      <c r="G312" s="1786">
        <v>0</v>
      </c>
      <c r="H312" s="1786">
        <f t="shared" ref="H312:K312" si="145">+SUM(H307:H311)</f>
        <v>0</v>
      </c>
      <c r="I312" s="1786">
        <f t="shared" si="145"/>
        <v>0</v>
      </c>
      <c r="J312" s="1786">
        <f t="shared" si="145"/>
        <v>0</v>
      </c>
      <c r="K312" s="1786">
        <f t="shared" si="145"/>
        <v>0</v>
      </c>
      <c r="L312" s="1786">
        <f>+SUM(L307:L311)</f>
        <v>0</v>
      </c>
      <c r="M312" s="2033"/>
      <c r="N312" s="2034"/>
      <c r="O312" s="2034"/>
      <c r="P312" s="2035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1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5"/>
      <c r="B313" s="923" t="s">
        <v>2168</v>
      </c>
      <c r="C313" s="138" t="s">
        <v>1341</v>
      </c>
      <c r="D313" s="863" t="s">
        <v>10</v>
      </c>
      <c r="E313" s="886">
        <v>46240</v>
      </c>
      <c r="F313" s="39">
        <f t="shared" si="139"/>
        <v>21</v>
      </c>
      <c r="G313" s="28">
        <v>22988</v>
      </c>
      <c r="H313" s="28"/>
      <c r="I313" s="37">
        <f>SUM(K301:K305)+K307</f>
        <v>0</v>
      </c>
      <c r="J313" s="1295">
        <f>usage!I34</f>
        <v>6492</v>
      </c>
      <c r="K313" s="1846"/>
      <c r="L313" s="531">
        <f t="shared" si="130"/>
        <v>16496</v>
      </c>
      <c r="M313" s="40"/>
      <c r="N313" s="84"/>
      <c r="O313" s="40"/>
      <c r="P313" s="736"/>
      <c r="Q313" s="666" t="s">
        <v>1668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1"/>
        <v>22988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2" t="s">
        <v>110</v>
      </c>
      <c r="B314" s="2023"/>
      <c r="C314" s="2038"/>
      <c r="D314" s="2039"/>
      <c r="E314" s="2039"/>
      <c r="F314" s="2039"/>
      <c r="G314" s="1296">
        <v>68394</v>
      </c>
      <c r="H314" s="1296">
        <f t="shared" ref="H314:L314" si="146">+H306+H312+H313</f>
        <v>0</v>
      </c>
      <c r="I314" s="1296">
        <f t="shared" si="146"/>
        <v>0</v>
      </c>
      <c r="J314" s="1296">
        <f>SUM(J301:J313)</f>
        <v>6492</v>
      </c>
      <c r="K314" s="1296">
        <f t="shared" si="146"/>
        <v>0</v>
      </c>
      <c r="L314" s="1296">
        <f t="shared" si="146"/>
        <v>61902</v>
      </c>
      <c r="M314" s="59">
        <f>IFERROR((R314/$S$2),"")</f>
        <v>2839.6666666666665</v>
      </c>
      <c r="N314" s="854">
        <f>IFERROR(L314/M314,0)</f>
        <v>21.79903744570959</v>
      </c>
      <c r="O314" s="59">
        <f>IFERROR(SUMIF(ETM!$A:$A,$Q314,ETM!$E:$E),"")</f>
        <v>3777.3333333333335</v>
      </c>
      <c r="P314" s="880">
        <f>IFERROR(L314/O314,0)</f>
        <v>16.387751500176492</v>
      </c>
      <c r="Q314" s="795" t="s">
        <v>820</v>
      </c>
      <c r="R314" s="785">
        <f>IFERROR(VLOOKUP($Q314,'391'!$P:$W,8,0),"")</f>
        <v>17038</v>
      </c>
      <c r="S314" s="796"/>
      <c r="T314" s="797"/>
      <c r="U314" s="797"/>
      <c r="V314" s="797"/>
      <c r="W314" s="802">
        <f>IFERROR(VLOOKUP($Q314,'391'!$P:$AG,15,0),0)</f>
        <v>57432</v>
      </c>
      <c r="X314" s="799">
        <f t="shared" si="131"/>
        <v>10962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66" t="str">
        <f>IF(L318=0,"",MAX($A$16:$A$313)+1)</f>
        <v/>
      </c>
      <c r="B315" s="2046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1419</v>
      </c>
      <c r="G315" s="300">
        <v>0</v>
      </c>
      <c r="H315" s="18"/>
      <c r="I315" s="18"/>
      <c r="J315" s="1338"/>
      <c r="K315" s="18"/>
      <c r="L315" s="531">
        <f t="shared" ref="L315:L340" si="147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1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1"/>
      <c r="B316" s="2115"/>
      <c r="C316" s="127" t="s">
        <v>324</v>
      </c>
      <c r="D316" s="887" t="s">
        <v>10</v>
      </c>
      <c r="E316" s="888">
        <v>45001</v>
      </c>
      <c r="F316" s="70">
        <f>$L$7-E316</f>
        <v>1260</v>
      </c>
      <c r="G316" s="300">
        <v>0</v>
      </c>
      <c r="H316" s="18"/>
      <c r="I316" s="18"/>
      <c r="J316" s="1338"/>
      <c r="K316" s="18"/>
      <c r="L316" s="531">
        <f t="shared" si="147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1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67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1260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7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1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2" t="s">
        <v>1357</v>
      </c>
      <c r="B318" s="2023"/>
      <c r="C318" s="2038"/>
      <c r="D318" s="2039"/>
      <c r="E318" s="2039"/>
      <c r="F318" s="2039"/>
      <c r="G318" s="1296">
        <v>0</v>
      </c>
      <c r="H318" s="1296">
        <f t="shared" ref="H318:K318" si="148">+SUM(H315:H317)</f>
        <v>0</v>
      </c>
      <c r="I318" s="1296">
        <f t="shared" si="148"/>
        <v>0</v>
      </c>
      <c r="J318" s="1296">
        <f t="shared" si="148"/>
        <v>0</v>
      </c>
      <c r="K318" s="1296">
        <f t="shared" si="148"/>
        <v>0</v>
      </c>
      <c r="L318" s="531">
        <f t="shared" si="147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1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3" t="str">
        <f>IF(L322=0,"",MAX($A$16:A314)+1)</f>
        <v/>
      </c>
      <c r="B319" s="2061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4933</v>
      </c>
      <c r="G319" s="18">
        <v>0</v>
      </c>
      <c r="H319" s="1339"/>
      <c r="I319" s="36"/>
      <c r="J319" s="1294"/>
      <c r="K319" s="36"/>
      <c r="L319" s="531">
        <f t="shared" si="147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1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5"/>
      <c r="B320" s="2062"/>
      <c r="C320" s="115" t="s">
        <v>83</v>
      </c>
      <c r="D320" s="887" t="s">
        <v>10</v>
      </c>
      <c r="E320" s="888">
        <v>41418</v>
      </c>
      <c r="F320" s="70">
        <f>$L$7-E320</f>
        <v>4843</v>
      </c>
      <c r="G320" s="18">
        <v>0</v>
      </c>
      <c r="H320" s="1339"/>
      <c r="I320" s="36"/>
      <c r="J320" s="1294"/>
      <c r="K320" s="36"/>
      <c r="L320" s="531">
        <f t="shared" si="147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1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4"/>
      <c r="B321" s="2064"/>
      <c r="C321" s="171" t="s">
        <v>126</v>
      </c>
      <c r="D321" s="912" t="s">
        <v>10</v>
      </c>
      <c r="E321" s="913">
        <v>41328</v>
      </c>
      <c r="F321" s="911">
        <f>$L$7-E321</f>
        <v>4933</v>
      </c>
      <c r="G321" s="914">
        <v>0</v>
      </c>
      <c r="H321" s="1340"/>
      <c r="I321" s="914"/>
      <c r="J321" s="1341"/>
      <c r="K321" s="914"/>
      <c r="L321" s="531">
        <f t="shared" si="147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1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2" t="s">
        <v>951</v>
      </c>
      <c r="B322" s="2023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7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9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66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1900</v>
      </c>
      <c r="G323" s="300">
        <v>0</v>
      </c>
      <c r="H323" s="300"/>
      <c r="I323" s="300"/>
      <c r="J323" s="1300"/>
      <c r="K323" s="300"/>
      <c r="L323" s="531">
        <f t="shared" si="147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9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1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1909</v>
      </c>
      <c r="G324" s="300">
        <v>0</v>
      </c>
      <c r="H324" s="300"/>
      <c r="I324" s="300"/>
      <c r="J324" s="1300"/>
      <c r="K324" s="300"/>
      <c r="L324" s="531">
        <f t="shared" si="147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9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1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1900</v>
      </c>
      <c r="G325" s="300">
        <v>0</v>
      </c>
      <c r="H325" s="300"/>
      <c r="I325" s="300"/>
      <c r="J325" s="1300"/>
      <c r="K325" s="300"/>
      <c r="L325" s="531">
        <f t="shared" si="147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9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1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1900</v>
      </c>
      <c r="G326" s="300">
        <v>0</v>
      </c>
      <c r="H326" s="300"/>
      <c r="I326" s="300"/>
      <c r="J326" s="1300"/>
      <c r="K326" s="300"/>
      <c r="L326" s="531">
        <f t="shared" si="147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9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67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1900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7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9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2" t="s">
        <v>519</v>
      </c>
      <c r="B328" s="2023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7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9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5" t="str">
        <f>IF(L341=0,"",MAX($A$16:A328)+1)</f>
        <v/>
      </c>
      <c r="B329" s="393" t="s">
        <v>1543</v>
      </c>
      <c r="C329" s="114" t="s">
        <v>325</v>
      </c>
      <c r="D329" s="887" t="s">
        <v>10</v>
      </c>
      <c r="E329" s="888">
        <v>45681</v>
      </c>
      <c r="F329" s="70">
        <f t="shared" ref="F329" si="150">$L$7-E329</f>
        <v>580</v>
      </c>
      <c r="G329" s="300">
        <v>0</v>
      </c>
      <c r="H329" s="1345"/>
      <c r="I329" s="1345"/>
      <c r="J329" s="1346"/>
      <c r="K329" s="1347"/>
      <c r="L329" s="1670">
        <f t="shared" si="147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9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5"/>
      <c r="B330" s="2036" t="s">
        <v>1559</v>
      </c>
      <c r="C330" s="2037"/>
      <c r="D330" s="1783"/>
      <c r="E330" s="1784"/>
      <c r="F330" s="1785"/>
      <c r="G330" s="1786">
        <v>0</v>
      </c>
      <c r="H330" s="1786">
        <f t="shared" ref="H330:L330" si="151">+H329</f>
        <v>0</v>
      </c>
      <c r="I330" s="1786">
        <f t="shared" si="151"/>
        <v>0</v>
      </c>
      <c r="J330" s="1786">
        <f t="shared" si="151"/>
        <v>0</v>
      </c>
      <c r="K330" s="1786">
        <f t="shared" si="151"/>
        <v>0</v>
      </c>
      <c r="L330" s="1786">
        <f t="shared" si="151"/>
        <v>0</v>
      </c>
      <c r="M330" s="2033"/>
      <c r="N330" s="2034"/>
      <c r="O330" s="2034"/>
      <c r="P330" s="2035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9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5"/>
      <c r="B331" s="393" t="s">
        <v>1752</v>
      </c>
      <c r="C331" s="114"/>
      <c r="D331" s="887" t="s">
        <v>10</v>
      </c>
      <c r="E331" s="888">
        <v>46059</v>
      </c>
      <c r="F331" s="70">
        <f t="shared" ref="F331:F334" si="152">$L$7-E331</f>
        <v>202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53">+G331+H331+I331-J331-K331</f>
        <v>0</v>
      </c>
      <c r="M331" s="48"/>
      <c r="N331" s="163"/>
      <c r="O331" s="48"/>
      <c r="P331" s="738"/>
      <c r="Q331" s="666" t="s">
        <v>1706</v>
      </c>
      <c r="R331" s="785" t="str">
        <f>IFERROR(VLOOKUP($Q331,'391'!$P:$W,8,0),"")</f>
        <v/>
      </c>
      <c r="S331" s="796"/>
      <c r="T331" s="787" t="str">
        <f t="shared" ref="T331" si="154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9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5"/>
      <c r="B332" s="393" t="s">
        <v>1793</v>
      </c>
      <c r="C332" s="114"/>
      <c r="D332" s="887" t="s">
        <v>10</v>
      </c>
      <c r="E332" s="888">
        <v>46107</v>
      </c>
      <c r="F332" s="70">
        <f t="shared" si="152"/>
        <v>154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9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5"/>
      <c r="B333" s="393" t="s">
        <v>1794</v>
      </c>
      <c r="C333" s="114" t="s">
        <v>1615</v>
      </c>
      <c r="D333" s="887" t="s">
        <v>10</v>
      </c>
      <c r="E333" s="888">
        <v>46111</v>
      </c>
      <c r="F333" s="70">
        <f t="shared" si="152"/>
        <v>150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9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5"/>
      <c r="B334" s="393" t="s">
        <v>1800</v>
      </c>
      <c r="C334" s="114" t="s">
        <v>515</v>
      </c>
      <c r="D334" s="887" t="s">
        <v>10</v>
      </c>
      <c r="E334" s="888">
        <v>46114</v>
      </c>
      <c r="F334" s="70">
        <f t="shared" si="152"/>
        <v>147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53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9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5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5">$L$7-E335</f>
        <v>147</v>
      </c>
      <c r="G335" s="64">
        <v>0</v>
      </c>
      <c r="H335" s="300"/>
      <c r="I335" s="300"/>
      <c r="J335" s="1300"/>
      <c r="K335" s="1347"/>
      <c r="L335" s="1670">
        <f t="shared" si="153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9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5"/>
      <c r="B336" s="393" t="s">
        <v>1719</v>
      </c>
      <c r="C336" s="114"/>
      <c r="D336" s="887" t="s">
        <v>10</v>
      </c>
      <c r="E336" s="888">
        <v>46017</v>
      </c>
      <c r="F336" s="70">
        <f t="shared" ref="F336:F340" si="156">$L$7-E336</f>
        <v>244</v>
      </c>
      <c r="G336" s="64">
        <v>0</v>
      </c>
      <c r="H336" s="300"/>
      <c r="I336" s="300"/>
      <c r="J336" s="1300"/>
      <c r="K336" s="1347"/>
      <c r="L336" s="1670">
        <f t="shared" si="153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9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5"/>
      <c r="B337" s="393" t="s">
        <v>1398</v>
      </c>
      <c r="C337" s="114"/>
      <c r="D337" s="887" t="s">
        <v>10</v>
      </c>
      <c r="E337" s="888">
        <v>45327</v>
      </c>
      <c r="F337" s="70">
        <f t="shared" si="156"/>
        <v>934</v>
      </c>
      <c r="G337" s="300">
        <v>0</v>
      </c>
      <c r="H337" s="300"/>
      <c r="I337" s="300"/>
      <c r="J337" s="1300"/>
      <c r="K337" s="306"/>
      <c r="L337" s="531">
        <f t="shared" si="147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9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5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6"/>
        <v>2014</v>
      </c>
      <c r="G338" s="300">
        <v>0</v>
      </c>
      <c r="H338" s="300"/>
      <c r="I338" s="300"/>
      <c r="J338" s="1300"/>
      <c r="K338" s="306"/>
      <c r="L338" s="531">
        <f t="shared" si="147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9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5"/>
      <c r="B339" s="2036" t="s">
        <v>1560</v>
      </c>
      <c r="C339" s="2037"/>
      <c r="D339" s="1783"/>
      <c r="E339" s="1784"/>
      <c r="F339" s="1785"/>
      <c r="G339" s="1786">
        <v>0</v>
      </c>
      <c r="H339" s="1786">
        <f t="shared" ref="H339:L339" si="157">+SUM(H331:H338)</f>
        <v>0</v>
      </c>
      <c r="I339" s="1786">
        <f t="shared" si="157"/>
        <v>0</v>
      </c>
      <c r="J339" s="1786">
        <f t="shared" si="157"/>
        <v>0</v>
      </c>
      <c r="K339" s="1786">
        <f t="shared" si="157"/>
        <v>0</v>
      </c>
      <c r="L339" s="1786">
        <f t="shared" si="157"/>
        <v>0</v>
      </c>
      <c r="M339" s="2033"/>
      <c r="N339" s="2034"/>
      <c r="O339" s="2034"/>
      <c r="P339" s="2035"/>
      <c r="Q339" s="795" t="s">
        <v>1694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9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5"/>
      <c r="B340" s="923" t="s">
        <v>1800</v>
      </c>
      <c r="C340" s="106" t="s">
        <v>1318</v>
      </c>
      <c r="D340" s="850" t="s">
        <v>10</v>
      </c>
      <c r="E340" s="851">
        <v>46114</v>
      </c>
      <c r="F340" s="39">
        <f t="shared" si="156"/>
        <v>147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7"/>
        <v>0</v>
      </c>
      <c r="M340" s="40"/>
      <c r="N340" s="84"/>
      <c r="O340" s="40"/>
      <c r="P340" s="736"/>
      <c r="Q340" s="666" t="s">
        <v>1621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9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2" t="s">
        <v>294</v>
      </c>
      <c r="B341" s="2023"/>
      <c r="C341" s="88"/>
      <c r="D341" s="864"/>
      <c r="E341" s="864"/>
      <c r="F341" s="865"/>
      <c r="G341" s="1296">
        <v>0</v>
      </c>
      <c r="H341" s="1296">
        <f t="shared" ref="H341:I341" si="158">+H340+H339+H330</f>
        <v>0</v>
      </c>
      <c r="I341" s="1296">
        <f t="shared" si="158"/>
        <v>0</v>
      </c>
      <c r="J341" s="1296">
        <f t="shared" ref="J341" si="159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1395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76">
        <f>IF(L377=0,"",MAX($A$16:A341)+1)</f>
        <v>19</v>
      </c>
      <c r="B342" s="394" t="s">
        <v>1527</v>
      </c>
      <c r="C342" s="139" t="s">
        <v>330</v>
      </c>
      <c r="D342" s="1949" t="s">
        <v>10</v>
      </c>
      <c r="E342" s="1950">
        <v>46256</v>
      </c>
      <c r="F342" s="1951">
        <f t="shared" ref="F342:F344" si="160">$L$7-E342</f>
        <v>5</v>
      </c>
      <c r="G342" s="311">
        <v>29480</v>
      </c>
      <c r="H342" s="1855"/>
      <c r="I342" s="1778"/>
      <c r="J342" s="1486"/>
      <c r="K342" s="12">
        <f>IFERROR(SUMIF(INTAKE!$A:$A,$T342,INTAKE!$P:$P),0)</f>
        <v>0</v>
      </c>
      <c r="L342" s="1703">
        <f t="shared" ref="L342:L376" si="161">+G342+H342+I342-J342-K342</f>
        <v>29480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62">$Q$376&amp;C342&amp;E342</f>
        <v>Pork Meat Bone Meal (USA)B22.246256</v>
      </c>
      <c r="U342" s="787"/>
      <c r="V342" s="787"/>
      <c r="W342" s="802">
        <f>IFERROR(VLOOKUP($Q342,'391'!$P:$AG,15,0),0)</f>
        <v>0</v>
      </c>
      <c r="X342" s="799">
        <f t="shared" ref="X342:X390" si="163">G342-W342</f>
        <v>29480</v>
      </c>
      <c r="Y342" s="787"/>
      <c r="Z342" s="791"/>
      <c r="AA342" s="787"/>
      <c r="AB342" s="787"/>
      <c r="AC342" s="679"/>
    </row>
    <row r="343" spans="1:45" ht="30" customHeight="1" x14ac:dyDescent="0.25">
      <c r="A343" s="2073"/>
      <c r="B343" s="394" t="s">
        <v>1527</v>
      </c>
      <c r="C343" s="139" t="s">
        <v>487</v>
      </c>
      <c r="D343" s="1949" t="s">
        <v>10</v>
      </c>
      <c r="E343" s="1950">
        <v>46256</v>
      </c>
      <c r="F343" s="1951">
        <f t="shared" si="160"/>
        <v>5</v>
      </c>
      <c r="G343" s="311">
        <v>30520</v>
      </c>
      <c r="H343" s="1855"/>
      <c r="I343" s="1778"/>
      <c r="J343" s="1486"/>
      <c r="K343" s="12">
        <f>IFERROR(SUMIF(INTAKE!$A:$A,$T343,INTAKE!$P:$P),0)</f>
        <v>0</v>
      </c>
      <c r="L343" s="1703">
        <f t="shared" ref="L343:L345" si="164">+G343+H343+I343-J343-K343</f>
        <v>30520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62"/>
        <v>Pork Meat Bone Meal (USA)B22.146256</v>
      </c>
      <c r="U343" s="787"/>
      <c r="V343" s="787"/>
      <c r="W343" s="802">
        <f>IFERROR(VLOOKUP($Q343,'391'!$P:$AG,15,0),0)</f>
        <v>0</v>
      </c>
      <c r="X343" s="799">
        <f t="shared" ref="X343" si="165">G343-W343</f>
        <v>30520</v>
      </c>
      <c r="Y343" s="787"/>
      <c r="Z343" s="791"/>
      <c r="AA343" s="787"/>
      <c r="AB343" s="787"/>
      <c r="AC343" s="679"/>
    </row>
    <row r="344" spans="1:45" ht="30" customHeight="1" x14ac:dyDescent="0.25">
      <c r="A344" s="2073"/>
      <c r="B344" s="394" t="s">
        <v>2244</v>
      </c>
      <c r="C344" s="139" t="s">
        <v>83</v>
      </c>
      <c r="D344" s="1949" t="s">
        <v>10</v>
      </c>
      <c r="E344" s="1950">
        <v>46259</v>
      </c>
      <c r="F344" s="1951">
        <f t="shared" si="160"/>
        <v>2</v>
      </c>
      <c r="G344" s="311">
        <v>16200</v>
      </c>
      <c r="H344" s="1855"/>
      <c r="I344" s="1778"/>
      <c r="J344" s="1486"/>
      <c r="K344" s="12">
        <f>IFERROR(SUMIF(INTAKE!$A:$A,$T344,INTAKE!$P:$P),0)</f>
        <v>8100</v>
      </c>
      <c r="L344" s="1703">
        <f t="shared" si="164"/>
        <v>8100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62"/>
        <v>Pork Meat Bone Meal (USA)B23.246259</v>
      </c>
      <c r="U344" s="787"/>
      <c r="V344" s="787"/>
      <c r="W344" s="802">
        <f>IFERROR(VLOOKUP($Q344,'391'!$P:$AG,15,0),0)</f>
        <v>0</v>
      </c>
      <c r="X344" s="799">
        <f t="shared" ref="X344" si="166">G344-W344</f>
        <v>16200</v>
      </c>
      <c r="Y344" s="787"/>
      <c r="Z344" s="791"/>
      <c r="AA344" s="787"/>
      <c r="AB344" s="787"/>
      <c r="AC344" s="679"/>
    </row>
    <row r="345" spans="1:45" ht="30" customHeight="1" x14ac:dyDescent="0.25">
      <c r="A345" s="2073"/>
      <c r="B345" s="394" t="s">
        <v>1527</v>
      </c>
      <c r="C345" s="139" t="s">
        <v>2217</v>
      </c>
      <c r="D345" s="1949" t="s">
        <v>10</v>
      </c>
      <c r="E345" s="1950">
        <v>46260</v>
      </c>
      <c r="F345" s="1951">
        <f t="shared" ref="F345" si="167">$L$7-E345</f>
        <v>1</v>
      </c>
      <c r="G345" s="311">
        <v>30680</v>
      </c>
      <c r="H345" s="1855"/>
      <c r="I345" s="1778"/>
      <c r="J345" s="1486"/>
      <c r="K345" s="1779"/>
      <c r="L345" s="1703">
        <f t="shared" si="164"/>
        <v>30680</v>
      </c>
      <c r="M345" s="46"/>
      <c r="N345" s="1465"/>
      <c r="O345" s="147"/>
      <c r="P345" s="734"/>
      <c r="Q345" s="666" t="s">
        <v>1704</v>
      </c>
      <c r="R345" s="785" t="str">
        <f>IFERROR(VLOOKUP($Q345,'391'!$P:$W,8,0),"")</f>
        <v/>
      </c>
      <c r="T345" s="787" t="str">
        <f t="shared" si="162"/>
        <v>Pork Meat Bone Meal (USA)B23.146260</v>
      </c>
      <c r="U345" s="787"/>
      <c r="V345" s="787"/>
      <c r="W345" s="802">
        <f>IFERROR(VLOOKUP($Q345,'391'!$P:$AG,15,0),0)</f>
        <v>0</v>
      </c>
      <c r="X345" s="799">
        <f t="shared" si="163"/>
        <v>30680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73"/>
      <c r="B346" s="394" t="s">
        <v>1527</v>
      </c>
      <c r="C346" s="139"/>
      <c r="D346" s="1949" t="s">
        <v>10</v>
      </c>
      <c r="E346" s="1950">
        <v>46245</v>
      </c>
      <c r="F346" s="1951">
        <f t="shared" ref="F346" si="168">$L$7-E346</f>
        <v>16</v>
      </c>
      <c r="G346" s="311">
        <v>0</v>
      </c>
      <c r="H346" s="1855"/>
      <c r="I346" s="1778"/>
      <c r="J346" s="1486"/>
      <c r="K346" s="1779"/>
      <c r="L346" s="1703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2"/>
        <v>Pork Meat Bone Meal (USA)46245</v>
      </c>
      <c r="U346" s="787"/>
      <c r="V346" s="787"/>
      <c r="W346" s="802">
        <f>IFERROR(VLOOKUP($Q346,'391'!$P:$AG,15,0),0)</f>
        <v>0</v>
      </c>
      <c r="X346" s="799">
        <f t="shared" ref="X346:X349" si="169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3"/>
      <c r="B347" s="394" t="s">
        <v>1527</v>
      </c>
      <c r="C347" s="139"/>
      <c r="D347" s="1949" t="s">
        <v>10</v>
      </c>
      <c r="E347" s="1950">
        <v>46233</v>
      </c>
      <c r="F347" s="1951">
        <f t="shared" ref="F347" si="170">$L$7-E347</f>
        <v>28</v>
      </c>
      <c r="G347" s="311">
        <v>0</v>
      </c>
      <c r="H347" s="1855"/>
      <c r="I347" s="1778"/>
      <c r="J347" s="1486"/>
      <c r="K347" s="1779"/>
      <c r="L347" s="1703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2"/>
        <v>Pork Meat Bone Meal (USA)46233</v>
      </c>
      <c r="U347" s="787"/>
      <c r="V347" s="787"/>
      <c r="W347" s="802">
        <f>IFERROR(VLOOKUP($Q347,'391'!$P:$AG,15,0),0)</f>
        <v>0</v>
      </c>
      <c r="X347" s="799">
        <f t="shared" si="169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3"/>
      <c r="B348" s="394" t="s">
        <v>1527</v>
      </c>
      <c r="C348" s="139"/>
      <c r="D348" s="1949" t="s">
        <v>10</v>
      </c>
      <c r="E348" s="1950">
        <v>46231</v>
      </c>
      <c r="F348" s="1951">
        <f t="shared" ref="F348" si="171">$L$7-E348</f>
        <v>30</v>
      </c>
      <c r="G348" s="311">
        <v>0</v>
      </c>
      <c r="H348" s="1855"/>
      <c r="I348" s="1778"/>
      <c r="J348" s="1486"/>
      <c r="K348" s="1779"/>
      <c r="L348" s="1703">
        <f t="shared" ref="L348:L349" si="172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2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9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3"/>
      <c r="B349" s="394" t="s">
        <v>1527</v>
      </c>
      <c r="C349" s="139"/>
      <c r="D349" s="1949" t="s">
        <v>10</v>
      </c>
      <c r="E349" s="1950">
        <v>46211</v>
      </c>
      <c r="F349" s="1951">
        <f t="shared" ref="F349" si="173">$L$7-E349</f>
        <v>50</v>
      </c>
      <c r="G349" s="311">
        <v>0</v>
      </c>
      <c r="H349" s="1855"/>
      <c r="I349" s="1778"/>
      <c r="J349" s="1486"/>
      <c r="K349" s="1779"/>
      <c r="L349" s="1703">
        <f t="shared" si="172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2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9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3"/>
      <c r="B350" s="394" t="s">
        <v>1859</v>
      </c>
      <c r="C350" s="139"/>
      <c r="D350" s="1949" t="s">
        <v>10</v>
      </c>
      <c r="E350" s="1950">
        <v>46198</v>
      </c>
      <c r="F350" s="1951">
        <f t="shared" ref="F350" si="174">$L$7-E350</f>
        <v>63</v>
      </c>
      <c r="G350" s="311">
        <v>0</v>
      </c>
      <c r="H350" s="1855"/>
      <c r="I350" s="1778"/>
      <c r="J350" s="1486"/>
      <c r="K350" s="1779"/>
      <c r="L350" s="11">
        <f t="shared" si="161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62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3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3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75">$L$7-E351</f>
        <v>63</v>
      </c>
      <c r="G351" s="311">
        <v>0</v>
      </c>
      <c r="H351" s="1855"/>
      <c r="I351" s="1778"/>
      <c r="J351" s="1486"/>
      <c r="K351" s="1779"/>
      <c r="L351" s="1891">
        <f t="shared" si="161"/>
        <v>0</v>
      </c>
      <c r="M351" s="48"/>
      <c r="N351" s="249"/>
      <c r="O351" s="101"/>
      <c r="P351" s="1820"/>
      <c r="Q351" s="1819"/>
      <c r="T351" s="787" t="str">
        <f t="shared" si="162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3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6">$L$7-E352</f>
        <v>84</v>
      </c>
      <c r="G352" s="311">
        <v>0</v>
      </c>
      <c r="H352" s="1855"/>
      <c r="I352" s="1778"/>
      <c r="J352" s="1486"/>
      <c r="K352" s="1779"/>
      <c r="L352" s="1891">
        <f t="shared" si="161"/>
        <v>0</v>
      </c>
      <c r="M352" s="1487"/>
      <c r="N352" s="1908"/>
      <c r="O352" s="1280"/>
      <c r="P352" s="1281"/>
      <c r="Q352" s="1819"/>
      <c r="T352" s="787" t="str">
        <f t="shared" si="162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3"/>
      <c r="B353" s="394" t="s">
        <v>1846</v>
      </c>
      <c r="C353" s="139"/>
      <c r="D353" s="1949" t="s">
        <v>10</v>
      </c>
      <c r="E353" s="1950">
        <v>46170</v>
      </c>
      <c r="F353" s="1951">
        <f t="shared" ref="F353" si="177">$L$7-E353</f>
        <v>91</v>
      </c>
      <c r="G353" s="311">
        <v>0</v>
      </c>
      <c r="H353" s="1855"/>
      <c r="I353" s="1778"/>
      <c r="J353" s="1486"/>
      <c r="K353" s="1779"/>
      <c r="L353" s="1914">
        <f t="shared" si="161"/>
        <v>0</v>
      </c>
      <c r="M353" s="1867"/>
      <c r="N353" s="1915"/>
      <c r="O353" s="1916"/>
      <c r="P353" s="1861"/>
      <c r="Q353" s="1819"/>
      <c r="T353" s="787" t="str">
        <f t="shared" si="162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3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8">$L$7-E354</f>
        <v>91</v>
      </c>
      <c r="G354" s="311">
        <v>0</v>
      </c>
      <c r="H354" s="1855"/>
      <c r="I354" s="1778"/>
      <c r="J354" s="1486"/>
      <c r="K354" s="1779"/>
      <c r="L354" s="1914">
        <f t="shared" ref="L354:L357" si="179">+G354+H354+I354-J354-K354</f>
        <v>0</v>
      </c>
      <c r="M354" s="1867"/>
      <c r="N354" s="1915"/>
      <c r="O354" s="1916"/>
      <c r="P354" s="1861"/>
      <c r="Q354" s="1819"/>
      <c r="T354" s="787" t="str">
        <f t="shared" si="162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3"/>
      <c r="B355" s="394" t="s">
        <v>1527</v>
      </c>
      <c r="C355" s="139"/>
      <c r="D355" s="1949" t="s">
        <v>10</v>
      </c>
      <c r="E355" s="1950">
        <v>46136</v>
      </c>
      <c r="F355" s="1951">
        <f t="shared" ref="F355" si="180">$L$7-E355</f>
        <v>125</v>
      </c>
      <c r="G355" s="311">
        <v>0</v>
      </c>
      <c r="H355" s="311"/>
      <c r="I355" s="1855"/>
      <c r="J355" s="1912"/>
      <c r="K355" s="1913"/>
      <c r="L355" s="1923">
        <f t="shared" ref="L355:L356" si="181">+G355+H355+I355-J355-K355</f>
        <v>0</v>
      </c>
      <c r="M355" s="1771"/>
      <c r="N355" s="1924"/>
      <c r="O355" s="1925"/>
      <c r="P355" s="1772"/>
      <c r="Q355" s="1819"/>
      <c r="T355" s="787" t="str">
        <f t="shared" si="162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3"/>
      <c r="B356" s="394" t="s">
        <v>1527</v>
      </c>
      <c r="C356" s="139"/>
      <c r="D356" s="1949" t="s">
        <v>10</v>
      </c>
      <c r="E356" s="1950">
        <v>46136</v>
      </c>
      <c r="F356" s="1951">
        <f t="shared" ref="F356" si="182">$L$7-E356</f>
        <v>125</v>
      </c>
      <c r="G356" s="311">
        <v>0</v>
      </c>
      <c r="H356" s="311"/>
      <c r="I356" s="1855"/>
      <c r="J356" s="1912"/>
      <c r="K356" s="1913"/>
      <c r="L356" s="1914">
        <f t="shared" si="181"/>
        <v>0</v>
      </c>
      <c r="M356" s="1867"/>
      <c r="N356" s="1915"/>
      <c r="O356" s="1916"/>
      <c r="P356" s="1861"/>
      <c r="Q356" s="1819"/>
      <c r="T356" s="787" t="str">
        <f t="shared" si="162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3"/>
      <c r="B357" s="394" t="s">
        <v>1527</v>
      </c>
      <c r="C357" s="1880"/>
      <c r="D357" s="866" t="s">
        <v>10</v>
      </c>
      <c r="E357" s="867">
        <v>46066</v>
      </c>
      <c r="F357" s="1881">
        <f t="shared" ref="F357" si="183">$L$7-E357</f>
        <v>195</v>
      </c>
      <c r="G357" s="1855">
        <v>0</v>
      </c>
      <c r="H357" s="1855"/>
      <c r="I357" s="1855"/>
      <c r="J357" s="1912"/>
      <c r="K357" s="1913"/>
      <c r="L357" s="1914">
        <f t="shared" si="179"/>
        <v>0</v>
      </c>
      <c r="M357" s="1867"/>
      <c r="N357" s="1915"/>
      <c r="O357" s="1916"/>
      <c r="P357" s="1861"/>
      <c r="Q357" s="1819"/>
      <c r="T357" s="787" t="str">
        <f t="shared" si="162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3"/>
      <c r="B358" s="394" t="s">
        <v>1527</v>
      </c>
      <c r="C358" s="139"/>
      <c r="D358" s="1115" t="s">
        <v>10</v>
      </c>
      <c r="E358" s="1926">
        <v>46066</v>
      </c>
      <c r="F358" s="1927">
        <f t="shared" ref="F358" si="184">$L$7-E358</f>
        <v>195</v>
      </c>
      <c r="G358" s="1928">
        <v>0</v>
      </c>
      <c r="H358" s="311"/>
      <c r="I358" s="1928"/>
      <c r="J358" s="1929"/>
      <c r="K358" s="1930"/>
      <c r="L358" s="1909">
        <f t="shared" si="161"/>
        <v>0</v>
      </c>
      <c r="M358" s="49"/>
      <c r="N358" s="1910"/>
      <c r="O358" s="381"/>
      <c r="P358" s="1911"/>
      <c r="Q358" s="1819"/>
      <c r="T358" s="787" t="str">
        <f t="shared" si="162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3"/>
      <c r="B359" s="2036" t="s">
        <v>1557</v>
      </c>
      <c r="C359" s="2037"/>
      <c r="D359" s="1783"/>
      <c r="E359" s="1784"/>
      <c r="F359" s="1785"/>
      <c r="G359" s="1786">
        <v>106880</v>
      </c>
      <c r="H359" s="1786">
        <f t="shared" ref="H359:L359" si="185">+SUM(H342:H358)</f>
        <v>0</v>
      </c>
      <c r="I359" s="1786">
        <f t="shared" si="185"/>
        <v>0</v>
      </c>
      <c r="J359" s="1786">
        <f t="shared" si="185"/>
        <v>0</v>
      </c>
      <c r="K359" s="1786">
        <f t="shared" si="185"/>
        <v>8100</v>
      </c>
      <c r="L359" s="1892">
        <f t="shared" si="185"/>
        <v>98780</v>
      </c>
      <c r="M359" s="2033"/>
      <c r="N359" s="2034"/>
      <c r="O359" s="2034"/>
      <c r="P359" s="2035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3"/>
        <v>106880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3"/>
      <c r="B360" s="394" t="s">
        <v>2144</v>
      </c>
      <c r="C360" s="139"/>
      <c r="D360" s="1949" t="s">
        <v>10</v>
      </c>
      <c r="E360" s="1950">
        <v>46233</v>
      </c>
      <c r="F360" s="1951">
        <f t="shared" ref="F360" si="186">$L$7-E360</f>
        <v>28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61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3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3"/>
      <c r="B361" s="394" t="s">
        <v>1606</v>
      </c>
      <c r="C361" s="225" t="s">
        <v>83</v>
      </c>
      <c r="D361" s="916" t="s">
        <v>10</v>
      </c>
      <c r="E361" s="917">
        <v>45826</v>
      </c>
      <c r="F361" s="918">
        <f t="shared" ref="F361" si="187">$L$7-E361</f>
        <v>435</v>
      </c>
      <c r="G361" s="300">
        <v>0</v>
      </c>
      <c r="H361" s="18"/>
      <c r="I361" s="18"/>
      <c r="J361" s="1338"/>
      <c r="K361" s="1345"/>
      <c r="L361" s="1703">
        <f t="shared" si="161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3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3"/>
      <c r="B362" s="394" t="s">
        <v>1606</v>
      </c>
      <c r="C362" s="225" t="s">
        <v>83</v>
      </c>
      <c r="D362" s="916" t="s">
        <v>10</v>
      </c>
      <c r="E362" s="917">
        <v>45826</v>
      </c>
      <c r="F362" s="918">
        <f t="shared" ref="F362" si="188">$L$7-E362</f>
        <v>435</v>
      </c>
      <c r="G362" s="300">
        <v>0</v>
      </c>
      <c r="H362" s="18"/>
      <c r="I362" s="18"/>
      <c r="J362" s="1338"/>
      <c r="K362" s="1345"/>
      <c r="L362" s="1703">
        <f t="shared" si="161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3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3"/>
      <c r="B363" s="394" t="s">
        <v>1527</v>
      </c>
      <c r="C363" s="225" t="s">
        <v>487</v>
      </c>
      <c r="D363" s="916" t="s">
        <v>10</v>
      </c>
      <c r="E363" s="917">
        <v>45825</v>
      </c>
      <c r="F363" s="918">
        <f t="shared" ref="F363:F364" si="189">$L$7-E363</f>
        <v>436</v>
      </c>
      <c r="G363" s="300">
        <v>0</v>
      </c>
      <c r="H363" s="18"/>
      <c r="I363" s="18"/>
      <c r="J363" s="1338"/>
      <c r="K363" s="300"/>
      <c r="L363" s="1703">
        <f t="shared" si="161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3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3"/>
      <c r="B364" s="394" t="s">
        <v>1527</v>
      </c>
      <c r="C364" s="225" t="s">
        <v>83</v>
      </c>
      <c r="D364" s="916" t="s">
        <v>10</v>
      </c>
      <c r="E364" s="917">
        <v>45826</v>
      </c>
      <c r="F364" s="918">
        <f t="shared" si="189"/>
        <v>435</v>
      </c>
      <c r="G364" s="300">
        <v>0</v>
      </c>
      <c r="H364" s="18"/>
      <c r="I364" s="18"/>
      <c r="J364" s="1338"/>
      <c r="K364" s="300"/>
      <c r="L364" s="1703">
        <f t="shared" si="161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3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3"/>
      <c r="B365" s="394" t="s">
        <v>1527</v>
      </c>
      <c r="C365" s="225" t="s">
        <v>83</v>
      </c>
      <c r="D365" s="916" t="s">
        <v>10</v>
      </c>
      <c r="E365" s="917">
        <v>45826</v>
      </c>
      <c r="F365" s="918">
        <f t="shared" ref="F365" si="190">$L$7-E365</f>
        <v>435</v>
      </c>
      <c r="G365" s="300">
        <v>0</v>
      </c>
      <c r="H365" s="18"/>
      <c r="I365" s="18"/>
      <c r="J365" s="1338"/>
      <c r="K365" s="300"/>
      <c r="L365" s="1703">
        <f t="shared" si="161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3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3"/>
      <c r="B366" s="394" t="s">
        <v>1527</v>
      </c>
      <c r="C366" s="225"/>
      <c r="D366" s="916" t="s">
        <v>10</v>
      </c>
      <c r="E366" s="917">
        <v>45730</v>
      </c>
      <c r="F366" s="918">
        <f t="shared" ref="F366" si="191">$L$7-E366</f>
        <v>531</v>
      </c>
      <c r="G366" s="300">
        <v>0</v>
      </c>
      <c r="H366" s="18"/>
      <c r="I366" s="18"/>
      <c r="J366" s="1338"/>
      <c r="K366" s="300"/>
      <c r="L366" s="1703">
        <f t="shared" si="161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3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3"/>
      <c r="B367" s="394" t="s">
        <v>1527</v>
      </c>
      <c r="C367" s="225" t="s">
        <v>330</v>
      </c>
      <c r="D367" s="916" t="s">
        <v>10</v>
      </c>
      <c r="E367" s="917">
        <v>45730</v>
      </c>
      <c r="F367" s="918">
        <f t="shared" ref="F367:F370" si="192">$L$7-E367</f>
        <v>531</v>
      </c>
      <c r="G367" s="300">
        <v>0</v>
      </c>
      <c r="H367" s="18"/>
      <c r="I367" s="18"/>
      <c r="J367" s="1338"/>
      <c r="K367" s="1345"/>
      <c r="L367" s="1703">
        <f t="shared" si="161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3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3"/>
      <c r="B368" s="394" t="s">
        <v>1527</v>
      </c>
      <c r="C368" s="225"/>
      <c r="D368" s="916" t="s">
        <v>10</v>
      </c>
      <c r="E368" s="917">
        <v>45679</v>
      </c>
      <c r="F368" s="918">
        <f t="shared" si="192"/>
        <v>582</v>
      </c>
      <c r="G368" s="300">
        <v>0</v>
      </c>
      <c r="H368" s="18"/>
      <c r="I368" s="18"/>
      <c r="J368" s="1338"/>
      <c r="K368" s="300"/>
      <c r="L368" s="1703">
        <f t="shared" si="161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3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3"/>
      <c r="B369" s="394" t="s">
        <v>1527</v>
      </c>
      <c r="C369" s="225"/>
      <c r="D369" s="916" t="s">
        <v>10</v>
      </c>
      <c r="E369" s="917">
        <v>45679</v>
      </c>
      <c r="F369" s="918">
        <f t="shared" si="192"/>
        <v>582</v>
      </c>
      <c r="G369" s="300">
        <v>0</v>
      </c>
      <c r="H369" s="18"/>
      <c r="I369" s="18"/>
      <c r="J369" s="1338"/>
      <c r="K369" s="300"/>
      <c r="L369" s="1703">
        <f t="shared" ref="L369:L370" si="193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4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3"/>
      <c r="B370" s="394" t="s">
        <v>1527</v>
      </c>
      <c r="C370" s="225" t="s">
        <v>515</v>
      </c>
      <c r="D370" s="916" t="s">
        <v>10</v>
      </c>
      <c r="E370" s="917">
        <v>45622</v>
      </c>
      <c r="F370" s="918">
        <f t="shared" si="192"/>
        <v>639</v>
      </c>
      <c r="G370" s="300">
        <v>0</v>
      </c>
      <c r="H370" s="18"/>
      <c r="I370" s="18"/>
      <c r="J370" s="1338"/>
      <c r="K370" s="300"/>
      <c r="L370" s="1703">
        <f t="shared" si="193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4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3"/>
      <c r="B371" s="394" t="s">
        <v>1527</v>
      </c>
      <c r="C371" s="225"/>
      <c r="D371" s="916" t="s">
        <v>10</v>
      </c>
      <c r="E371" s="917">
        <v>45679</v>
      </c>
      <c r="F371" s="918">
        <f t="shared" ref="F371" si="195">$L$7-E371</f>
        <v>582</v>
      </c>
      <c r="G371" s="300">
        <v>0</v>
      </c>
      <c r="H371" s="18"/>
      <c r="I371" s="18"/>
      <c r="J371" s="1338"/>
      <c r="K371" s="300"/>
      <c r="L371" s="1703">
        <f t="shared" si="161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3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3"/>
      <c r="B372" s="394" t="s">
        <v>1527</v>
      </c>
      <c r="C372" s="225" t="s">
        <v>515</v>
      </c>
      <c r="D372" s="916" t="s">
        <v>10</v>
      </c>
      <c r="E372" s="917">
        <v>45622</v>
      </c>
      <c r="F372" s="918">
        <f t="shared" ref="F372:F373" si="196">$L$7-E372</f>
        <v>639</v>
      </c>
      <c r="G372" s="300">
        <v>0</v>
      </c>
      <c r="H372" s="18"/>
      <c r="I372" s="18"/>
      <c r="J372" s="1338"/>
      <c r="K372" s="300"/>
      <c r="L372" s="1703">
        <f t="shared" si="161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3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3"/>
      <c r="B373" s="394" t="s">
        <v>1527</v>
      </c>
      <c r="C373" s="225" t="s">
        <v>487</v>
      </c>
      <c r="D373" s="916" t="s">
        <v>10</v>
      </c>
      <c r="E373" s="917">
        <v>45622</v>
      </c>
      <c r="F373" s="918">
        <f t="shared" si="196"/>
        <v>639</v>
      </c>
      <c r="G373" s="300">
        <v>0</v>
      </c>
      <c r="H373" s="18"/>
      <c r="I373" s="18"/>
      <c r="J373" s="1338"/>
      <c r="K373" s="300"/>
      <c r="L373" s="1703">
        <f t="shared" ref="L373:L374" si="197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8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3"/>
      <c r="B374" s="394" t="s">
        <v>1512</v>
      </c>
      <c r="C374" s="225" t="s">
        <v>1510</v>
      </c>
      <c r="D374" s="916" t="s">
        <v>10</v>
      </c>
      <c r="E374" s="917">
        <v>45591</v>
      </c>
      <c r="F374" s="918">
        <f t="shared" ref="F374" si="199">$L$7-E374</f>
        <v>670</v>
      </c>
      <c r="G374" s="300">
        <v>0</v>
      </c>
      <c r="H374" s="18"/>
      <c r="I374" s="18"/>
      <c r="J374" s="1338"/>
      <c r="K374" s="300"/>
      <c r="L374" s="1703">
        <f t="shared" si="197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8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3"/>
      <c r="B375" s="2036" t="s">
        <v>1558</v>
      </c>
      <c r="C375" s="2037"/>
      <c r="D375" s="1783"/>
      <c r="E375" s="1784"/>
      <c r="F375" s="1785"/>
      <c r="G375" s="1786">
        <v>0</v>
      </c>
      <c r="H375" s="1786">
        <f t="shared" ref="H375:K375" si="200">+SUM(H360:H374)</f>
        <v>0</v>
      </c>
      <c r="I375" s="1786">
        <f t="shared" si="200"/>
        <v>0</v>
      </c>
      <c r="J375" s="1786">
        <f t="shared" si="200"/>
        <v>0</v>
      </c>
      <c r="K375" s="1786">
        <f t="shared" si="200"/>
        <v>0</v>
      </c>
      <c r="L375" s="1892">
        <f>+SUM(L360:L374)</f>
        <v>0</v>
      </c>
      <c r="M375" s="2033"/>
      <c r="N375" s="2034"/>
      <c r="O375" s="2034"/>
      <c r="P375" s="2035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8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3"/>
      <c r="B376" s="923" t="s">
        <v>2244</v>
      </c>
      <c r="C376" s="106" t="s">
        <v>343</v>
      </c>
      <c r="D376" s="1706" t="s">
        <v>10</v>
      </c>
      <c r="E376" s="1707">
        <v>46259</v>
      </c>
      <c r="F376" s="918">
        <f t="shared" ref="F376" si="201">$L$7-E376</f>
        <v>2</v>
      </c>
      <c r="G376" s="296">
        <v>12040</v>
      </c>
      <c r="H376" s="919"/>
      <c r="I376" s="28">
        <f>+K375+K359</f>
        <v>8100</v>
      </c>
      <c r="J376" s="1307">
        <f>+usage!I37</f>
        <v>12328</v>
      </c>
      <c r="K376" s="919"/>
      <c r="L376" s="1534">
        <f t="shared" si="161"/>
        <v>7812</v>
      </c>
      <c r="M376" s="40"/>
      <c r="N376" s="84"/>
      <c r="O376" s="40"/>
      <c r="P376" s="736"/>
      <c r="Q376" s="666" t="s">
        <v>1590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3"/>
        <v>12040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2" t="s">
        <v>111</v>
      </c>
      <c r="B377" s="2023"/>
      <c r="C377" s="1815"/>
      <c r="D377" s="921"/>
      <c r="E377" s="921"/>
      <c r="F377" s="865"/>
      <c r="G377" s="1296">
        <v>118920</v>
      </c>
      <c r="H377" s="1296">
        <f t="shared" ref="H377" si="202">+H375+H359+H376</f>
        <v>0</v>
      </c>
      <c r="I377" s="1296">
        <f>+I375+I359+I376</f>
        <v>8100</v>
      </c>
      <c r="J377" s="1296">
        <f>+SUM(J342:J376)</f>
        <v>12328</v>
      </c>
      <c r="K377" s="1296">
        <f>+K376+K375+K359</f>
        <v>8100</v>
      </c>
      <c r="L377" s="1296">
        <f>+L376+L375+L359</f>
        <v>106592</v>
      </c>
      <c r="M377" s="59">
        <f>IFERROR((R377/$S$2),"")</f>
        <v>12362.333333333334</v>
      </c>
      <c r="N377" s="854">
        <f>IFERROR((L377/M377),"")</f>
        <v>8.6223204896594492</v>
      </c>
      <c r="O377" s="59">
        <f>IFERROR(SUMIF(ETM!$A:$A,$Q377,ETM!$E:$E),"")</f>
        <v>15820</v>
      </c>
      <c r="P377" s="880">
        <f>IFERROR(L377/O377,0)</f>
        <v>6.7378002528445009</v>
      </c>
      <c r="Q377" s="795" t="s">
        <v>1202</v>
      </c>
      <c r="R377" s="785">
        <f>IFERROR(VLOOKUP($Q377,'391'!$P:$W,8,0),"")</f>
        <v>74174</v>
      </c>
      <c r="S377" s="796"/>
      <c r="T377" s="797"/>
      <c r="U377" s="797"/>
      <c r="V377" s="797"/>
      <c r="W377" s="802">
        <f>IFERROR(VLOOKUP($Q377,'391'!$P:$AG,15,0),0)</f>
        <v>99950</v>
      </c>
      <c r="X377" s="799">
        <f t="shared" si="163"/>
        <v>18970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1" t="s">
        <v>8</v>
      </c>
      <c r="B378" s="2122"/>
      <c r="C378" s="1203"/>
      <c r="D378" s="869"/>
      <c r="E378" s="922"/>
      <c r="F378" s="1048"/>
      <c r="G378" s="1818">
        <f t="shared" ref="G378:L378" si="203">SUM(G225,G229,G233,G239,G246,G263,G268,G278,,G286,G300,G314,G341,G377,G328,G318,G251,G293)</f>
        <v>6260423</v>
      </c>
      <c r="H378" s="1818">
        <f t="shared" si="203"/>
        <v>877050</v>
      </c>
      <c r="I378" s="1818">
        <f t="shared" si="203"/>
        <v>996200</v>
      </c>
      <c r="J378" s="1818">
        <f t="shared" si="203"/>
        <v>600014</v>
      </c>
      <c r="K378" s="1818">
        <f t="shared" si="203"/>
        <v>962100</v>
      </c>
      <c r="L378" s="1818">
        <f t="shared" si="203"/>
        <v>6571559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3"/>
        <v>6260423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0" t="str">
        <f>IF(L391=0,"",MAX($A$16:A377)+1)</f>
        <v/>
      </c>
      <c r="B379" s="2046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4">$L$7-E379</f>
        <v>1512</v>
      </c>
      <c r="G379" s="18">
        <v>0</v>
      </c>
      <c r="H379" s="1984"/>
      <c r="I379" s="312"/>
      <c r="J379" s="1322"/>
      <c r="K379" s="312"/>
      <c r="L379" s="531">
        <f t="shared" ref="L379:L422" si="205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3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1"/>
      <c r="B380" s="2068"/>
      <c r="C380" s="110" t="s">
        <v>151</v>
      </c>
      <c r="D380" s="881" t="s">
        <v>10</v>
      </c>
      <c r="E380" s="888">
        <v>44750</v>
      </c>
      <c r="F380" s="72">
        <f t="shared" si="204"/>
        <v>1511</v>
      </c>
      <c r="G380" s="18">
        <v>0</v>
      </c>
      <c r="H380" s="1984"/>
      <c r="I380" s="312"/>
      <c r="J380" s="1322"/>
      <c r="K380" s="312"/>
      <c r="L380" s="531">
        <f t="shared" si="205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3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1"/>
      <c r="B381" s="2068"/>
      <c r="C381" s="110" t="s">
        <v>506</v>
      </c>
      <c r="D381" s="881" t="s">
        <v>10</v>
      </c>
      <c r="E381" s="888">
        <v>44750</v>
      </c>
      <c r="F381" s="72">
        <f t="shared" si="204"/>
        <v>1511</v>
      </c>
      <c r="G381" s="18">
        <v>0</v>
      </c>
      <c r="H381" s="1984"/>
      <c r="I381" s="312"/>
      <c r="J381" s="1322"/>
      <c r="K381" s="312"/>
      <c r="L381" s="531">
        <f t="shared" si="205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3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1"/>
      <c r="B382" s="2068"/>
      <c r="C382" s="110" t="s">
        <v>360</v>
      </c>
      <c r="D382" s="881" t="s">
        <v>10</v>
      </c>
      <c r="E382" s="888">
        <v>44676</v>
      </c>
      <c r="F382" s="72">
        <f t="shared" si="204"/>
        <v>1585</v>
      </c>
      <c r="G382" s="18">
        <v>0</v>
      </c>
      <c r="H382" s="1984"/>
      <c r="I382" s="312"/>
      <c r="J382" s="1322"/>
      <c r="K382" s="312"/>
      <c r="L382" s="531">
        <f t="shared" si="205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3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1"/>
      <c r="B383" s="2068"/>
      <c r="C383" s="110" t="s">
        <v>360</v>
      </c>
      <c r="D383" s="881" t="s">
        <v>10</v>
      </c>
      <c r="E383" s="888">
        <v>44676</v>
      </c>
      <c r="F383" s="72">
        <f t="shared" si="204"/>
        <v>1585</v>
      </c>
      <c r="G383" s="18">
        <v>0</v>
      </c>
      <c r="H383" s="1984"/>
      <c r="I383" s="312"/>
      <c r="J383" s="1322"/>
      <c r="K383" s="312"/>
      <c r="L383" s="531">
        <f t="shared" si="205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3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1"/>
      <c r="B384" s="2068"/>
      <c r="C384" s="110"/>
      <c r="D384" s="881" t="s">
        <v>10</v>
      </c>
      <c r="E384" s="888">
        <v>44676</v>
      </c>
      <c r="F384" s="72">
        <f t="shared" si="204"/>
        <v>1585</v>
      </c>
      <c r="G384" s="18">
        <v>0</v>
      </c>
      <c r="H384" s="1984"/>
      <c r="I384" s="312"/>
      <c r="J384" s="1322"/>
      <c r="K384" s="312"/>
      <c r="L384" s="531">
        <f t="shared" si="205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3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1"/>
      <c r="B385" s="2068"/>
      <c r="C385" s="110"/>
      <c r="D385" s="881" t="s">
        <v>10</v>
      </c>
      <c r="E385" s="888">
        <v>44676</v>
      </c>
      <c r="F385" s="72">
        <f t="shared" si="204"/>
        <v>1585</v>
      </c>
      <c r="G385" s="18">
        <v>0</v>
      </c>
      <c r="H385" s="1984"/>
      <c r="I385" s="312"/>
      <c r="J385" s="1322"/>
      <c r="K385" s="312"/>
      <c r="L385" s="531">
        <f t="shared" si="205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3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1"/>
      <c r="B386" s="2068"/>
      <c r="C386" s="110" t="s">
        <v>360</v>
      </c>
      <c r="D386" s="881" t="s">
        <v>10</v>
      </c>
      <c r="E386" s="888">
        <v>44676</v>
      </c>
      <c r="F386" s="72">
        <f t="shared" si="204"/>
        <v>1585</v>
      </c>
      <c r="G386" s="18">
        <v>0</v>
      </c>
      <c r="H386" s="1984"/>
      <c r="I386" s="312"/>
      <c r="J386" s="1322"/>
      <c r="K386" s="312"/>
      <c r="L386" s="531">
        <f t="shared" si="205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3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1"/>
      <c r="B387" s="2068"/>
      <c r="C387" s="110" t="s">
        <v>578</v>
      </c>
      <c r="D387" s="881" t="s">
        <v>10</v>
      </c>
      <c r="E387" s="888">
        <v>44369</v>
      </c>
      <c r="F387" s="72">
        <f t="shared" si="204"/>
        <v>1892</v>
      </c>
      <c r="G387" s="18">
        <v>0</v>
      </c>
      <c r="H387" s="1984"/>
      <c r="I387" s="312"/>
      <c r="J387" s="1322"/>
      <c r="K387" s="312"/>
      <c r="L387" s="531">
        <f t="shared" si="205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3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1"/>
      <c r="B388" s="2068"/>
      <c r="C388" s="110" t="s">
        <v>351</v>
      </c>
      <c r="D388" s="881" t="s">
        <v>10</v>
      </c>
      <c r="E388" s="888">
        <v>44084</v>
      </c>
      <c r="F388" s="72">
        <f t="shared" si="204"/>
        <v>2177</v>
      </c>
      <c r="G388" s="18">
        <v>0</v>
      </c>
      <c r="H388" s="1984"/>
      <c r="I388" s="312"/>
      <c r="J388" s="1322"/>
      <c r="K388" s="312"/>
      <c r="L388" s="531">
        <f t="shared" si="205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3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1"/>
      <c r="B389" s="2068"/>
      <c r="C389" s="110" t="s">
        <v>256</v>
      </c>
      <c r="D389" s="881" t="s">
        <v>10</v>
      </c>
      <c r="E389" s="888">
        <v>44072</v>
      </c>
      <c r="F389" s="72">
        <f t="shared" si="204"/>
        <v>2189</v>
      </c>
      <c r="G389" s="18">
        <v>0</v>
      </c>
      <c r="H389" s="1984"/>
      <c r="I389" s="312"/>
      <c r="J389" s="1322"/>
      <c r="K389" s="312"/>
      <c r="L389" s="531">
        <f t="shared" si="205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3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1"/>
      <c r="B390" s="2068"/>
      <c r="C390" s="61" t="s">
        <v>1121</v>
      </c>
      <c r="D390" s="863" t="s">
        <v>10</v>
      </c>
      <c r="E390" s="886">
        <v>44749</v>
      </c>
      <c r="F390" s="39">
        <f t="shared" si="204"/>
        <v>1512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205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3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2" t="s">
        <v>1167</v>
      </c>
      <c r="B391" s="2023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5"/>
        <v>0</v>
      </c>
      <c r="M391" s="59">
        <f>IFERROR((S391/$S$2),"")</f>
        <v>12744.166666666666</v>
      </c>
      <c r="N391" s="854">
        <f>(L391/M391)</f>
        <v>0</v>
      </c>
      <c r="O391" s="59">
        <f>IFERROR(SUMIF(ETM!$A:$A,$Q391,ETM!$E:$E),"")</f>
        <v>13861.5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76465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6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4" t="str">
        <f>IF(L401=0,"",MAX($A$16:A391)+1)</f>
        <v/>
      </c>
      <c r="B392" s="2061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7">$L$7-E392</f>
        <v>1834</v>
      </c>
      <c r="G392" s="18">
        <v>0</v>
      </c>
      <c r="H392" s="1984"/>
      <c r="I392" s="312"/>
      <c r="J392" s="1338"/>
      <c r="K392" s="18"/>
      <c r="L392" s="531">
        <f t="shared" si="205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6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5"/>
      <c r="B393" s="2028"/>
      <c r="C393" s="110" t="s">
        <v>128</v>
      </c>
      <c r="D393" s="881" t="s">
        <v>10</v>
      </c>
      <c r="E393" s="888">
        <v>44432</v>
      </c>
      <c r="F393" s="72">
        <f t="shared" si="207"/>
        <v>1829</v>
      </c>
      <c r="G393" s="18">
        <v>0</v>
      </c>
      <c r="H393" s="1984"/>
      <c r="I393" s="300"/>
      <c r="J393" s="1338"/>
      <c r="K393" s="18"/>
      <c r="L393" s="531">
        <f t="shared" si="205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6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5"/>
      <c r="B394" s="2028"/>
      <c r="C394" s="110" t="s">
        <v>351</v>
      </c>
      <c r="D394" s="881" t="s">
        <v>10</v>
      </c>
      <c r="E394" s="888">
        <v>44427</v>
      </c>
      <c r="F394" s="72">
        <f t="shared" si="207"/>
        <v>1834</v>
      </c>
      <c r="G394" s="18">
        <v>0</v>
      </c>
      <c r="H394" s="1984"/>
      <c r="I394" s="18"/>
      <c r="J394" s="1338"/>
      <c r="K394" s="18"/>
      <c r="L394" s="531">
        <f t="shared" si="205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6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5"/>
      <c r="B395" s="2028"/>
      <c r="C395" s="110" t="s">
        <v>256</v>
      </c>
      <c r="D395" s="881" t="s">
        <v>10</v>
      </c>
      <c r="E395" s="888">
        <v>44386</v>
      </c>
      <c r="F395" s="72">
        <f t="shared" si="207"/>
        <v>1875</v>
      </c>
      <c r="G395" s="18">
        <v>0</v>
      </c>
      <c r="H395" s="1984"/>
      <c r="I395" s="1349"/>
      <c r="J395" s="1338"/>
      <c r="K395" s="18"/>
      <c r="L395" s="531">
        <f t="shared" si="205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6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5"/>
      <c r="B396" s="2028"/>
      <c r="C396" s="110" t="s">
        <v>256</v>
      </c>
      <c r="D396" s="881" t="s">
        <v>10</v>
      </c>
      <c r="E396" s="888">
        <v>44386</v>
      </c>
      <c r="F396" s="72">
        <f t="shared" si="207"/>
        <v>1875</v>
      </c>
      <c r="G396" s="18">
        <v>0</v>
      </c>
      <c r="H396" s="1984"/>
      <c r="I396" s="1349"/>
      <c r="J396" s="1338"/>
      <c r="K396" s="18"/>
      <c r="L396" s="531">
        <f t="shared" si="205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6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5"/>
      <c r="B397" s="2028"/>
      <c r="C397" s="110" t="s">
        <v>620</v>
      </c>
      <c r="D397" s="881" t="s">
        <v>10</v>
      </c>
      <c r="E397" s="888">
        <v>44203</v>
      </c>
      <c r="F397" s="72">
        <f t="shared" si="207"/>
        <v>2058</v>
      </c>
      <c r="G397" s="18">
        <v>0</v>
      </c>
      <c r="H397" s="1984"/>
      <c r="I397" s="1349"/>
      <c r="J397" s="1338"/>
      <c r="K397" s="18"/>
      <c r="L397" s="531">
        <f t="shared" si="205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6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5"/>
      <c r="B398" s="2028"/>
      <c r="C398" s="110" t="s">
        <v>351</v>
      </c>
      <c r="D398" s="881" t="s">
        <v>10</v>
      </c>
      <c r="E398" s="888">
        <v>44203</v>
      </c>
      <c r="F398" s="72">
        <f t="shared" si="207"/>
        <v>2058</v>
      </c>
      <c r="G398" s="18">
        <v>0</v>
      </c>
      <c r="H398" s="1984"/>
      <c r="I398" s="18"/>
      <c r="J398" s="1338"/>
      <c r="K398" s="18"/>
      <c r="L398" s="531">
        <f t="shared" si="205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6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5"/>
      <c r="B399" s="2028"/>
      <c r="C399" s="110" t="s">
        <v>351</v>
      </c>
      <c r="D399" s="881" t="s">
        <v>10</v>
      </c>
      <c r="E399" s="888">
        <v>44203</v>
      </c>
      <c r="F399" s="72">
        <f t="shared" si="207"/>
        <v>2058</v>
      </c>
      <c r="G399" s="18">
        <v>0</v>
      </c>
      <c r="H399" s="1984"/>
      <c r="I399" s="1349"/>
      <c r="J399" s="1338"/>
      <c r="K399" s="18"/>
      <c r="L399" s="531">
        <f t="shared" si="205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6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6"/>
      <c r="B400" s="2029"/>
      <c r="C400" s="61" t="s">
        <v>185</v>
      </c>
      <c r="D400" s="925" t="s">
        <v>10</v>
      </c>
      <c r="E400" s="926">
        <v>44427</v>
      </c>
      <c r="F400" s="927">
        <f t="shared" si="207"/>
        <v>1834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205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6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2" t="s">
        <v>625</v>
      </c>
      <c r="B401" s="2023"/>
      <c r="C401" s="88"/>
      <c r="D401" s="864"/>
      <c r="E401" s="864"/>
      <c r="F401" s="865"/>
      <c r="G401" s="1336">
        <v>0</v>
      </c>
      <c r="H401" s="1818"/>
      <c r="I401" s="1336">
        <f t="shared" ref="I401:K401" si="208">+SUM(I392:I400)</f>
        <v>0</v>
      </c>
      <c r="J401" s="1336">
        <f t="shared" si="208"/>
        <v>0</v>
      </c>
      <c r="K401" s="1336">
        <f t="shared" si="208"/>
        <v>0</v>
      </c>
      <c r="L401" s="531">
        <f t="shared" si="205"/>
        <v>0</v>
      </c>
      <c r="M401" s="59">
        <f>+M391</f>
        <v>12744.166666666666</v>
      </c>
      <c r="N401" s="366">
        <f>(L401/M401)</f>
        <v>0</v>
      </c>
      <c r="O401" s="59">
        <f>+O391</f>
        <v>13861.5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6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76">
        <f>IF(L423=0,"",MAX($A$16:A401)+1)</f>
        <v>20</v>
      </c>
      <c r="B402" s="2046" t="s">
        <v>863</v>
      </c>
      <c r="C402" s="114"/>
      <c r="D402" s="881" t="s">
        <v>10</v>
      </c>
      <c r="E402" s="882">
        <v>46101</v>
      </c>
      <c r="F402" s="71">
        <f t="shared" ref="F402" si="209">$L$7-E402</f>
        <v>160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10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6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3"/>
      <c r="B403" s="2068"/>
      <c r="C403" s="114" t="s">
        <v>2145</v>
      </c>
      <c r="D403" s="881" t="s">
        <v>10</v>
      </c>
      <c r="E403" s="882">
        <v>46240</v>
      </c>
      <c r="F403" s="71">
        <f t="shared" ref="F403:F409" si="211">$L$7-E403</f>
        <v>21</v>
      </c>
      <c r="G403" s="18">
        <v>40000</v>
      </c>
      <c r="H403" s="312"/>
      <c r="I403" s="312"/>
      <c r="J403" s="1322"/>
      <c r="K403" s="12">
        <f>IFERROR(SUMIF(INTAKE!$A:$A,$T403,INTAKE!$P:$P),0)</f>
        <v>0</v>
      </c>
      <c r="L403" s="1670">
        <f>+G403+H403+I403-J403-K403</f>
        <v>40000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10"/>
        <v>Monocalcium Phosphate (China)B446240</v>
      </c>
      <c r="U403" s="787"/>
      <c r="V403" s="787"/>
      <c r="W403" s="802">
        <f>IFERROR(VLOOKUP($Q403,'391'!$P:$AG,15,0),0)</f>
        <v>0</v>
      </c>
      <c r="X403" s="799">
        <f t="shared" si="206"/>
        <v>40000</v>
      </c>
      <c r="Y403" s="787"/>
      <c r="Z403" s="791"/>
      <c r="AA403" s="787"/>
      <c r="AB403" s="787"/>
      <c r="AC403" s="679"/>
    </row>
    <row r="404" spans="1:45" ht="30" customHeight="1" x14ac:dyDescent="0.25">
      <c r="A404" s="2073"/>
      <c r="B404" s="2068"/>
      <c r="C404" s="114" t="s">
        <v>2145</v>
      </c>
      <c r="D404" s="881" t="s">
        <v>10</v>
      </c>
      <c r="E404" s="882">
        <v>46241</v>
      </c>
      <c r="F404" s="71">
        <f t="shared" si="211"/>
        <v>20</v>
      </c>
      <c r="G404" s="18">
        <v>20000</v>
      </c>
      <c r="H404" s="312"/>
      <c r="I404" s="312"/>
      <c r="J404" s="1322"/>
      <c r="K404" s="12">
        <f>IFERROR(SUMIF(INTAKE!$A:$A,$T404,INTAKE!$P:$P),0)</f>
        <v>0</v>
      </c>
      <c r="L404" s="1670">
        <f t="shared" si="205"/>
        <v>20000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10"/>
        <v>Monocalcium Phosphate (China)B446241</v>
      </c>
      <c r="U404" s="787"/>
      <c r="V404" s="787"/>
      <c r="W404" s="802">
        <f>IFERROR(VLOOKUP($Q404,'391'!$P:$AG,15,0),0)</f>
        <v>0</v>
      </c>
      <c r="X404" s="799">
        <f t="shared" si="206"/>
        <v>20000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3"/>
      <c r="B405" s="2068"/>
      <c r="C405" s="114" t="s">
        <v>2147</v>
      </c>
      <c r="D405" s="881" t="s">
        <v>10</v>
      </c>
      <c r="E405" s="882">
        <v>46241</v>
      </c>
      <c r="F405" s="71">
        <f t="shared" si="211"/>
        <v>20</v>
      </c>
      <c r="G405" s="18">
        <v>20000</v>
      </c>
      <c r="H405" s="312"/>
      <c r="I405" s="312"/>
      <c r="J405" s="1322"/>
      <c r="K405" s="12">
        <f>IFERROR(SUMIF(INTAKE!$A:$A,$T405,INTAKE!$P:$P),0)</f>
        <v>0</v>
      </c>
      <c r="L405" s="1670">
        <f t="shared" si="205"/>
        <v>20000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10"/>
        <v>Monocalcium Phosphate (China)B746241</v>
      </c>
      <c r="U405" s="787"/>
      <c r="V405" s="787"/>
      <c r="W405" s="802">
        <f>IFERROR(VLOOKUP($Q405,'391'!$P:$AG,15,0),0)</f>
        <v>0</v>
      </c>
      <c r="X405" s="799">
        <f t="shared" si="206"/>
        <v>20000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3"/>
      <c r="B406" s="2068"/>
      <c r="C406" s="114" t="s">
        <v>2147</v>
      </c>
      <c r="D406" s="881" t="s">
        <v>10</v>
      </c>
      <c r="E406" s="882">
        <v>46242</v>
      </c>
      <c r="F406" s="71">
        <f t="shared" si="211"/>
        <v>19</v>
      </c>
      <c r="G406" s="18">
        <v>40000</v>
      </c>
      <c r="H406" s="312"/>
      <c r="I406" s="312"/>
      <c r="J406" s="1322"/>
      <c r="K406" s="12">
        <f>IFERROR(SUMIF(INTAKE!$A:$A,$T406,INTAKE!$P:$P),0)</f>
        <v>0</v>
      </c>
      <c r="L406" s="1670">
        <f t="shared" si="205"/>
        <v>40000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10"/>
        <v>Monocalcium Phosphate (China)B746242</v>
      </c>
      <c r="U406" s="787"/>
      <c r="V406" s="787"/>
      <c r="W406" s="802">
        <f>IFERROR(VLOOKUP($Q406,'391'!$P:$AG,15,0),0)</f>
        <v>0</v>
      </c>
      <c r="X406" s="799">
        <f t="shared" si="206"/>
        <v>40000</v>
      </c>
      <c r="Y406" s="787"/>
      <c r="Z406" s="791"/>
      <c r="AA406" s="787"/>
      <c r="AB406" s="787"/>
      <c r="AC406" s="679"/>
    </row>
    <row r="407" spans="1:45" ht="29.25" customHeight="1" x14ac:dyDescent="0.25">
      <c r="A407" s="2073"/>
      <c r="B407" s="2123"/>
      <c r="C407" s="114" t="s">
        <v>2236</v>
      </c>
      <c r="D407" s="881" t="s">
        <v>10</v>
      </c>
      <c r="E407" s="882">
        <v>46256</v>
      </c>
      <c r="F407" s="71">
        <f t="shared" ref="F407:F408" si="212">$L$7-E407</f>
        <v>5</v>
      </c>
      <c r="G407" s="18">
        <v>40000</v>
      </c>
      <c r="H407" s="312"/>
      <c r="I407" s="312"/>
      <c r="J407" s="1322"/>
      <c r="K407" s="12">
        <f>IFERROR(SUMIF(INTAKE!$A:$A,$T407,INTAKE!$P:$P),0)</f>
        <v>0</v>
      </c>
      <c r="L407" s="1670">
        <f t="shared" si="205"/>
        <v>40000</v>
      </c>
      <c r="M407" s="45"/>
      <c r="N407" s="249"/>
      <c r="O407" s="23"/>
      <c r="P407" s="736"/>
      <c r="Q407" s="795"/>
      <c r="T407" s="787" t="str">
        <f t="shared" si="210"/>
        <v>Monocalcium Phosphate (China)B646256</v>
      </c>
      <c r="U407" s="787"/>
      <c r="V407" s="787"/>
      <c r="W407" s="802">
        <f>IFERROR(VLOOKUP($Q407,'391'!$P:$AG,15,0),0)</f>
        <v>0</v>
      </c>
      <c r="X407" s="799">
        <f t="shared" si="206"/>
        <v>40000</v>
      </c>
      <c r="Y407" s="787"/>
      <c r="Z407" s="791"/>
      <c r="AA407" s="787"/>
      <c r="AB407" s="787"/>
      <c r="AC407" s="679"/>
    </row>
    <row r="408" spans="1:45" ht="29.25" customHeight="1" x14ac:dyDescent="0.25">
      <c r="A408" s="2073"/>
      <c r="B408" s="2123"/>
      <c r="C408" s="114" t="s">
        <v>2121</v>
      </c>
      <c r="D408" s="881" t="s">
        <v>10</v>
      </c>
      <c r="E408" s="882">
        <v>46256</v>
      </c>
      <c r="F408" s="71">
        <f t="shared" si="212"/>
        <v>5</v>
      </c>
      <c r="G408" s="18">
        <v>33000</v>
      </c>
      <c r="H408" s="312"/>
      <c r="I408" s="312"/>
      <c r="J408" s="1322"/>
      <c r="K408" s="12">
        <f>IFERROR(SUMIF(INTAKE!$A:$A,$T408,INTAKE!$P:$P),0)</f>
        <v>10000</v>
      </c>
      <c r="L408" s="1670">
        <f t="shared" si="205"/>
        <v>23000</v>
      </c>
      <c r="M408" s="45"/>
      <c r="N408" s="249"/>
      <c r="O408" s="23"/>
      <c r="P408" s="736"/>
      <c r="Q408" s="795"/>
      <c r="T408" s="787" t="str">
        <f t="shared" si="210"/>
        <v>Monocalcium Phosphate (China)B846256</v>
      </c>
      <c r="U408" s="787"/>
      <c r="V408" s="787"/>
      <c r="W408" s="802">
        <f>IFERROR(VLOOKUP($Q408,'391'!$P:$AG,15,0),0)</f>
        <v>0</v>
      </c>
      <c r="X408" s="799">
        <f t="shared" si="206"/>
        <v>33000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3"/>
      <c r="B409" s="2123"/>
      <c r="C409" s="114"/>
      <c r="D409" s="881" t="s">
        <v>10</v>
      </c>
      <c r="E409" s="882">
        <v>46256</v>
      </c>
      <c r="F409" s="71">
        <f t="shared" si="211"/>
        <v>5</v>
      </c>
      <c r="G409" s="18"/>
      <c r="H409" s="312"/>
      <c r="I409" s="312"/>
      <c r="J409" s="1322"/>
      <c r="K409" s="12">
        <f>IFERROR(SUMIF(INTAKE!$A:$A,$T409,INTAKE!$P:$P),0)</f>
        <v>0</v>
      </c>
      <c r="L409" s="1670">
        <f t="shared" si="205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10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6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3"/>
      <c r="B410" s="2072"/>
      <c r="C410" s="114"/>
      <c r="D410" s="881" t="s">
        <v>10</v>
      </c>
      <c r="E410" s="882">
        <v>46256</v>
      </c>
      <c r="F410" s="71">
        <f t="shared" ref="F410" si="213">$L$7-E410</f>
        <v>5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70">
        <f t="shared" si="205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10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6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3"/>
      <c r="B411" s="2068"/>
      <c r="C411" s="114"/>
      <c r="D411" s="881" t="s">
        <v>10</v>
      </c>
      <c r="E411" s="882">
        <v>46256</v>
      </c>
      <c r="F411" s="71">
        <f t="shared" ref="F411" si="214">$L$7-E411</f>
        <v>5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205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10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6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3"/>
      <c r="B412" s="2072"/>
      <c r="C412" s="114"/>
      <c r="D412" s="881" t="s">
        <v>10</v>
      </c>
      <c r="E412" s="882">
        <v>45966</v>
      </c>
      <c r="F412" s="71">
        <f t="shared" ref="F412" si="215">$L$7-E412</f>
        <v>295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6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10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7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3"/>
      <c r="B413" s="2072"/>
      <c r="C413" s="114"/>
      <c r="D413" s="881" t="s">
        <v>10</v>
      </c>
      <c r="E413" s="882">
        <v>45966</v>
      </c>
      <c r="F413" s="71">
        <f t="shared" ref="F413" si="218">$L$7-E413</f>
        <v>295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205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10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6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3"/>
      <c r="B414" s="2072"/>
      <c r="C414" s="114"/>
      <c r="D414" s="881" t="s">
        <v>10</v>
      </c>
      <c r="E414" s="882">
        <v>45966</v>
      </c>
      <c r="F414" s="71">
        <f t="shared" ref="F414" si="219">$L$7-E414</f>
        <v>295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205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10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6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3"/>
      <c r="B415" s="2072"/>
      <c r="C415" s="114"/>
      <c r="D415" s="881" t="s">
        <v>10</v>
      </c>
      <c r="E415" s="882">
        <v>45966</v>
      </c>
      <c r="F415" s="71">
        <f t="shared" ref="F415" si="220">$L$7-E415</f>
        <v>295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205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10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6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3"/>
      <c r="B416" s="2072"/>
      <c r="C416" s="114"/>
      <c r="D416" s="881" t="s">
        <v>10</v>
      </c>
      <c r="E416" s="882">
        <v>45959</v>
      </c>
      <c r="F416" s="71">
        <f t="shared" ref="F416" si="221">$L$7-E416</f>
        <v>302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22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10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3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3"/>
      <c r="B417" s="2072"/>
      <c r="C417" s="114"/>
      <c r="D417" s="881" t="s">
        <v>10</v>
      </c>
      <c r="E417" s="882">
        <v>45947</v>
      </c>
      <c r="F417" s="71">
        <f t="shared" ref="F417" si="224">$L$7-E417</f>
        <v>314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5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10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6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3"/>
      <c r="B418" s="2072"/>
      <c r="C418" s="114"/>
      <c r="D418" s="881" t="s">
        <v>10</v>
      </c>
      <c r="E418" s="882">
        <v>45918</v>
      </c>
      <c r="F418" s="71">
        <f t="shared" ref="F418" si="227">$L$7-E418</f>
        <v>343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8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10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9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3"/>
      <c r="B419" s="2072"/>
      <c r="C419" s="114"/>
      <c r="D419" s="881" t="s">
        <v>10</v>
      </c>
      <c r="E419" s="882">
        <v>45918</v>
      </c>
      <c r="F419" s="71">
        <f t="shared" ref="F419" si="230">$L$7-E419</f>
        <v>343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8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10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9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3"/>
      <c r="B420" s="2072"/>
      <c r="C420" s="114"/>
      <c r="D420" s="881" t="s">
        <v>10</v>
      </c>
      <c r="E420" s="882">
        <v>45918</v>
      </c>
      <c r="F420" s="71">
        <f t="shared" ref="F420" si="231">$L$7-E420</f>
        <v>343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32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10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3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3"/>
      <c r="B421" s="2072"/>
      <c r="C421" s="114"/>
      <c r="D421" s="881" t="s">
        <v>10</v>
      </c>
      <c r="E421" s="882">
        <v>45910</v>
      </c>
      <c r="F421" s="71">
        <f t="shared" ref="F421:F422" si="234">$L$7-E421</f>
        <v>351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5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10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6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3"/>
      <c r="B422" s="2047"/>
      <c r="C422" s="61" t="s">
        <v>1377</v>
      </c>
      <c r="D422" s="863" t="s">
        <v>10</v>
      </c>
      <c r="E422" s="886">
        <v>46256</v>
      </c>
      <c r="F422" s="38">
        <f t="shared" si="234"/>
        <v>5</v>
      </c>
      <c r="G422" s="1294">
        <v>7747</v>
      </c>
      <c r="H422" s="28"/>
      <c r="I422" s="28">
        <f>+SUM(K402:K421)</f>
        <v>10000</v>
      </c>
      <c r="J422" s="1351">
        <f>usage!I41</f>
        <v>12846</v>
      </c>
      <c r="K422" s="28"/>
      <c r="L422" s="531">
        <f t="shared" si="205"/>
        <v>4901</v>
      </c>
      <c r="M422" s="35"/>
      <c r="N422" s="87"/>
      <c r="O422" s="35"/>
      <c r="P422" s="740"/>
      <c r="Q422" s="666" t="s">
        <v>1585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6"/>
        <v>7747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2" t="s">
        <v>464</v>
      </c>
      <c r="B423" s="2023"/>
      <c r="C423" s="88"/>
      <c r="D423" s="864"/>
      <c r="E423" s="864"/>
      <c r="F423" s="865"/>
      <c r="G423" s="1327">
        <v>200747</v>
      </c>
      <c r="H423" s="1352">
        <f>+SUM(H402:H422)</f>
        <v>0</v>
      </c>
      <c r="I423" s="1352">
        <f>+SUM(I402:I422)</f>
        <v>10000</v>
      </c>
      <c r="J423" s="1352">
        <f>+SUM(J402:J422)</f>
        <v>12846</v>
      </c>
      <c r="K423" s="1352">
        <f>+SUM(K402:K422)</f>
        <v>10000</v>
      </c>
      <c r="L423" s="1352">
        <f>+SUM(L402:L422)</f>
        <v>187901</v>
      </c>
      <c r="M423" s="59">
        <f>IFERROR((R423/$S$2),"")</f>
        <v>12744.166666666666</v>
      </c>
      <c r="N423" s="854">
        <f>IFERROR(L423/M423,0)</f>
        <v>14.744078990387759</v>
      </c>
      <c r="O423" s="889">
        <f>+O391</f>
        <v>13861.5</v>
      </c>
      <c r="P423" s="880">
        <f>IF(O423=0,"",(L423/O423))</f>
        <v>13.555603650398586</v>
      </c>
      <c r="Q423" s="795" t="s">
        <v>844</v>
      </c>
      <c r="R423" s="785">
        <f>IFERROR(VLOOKUP($Q423,'391'!$P:$W,8,0),"0")</f>
        <v>76465</v>
      </c>
      <c r="S423" s="796"/>
      <c r="T423" s="797"/>
      <c r="U423" s="797"/>
      <c r="V423" s="797"/>
      <c r="W423" s="802">
        <f>IFERROR(VLOOKUP($Q423,'391'!$P:$AG,15,0),0)</f>
        <v>240619</v>
      </c>
      <c r="X423" s="799">
        <f t="shared" si="206"/>
        <v>-39872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0">
        <f>IF(L442=0,"",MAX($A$16:A423)+1)</f>
        <v>21</v>
      </c>
      <c r="B424" s="2069" t="s">
        <v>89</v>
      </c>
      <c r="C424" s="238" t="s">
        <v>1497</v>
      </c>
      <c r="D424" s="887" t="s">
        <v>10</v>
      </c>
      <c r="E424" s="888">
        <v>46232</v>
      </c>
      <c r="F424" s="283">
        <f t="shared" ref="F424:F425" si="237">$L$7-E424</f>
        <v>29</v>
      </c>
      <c r="G424" s="312">
        <v>26163</v>
      </c>
      <c r="H424" s="312"/>
      <c r="I424" s="312"/>
      <c r="J424" s="1322"/>
      <c r="K424" s="12">
        <f>IFERROR(SUMIF(INTAKE!$A:$A,$T424,INTAKE!$P:$P),0)</f>
        <v>20349</v>
      </c>
      <c r="L424" s="1703">
        <f t="shared" ref="L424:L441" si="238">+G424+H424+I424-J424-K424</f>
        <v>5814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>$Q$442&amp;C424&amp;E424</f>
        <v>Limestone (Fine)B13.246232</v>
      </c>
      <c r="U424" s="787"/>
      <c r="V424" s="787"/>
      <c r="W424" s="802">
        <f>IFERROR(VLOOKUP($Q424,'391'!$P:$AG,15,0),0)</f>
        <v>0</v>
      </c>
      <c r="X424" s="799">
        <f t="shared" si="206"/>
        <v>26163</v>
      </c>
      <c r="Y424" s="787"/>
      <c r="Z424" s="791"/>
      <c r="AA424" s="787"/>
      <c r="AB424" s="787"/>
      <c r="AC424" s="679"/>
    </row>
    <row r="425" spans="1:45" ht="30" customHeight="1" x14ac:dyDescent="0.25">
      <c r="A425" s="2001"/>
      <c r="B425" s="2070"/>
      <c r="C425" s="238" t="s">
        <v>1497</v>
      </c>
      <c r="D425" s="887" t="s">
        <v>10</v>
      </c>
      <c r="E425" s="888">
        <v>46249</v>
      </c>
      <c r="F425" s="283">
        <f t="shared" si="237"/>
        <v>12</v>
      </c>
      <c r="G425" s="312">
        <v>29040</v>
      </c>
      <c r="H425" s="312"/>
      <c r="I425" s="312"/>
      <c r="J425" s="1322"/>
      <c r="K425" s="12"/>
      <c r="L425" s="1703">
        <f t="shared" si="238"/>
        <v>29040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ref="T425:T429" si="239">$Q$442&amp;C425&amp;E425</f>
        <v>Limestone (Fine)B13.246249</v>
      </c>
      <c r="U425" s="787"/>
      <c r="V425" s="787"/>
      <c r="W425" s="802">
        <f>IFERROR(VLOOKUP($Q425,'391'!$P:$AG,15,0),0)</f>
        <v>0</v>
      </c>
      <c r="X425" s="799">
        <f t="shared" si="206"/>
        <v>29040</v>
      </c>
      <c r="Y425" s="787"/>
      <c r="Z425" s="791"/>
      <c r="AA425" s="787"/>
      <c r="AB425" s="787"/>
      <c r="AC425" s="679"/>
    </row>
    <row r="426" spans="1:45" ht="30" hidden="1" customHeight="1" x14ac:dyDescent="0.25">
      <c r="A426" s="2001"/>
      <c r="B426" s="2070"/>
      <c r="C426" s="238"/>
      <c r="D426" s="887" t="s">
        <v>10</v>
      </c>
      <c r="E426" s="888">
        <v>46249</v>
      </c>
      <c r="F426" s="283">
        <f t="shared" ref="F426" si="240">$L$7-E426</f>
        <v>12</v>
      </c>
      <c r="G426" s="312"/>
      <c r="H426" s="312"/>
      <c r="I426" s="312"/>
      <c r="J426" s="1322"/>
      <c r="K426" s="12"/>
      <c r="L426" s="1703">
        <f t="shared" si="238"/>
        <v>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9"/>
        <v>Limestone (Fine)46249</v>
      </c>
      <c r="U426" s="787"/>
      <c r="V426" s="787"/>
      <c r="W426" s="802">
        <f>IFERROR(VLOOKUP($Q426,'391'!$P:$AG,15,0),0)</f>
        <v>0</v>
      </c>
      <c r="X426" s="799">
        <f t="shared" si="206"/>
        <v>0</v>
      </c>
      <c r="Y426" s="787"/>
      <c r="Z426" s="791"/>
      <c r="AA426" s="787"/>
      <c r="AB426" s="787"/>
      <c r="AC426" s="679"/>
    </row>
    <row r="427" spans="1:45" ht="30" hidden="1" customHeight="1" x14ac:dyDescent="0.25">
      <c r="A427" s="2001"/>
      <c r="B427" s="2070"/>
      <c r="C427" s="238"/>
      <c r="D427" s="887" t="s">
        <v>10</v>
      </c>
      <c r="E427" s="888">
        <v>46232</v>
      </c>
      <c r="F427" s="283">
        <f t="shared" ref="F427" si="241">$L$7-E427</f>
        <v>29</v>
      </c>
      <c r="G427" s="312">
        <v>0</v>
      </c>
      <c r="H427" s="312"/>
      <c r="I427" s="312"/>
      <c r="J427" s="1322"/>
      <c r="K427" s="12"/>
      <c r="L427" s="1703">
        <f t="shared" si="238"/>
        <v>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9"/>
        <v>Limestone (Fine)46232</v>
      </c>
      <c r="U427" s="787"/>
      <c r="V427" s="787"/>
      <c r="W427" s="802">
        <f>IFERROR(VLOOKUP($Q427,'391'!$P:$AG,15,0),0)</f>
        <v>0</v>
      </c>
      <c r="X427" s="799">
        <f t="shared" si="206"/>
        <v>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2001"/>
      <c r="B428" s="2070"/>
      <c r="C428" s="238"/>
      <c r="D428" s="887" t="s">
        <v>10</v>
      </c>
      <c r="E428" s="888">
        <v>46232</v>
      </c>
      <c r="F428" s="283">
        <f t="shared" ref="F428" si="242">$L$7-E428</f>
        <v>29</v>
      </c>
      <c r="G428" s="312">
        <v>0</v>
      </c>
      <c r="H428" s="312"/>
      <c r="I428" s="312"/>
      <c r="J428" s="1322"/>
      <c r="K428" s="12"/>
      <c r="L428" s="1703">
        <f t="shared" si="238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9"/>
        <v>Limestone (Fine)46232</v>
      </c>
      <c r="U428" s="787"/>
      <c r="V428" s="787"/>
      <c r="W428" s="802">
        <f>IFERROR(VLOOKUP($Q428,'391'!$P:$AG,15,0),0)</f>
        <v>0</v>
      </c>
      <c r="X428" s="799">
        <f t="shared" si="206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01"/>
      <c r="B429" s="2070"/>
      <c r="C429" s="238"/>
      <c r="D429" s="887" t="s">
        <v>10</v>
      </c>
      <c r="E429" s="888">
        <v>46214</v>
      </c>
      <c r="F429" s="283">
        <f t="shared" ref="F429" si="243">$L$7-E429</f>
        <v>47</v>
      </c>
      <c r="G429" s="312">
        <v>0</v>
      </c>
      <c r="H429" s="312"/>
      <c r="I429" s="312"/>
      <c r="J429" s="1322"/>
      <c r="K429" s="12"/>
      <c r="L429" s="1703">
        <f t="shared" si="238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9"/>
        <v>Limestone (Fine)46214</v>
      </c>
      <c r="U429" s="787"/>
      <c r="V429" s="787"/>
      <c r="W429" s="802">
        <f>IFERROR(VLOOKUP($Q429,'391'!$P:$AG,15,0),0)</f>
        <v>0</v>
      </c>
      <c r="X429" s="799">
        <f t="shared" si="206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1"/>
      <c r="B430" s="2070"/>
      <c r="C430" s="238"/>
      <c r="D430" s="887" t="s">
        <v>10</v>
      </c>
      <c r="E430" s="888">
        <v>46063</v>
      </c>
      <c r="F430" s="283">
        <f t="shared" ref="F430" si="244">$L$7-E430</f>
        <v>198</v>
      </c>
      <c r="G430" s="312">
        <v>0</v>
      </c>
      <c r="H430" s="312"/>
      <c r="I430" s="312"/>
      <c r="J430" s="1322"/>
      <c r="K430" s="12"/>
      <c r="L430" s="1703">
        <f t="shared" si="238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62" si="245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1"/>
      <c r="B431" s="2070"/>
      <c r="C431" s="238"/>
      <c r="D431" s="887" t="s">
        <v>10</v>
      </c>
      <c r="E431" s="888">
        <v>46063</v>
      </c>
      <c r="F431" s="283">
        <f t="shared" ref="F431" si="246">$L$7-E431</f>
        <v>198</v>
      </c>
      <c r="G431" s="312">
        <v>0</v>
      </c>
      <c r="H431" s="312"/>
      <c r="I431" s="312"/>
      <c r="J431" s="1322"/>
      <c r="K431" s="12"/>
      <c r="L431" s="1703">
        <f t="shared" si="238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5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1"/>
      <c r="B432" s="2070"/>
      <c r="C432" s="238"/>
      <c r="D432" s="887" t="s">
        <v>10</v>
      </c>
      <c r="E432" s="888">
        <v>46064</v>
      </c>
      <c r="F432" s="283">
        <f t="shared" ref="F432" si="247">$L$7-E432</f>
        <v>197</v>
      </c>
      <c r="G432" s="312">
        <v>0</v>
      </c>
      <c r="H432" s="312"/>
      <c r="I432" s="312"/>
      <c r="J432" s="1322"/>
      <c r="K432" s="12"/>
      <c r="L432" s="1703">
        <f t="shared" si="238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5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1"/>
      <c r="B433" s="2070"/>
      <c r="C433" s="238"/>
      <c r="D433" s="887" t="s">
        <v>10</v>
      </c>
      <c r="E433" s="888">
        <v>45791</v>
      </c>
      <c r="F433" s="283">
        <f t="shared" ref="F433" si="248">$L$7-E433</f>
        <v>470</v>
      </c>
      <c r="G433" s="312">
        <v>0</v>
      </c>
      <c r="H433" s="312"/>
      <c r="I433" s="312"/>
      <c r="J433" s="1322"/>
      <c r="K433" s="12"/>
      <c r="L433" s="1703">
        <f t="shared" si="238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5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1"/>
      <c r="B434" s="2070"/>
      <c r="C434" s="238"/>
      <c r="D434" s="887" t="s">
        <v>10</v>
      </c>
      <c r="E434" s="888">
        <v>45747</v>
      </c>
      <c r="F434" s="283">
        <f t="shared" ref="F434" si="249">$L$7-E434</f>
        <v>514</v>
      </c>
      <c r="G434" s="312">
        <v>0</v>
      </c>
      <c r="H434" s="312"/>
      <c r="I434" s="312"/>
      <c r="J434" s="1322"/>
      <c r="K434" s="12"/>
      <c r="L434" s="1703">
        <f t="shared" si="238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5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1"/>
      <c r="B435" s="2070"/>
      <c r="C435" s="238" t="s">
        <v>1497</v>
      </c>
      <c r="D435" s="887" t="s">
        <v>10</v>
      </c>
      <c r="E435" s="888">
        <v>45735</v>
      </c>
      <c r="F435" s="283">
        <f t="shared" ref="F435" si="250">$L$7-E435</f>
        <v>526</v>
      </c>
      <c r="G435" s="312">
        <v>0</v>
      </c>
      <c r="H435" s="312"/>
      <c r="I435" s="312"/>
      <c r="J435" s="1322"/>
      <c r="K435" s="12"/>
      <c r="L435" s="1703">
        <f t="shared" si="238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5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1"/>
      <c r="B436" s="2070"/>
      <c r="C436" s="238" t="s">
        <v>1549</v>
      </c>
      <c r="D436" s="887" t="s">
        <v>10</v>
      </c>
      <c r="E436" s="888">
        <v>45701</v>
      </c>
      <c r="F436" s="283">
        <f t="shared" ref="F436:F440" si="251">$L$7-E436</f>
        <v>560</v>
      </c>
      <c r="G436" s="312">
        <v>0</v>
      </c>
      <c r="H436" s="312"/>
      <c r="I436" s="312"/>
      <c r="J436" s="1322"/>
      <c r="K436" s="12"/>
      <c r="L436" s="1703">
        <f t="shared" si="238"/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si="245"/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1"/>
      <c r="B437" s="2070"/>
      <c r="C437" s="238" t="s">
        <v>152</v>
      </c>
      <c r="D437" s="887" t="s">
        <v>10</v>
      </c>
      <c r="E437" s="888">
        <v>45580</v>
      </c>
      <c r="F437" s="331">
        <f t="shared" si="251"/>
        <v>681</v>
      </c>
      <c r="G437" s="312">
        <v>0</v>
      </c>
      <c r="H437" s="312"/>
      <c r="I437" s="312"/>
      <c r="J437" s="1322"/>
      <c r="K437" s="12"/>
      <c r="L437" s="1703">
        <f t="shared" si="238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5"/>
        <v>0</v>
      </c>
      <c r="Y437" s="787"/>
      <c r="Z437" s="791"/>
      <c r="AA437" s="787"/>
      <c r="AB437" s="787"/>
      <c r="AC437" s="679"/>
    </row>
    <row r="438" spans="1:45" ht="30" hidden="1" customHeight="1" x14ac:dyDescent="0.25">
      <c r="A438" s="2001"/>
      <c r="B438" s="2070"/>
      <c r="C438" s="238" t="s">
        <v>152</v>
      </c>
      <c r="D438" s="887" t="s">
        <v>10</v>
      </c>
      <c r="E438" s="888">
        <v>45580</v>
      </c>
      <c r="F438" s="329">
        <f t="shared" si="251"/>
        <v>681</v>
      </c>
      <c r="G438" s="312">
        <v>0</v>
      </c>
      <c r="H438" s="312"/>
      <c r="I438" s="312"/>
      <c r="J438" s="1322"/>
      <c r="K438" s="12"/>
      <c r="L438" s="1703">
        <f t="shared" si="238"/>
        <v>0</v>
      </c>
      <c r="M438" s="45"/>
      <c r="N438" s="45"/>
      <c r="O438" s="45"/>
      <c r="P438" s="736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5"/>
        <v>0</v>
      </c>
      <c r="Y438" s="787"/>
      <c r="Z438" s="791"/>
      <c r="AA438" s="787"/>
      <c r="AB438" s="787"/>
      <c r="AC438" s="679"/>
    </row>
    <row r="439" spans="1:45" ht="30" hidden="1" customHeight="1" x14ac:dyDescent="0.25">
      <c r="A439" s="2001"/>
      <c r="B439" s="2075"/>
      <c r="C439" s="238"/>
      <c r="D439" s="887" t="s">
        <v>10</v>
      </c>
      <c r="E439" s="888">
        <v>45580</v>
      </c>
      <c r="F439" s="329">
        <f t="shared" si="251"/>
        <v>681</v>
      </c>
      <c r="G439" s="312">
        <v>0</v>
      </c>
      <c r="H439" s="312"/>
      <c r="I439" s="312"/>
      <c r="J439" s="1322"/>
      <c r="K439" s="12"/>
      <c r="L439" s="1703">
        <f t="shared" ref="L439" si="252">+G439+H439+I439-J439-K439</f>
        <v>0</v>
      </c>
      <c r="M439" s="45"/>
      <c r="N439" s="45"/>
      <c r="O439" s="45"/>
      <c r="P439" s="736"/>
      <c r="Q439" s="795"/>
      <c r="R439" s="785">
        <f>IFERROR(VLOOKUP($Q439,'391'!$P:$W,8,0),"")</f>
        <v>0</v>
      </c>
      <c r="U439" s="787"/>
      <c r="V439" s="787"/>
      <c r="W439" s="802">
        <f>IFERROR(VLOOKUP($Q439,'391'!$P:$AG,15,0),0)</f>
        <v>0</v>
      </c>
      <c r="X439" s="799">
        <f t="shared" ref="X439" si="253">G439-W439</f>
        <v>0</v>
      </c>
      <c r="Y439" s="787"/>
      <c r="Z439" s="791"/>
      <c r="AA439" s="787"/>
      <c r="AB439" s="787"/>
      <c r="AC439" s="679"/>
    </row>
    <row r="440" spans="1:45" ht="30" hidden="1" customHeight="1" x14ac:dyDescent="0.25">
      <c r="A440" s="2001"/>
      <c r="B440" s="2075"/>
      <c r="C440" s="238" t="s">
        <v>1497</v>
      </c>
      <c r="D440" s="887" t="s">
        <v>10</v>
      </c>
      <c r="E440" s="888">
        <v>45569</v>
      </c>
      <c r="F440" s="1769">
        <f t="shared" si="251"/>
        <v>692</v>
      </c>
      <c r="G440" s="312">
        <v>0</v>
      </c>
      <c r="H440" s="312"/>
      <c r="I440" s="312"/>
      <c r="J440" s="1322"/>
      <c r="K440" s="12"/>
      <c r="L440" s="1703">
        <f t="shared" si="238"/>
        <v>0</v>
      </c>
      <c r="M440" s="45"/>
      <c r="N440" s="45"/>
      <c r="O440" s="45"/>
      <c r="P440" s="736"/>
      <c r="Q440" s="795"/>
      <c r="R440" s="785">
        <f>IFERROR(VLOOKUP($Q440,'391'!$P:$W,8,0),"")</f>
        <v>0</v>
      </c>
      <c r="U440" s="787"/>
      <c r="V440" s="787"/>
      <c r="W440" s="802">
        <f>IFERROR(VLOOKUP($Q440,'391'!$P:$AG,15,0),0)</f>
        <v>0</v>
      </c>
      <c r="X440" s="799">
        <f t="shared" si="245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1"/>
      <c r="B441" s="2070"/>
      <c r="C441" s="119" t="s">
        <v>1828</v>
      </c>
      <c r="D441" s="863" t="s">
        <v>10</v>
      </c>
      <c r="E441" s="886">
        <v>46232</v>
      </c>
      <c r="F441" s="1769">
        <f t="shared" ref="F441" si="254">$L$7-E441</f>
        <v>29</v>
      </c>
      <c r="G441" s="1294">
        <v>7534</v>
      </c>
      <c r="H441" s="312"/>
      <c r="I441" s="37">
        <f>+SUM(K424:K440)</f>
        <v>20349</v>
      </c>
      <c r="J441" s="1294">
        <f>usage!I42</f>
        <v>25989</v>
      </c>
      <c r="K441" s="37"/>
      <c r="L441" s="1534">
        <f t="shared" si="238"/>
        <v>1894</v>
      </c>
      <c r="M441" s="47"/>
      <c r="N441" s="47"/>
      <c r="O441" s="47"/>
      <c r="P441" s="740"/>
      <c r="Q441" s="795"/>
      <c r="R441" s="785">
        <f>IFERROR(VLOOKUP($Q441,'391'!$P:$W,8,0),"")</f>
        <v>0</v>
      </c>
      <c r="U441" s="787"/>
      <c r="V441" s="787"/>
      <c r="W441" s="802">
        <f>IFERROR(VLOOKUP($Q441,'391'!$P:$AG,15,0),0)</f>
        <v>0</v>
      </c>
      <c r="X441" s="799">
        <f t="shared" si="245"/>
        <v>7534</v>
      </c>
      <c r="Y441" s="787"/>
      <c r="Z441" s="791"/>
      <c r="AA441" s="787"/>
      <c r="AB441" s="787"/>
      <c r="AC441" s="679"/>
    </row>
    <row r="442" spans="1:45" s="402" customFormat="1" ht="30" customHeight="1" x14ac:dyDescent="0.25">
      <c r="A442" s="2022" t="s">
        <v>290</v>
      </c>
      <c r="B442" s="2023"/>
      <c r="C442" s="88"/>
      <c r="D442" s="864"/>
      <c r="E442" s="864"/>
      <c r="F442" s="1834"/>
      <c r="G442" s="1296">
        <v>62737</v>
      </c>
      <c r="H442" s="1296">
        <f t="shared" ref="H442:L442" si="255">+SUM(H424:H441)</f>
        <v>0</v>
      </c>
      <c r="I442" s="1296">
        <f t="shared" si="255"/>
        <v>20349</v>
      </c>
      <c r="J442" s="1296">
        <f t="shared" si="255"/>
        <v>25989</v>
      </c>
      <c r="K442" s="1296">
        <f t="shared" si="255"/>
        <v>20349</v>
      </c>
      <c r="L442" s="1296">
        <f t="shared" si="255"/>
        <v>36748</v>
      </c>
      <c r="M442" s="59">
        <f>IFERROR((R442/$S$2),"")</f>
        <v>24542.833333333332</v>
      </c>
      <c r="N442" s="854">
        <f>(L442/M442)</f>
        <v>1.4973006376606885</v>
      </c>
      <c r="O442" s="59">
        <f>IFERROR(SUMIF(ETM!$A:$A,$Q442,ETM!$E:$E),"")</f>
        <v>25022.499999999996</v>
      </c>
      <c r="P442" s="880">
        <f>(L442/O442)</f>
        <v>1.4685982615645921</v>
      </c>
      <c r="Q442" s="795" t="s">
        <v>811</v>
      </c>
      <c r="R442" s="785">
        <f>IFERROR(VLOOKUP($Q442,'391'!$S:$Z,8,0),"")</f>
        <v>147257</v>
      </c>
      <c r="S442" s="796"/>
      <c r="T442" s="797"/>
      <c r="U442" s="797"/>
      <c r="V442" s="797"/>
      <c r="W442" s="802">
        <f>IFERROR(VLOOKUP($Q442,'391'!$S:$AG,15,0),0)</f>
        <v>91139</v>
      </c>
      <c r="X442" s="799">
        <f t="shared" si="245"/>
        <v>-28402</v>
      </c>
      <c r="Y442" s="797"/>
      <c r="Z442" s="785"/>
      <c r="AA442" s="797"/>
      <c r="AB442" s="797"/>
      <c r="AC442" s="551"/>
      <c r="AD442" s="551"/>
      <c r="AE442" s="551"/>
      <c r="AF442" s="551"/>
      <c r="AG442" s="551"/>
      <c r="AH442" s="551"/>
      <c r="AI442" s="704"/>
      <c r="AJ442" s="704"/>
      <c r="AK442" s="704"/>
      <c r="AL442" s="704"/>
      <c r="AM442" s="704"/>
      <c r="AN442" s="704"/>
      <c r="AO442" s="704"/>
      <c r="AP442" s="704"/>
      <c r="AQ442" s="704"/>
      <c r="AR442" s="704"/>
      <c r="AS442" s="704"/>
    </row>
    <row r="443" spans="1:45" ht="30" hidden="1" customHeight="1" x14ac:dyDescent="0.25">
      <c r="A443" s="2000">
        <f>IF(L448=0,"",MAX($A$16:A442)+1)</f>
        <v>22</v>
      </c>
      <c r="B443" s="2069" t="s">
        <v>499</v>
      </c>
      <c r="C443" s="238"/>
      <c r="D443" s="887" t="s">
        <v>10</v>
      </c>
      <c r="E443" s="888">
        <v>45887</v>
      </c>
      <c r="F443" s="359">
        <f>$L$7-E443</f>
        <v>374</v>
      </c>
      <c r="G443" s="312">
        <v>0</v>
      </c>
      <c r="H443" s="312"/>
      <c r="I443" s="312"/>
      <c r="J443" s="1322"/>
      <c r="K443" s="312"/>
      <c r="L443" s="1670">
        <f>+G443+H443+I443-J443-K443</f>
        <v>0</v>
      </c>
      <c r="M443" s="50"/>
      <c r="N443" s="50"/>
      <c r="O443" s="50"/>
      <c r="P443" s="744"/>
      <c r="Q443" s="795"/>
      <c r="R443" s="785">
        <f>IFERROR(VLOOKUP($Q443,'391'!$S:$Z,8,0),"")</f>
        <v>0</v>
      </c>
      <c r="U443" s="787"/>
      <c r="V443" s="787"/>
      <c r="W443" s="802">
        <f>IFERROR(VLOOKUP($Q443,'391'!$S:$AG,15,0),0)</f>
        <v>0</v>
      </c>
      <c r="X443" s="799">
        <f t="shared" si="245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1"/>
      <c r="B444" s="2070"/>
      <c r="C444" s="238" t="s">
        <v>1303</v>
      </c>
      <c r="D444" s="887" t="s">
        <v>10</v>
      </c>
      <c r="E444" s="888">
        <v>46248</v>
      </c>
      <c r="F444" s="359">
        <f>$L$7-E444</f>
        <v>13</v>
      </c>
      <c r="G444" s="312">
        <v>19026</v>
      </c>
      <c r="H444" s="1963"/>
      <c r="I444" s="312"/>
      <c r="J444" s="1322"/>
      <c r="K444" s="12">
        <f>IFERROR(SUMIF(INTAKE!$A:$A,$T444,INTAKE!$P:$P),0)</f>
        <v>3171</v>
      </c>
      <c r="L444" s="1713">
        <f>+G444+H444+I444-J444-K444</f>
        <v>15855</v>
      </c>
      <c r="M444" s="48"/>
      <c r="N444" s="48"/>
      <c r="O444" s="48"/>
      <c r="P444" s="738"/>
      <c r="Q444" s="795"/>
      <c r="R444" s="785">
        <f>IFERROR(VLOOKUP($Q444,'391'!$S:$Z,8,0),"")</f>
        <v>0</v>
      </c>
      <c r="T444" s="787" t="str">
        <f>$Q$448&amp;C444&amp;E444</f>
        <v>Calcium feedA12.246248</v>
      </c>
      <c r="U444" s="787"/>
      <c r="V444" s="787"/>
      <c r="W444" s="802">
        <f>IFERROR(VLOOKUP($Q444,'391'!$S:$AG,15,0),0)</f>
        <v>0</v>
      </c>
      <c r="X444" s="799">
        <f t="shared" si="245"/>
        <v>19026</v>
      </c>
      <c r="Y444" s="787"/>
      <c r="Z444" s="791"/>
      <c r="AA444" s="787"/>
      <c r="AB444" s="787"/>
      <c r="AC444" s="679"/>
    </row>
    <row r="445" spans="1:45" ht="30" hidden="1" customHeight="1" x14ac:dyDescent="0.25">
      <c r="A445" s="2001"/>
      <c r="B445" s="2070"/>
      <c r="C445" s="238"/>
      <c r="D445" s="887" t="s">
        <v>10</v>
      </c>
      <c r="E445" s="888">
        <v>46248</v>
      </c>
      <c r="F445" s="359">
        <f>$L$7-E445</f>
        <v>13</v>
      </c>
      <c r="G445" s="312">
        <v>0</v>
      </c>
      <c r="H445" s="1963"/>
      <c r="I445" s="312"/>
      <c r="J445" s="1322"/>
      <c r="K445" s="12">
        <f>IFERROR(SUMIF(INTAKE!$A:$A,$T445,INTAKE!$P:$P),0)</f>
        <v>0</v>
      </c>
      <c r="L445" s="1670">
        <f>+G445+H445+I445-J445-K445</f>
        <v>0</v>
      </c>
      <c r="M445" s="48"/>
      <c r="N445" s="48"/>
      <c r="O445" s="48"/>
      <c r="P445" s="738"/>
      <c r="Q445" s="795"/>
      <c r="R445" s="785">
        <f>IFERROR(VLOOKUP($Q445,'391'!$S:$Z,8,0),"")</f>
        <v>0</v>
      </c>
      <c r="T445" s="787" t="str">
        <f>$Q$448&amp;C445&amp;E445</f>
        <v>Calcium feed46248</v>
      </c>
      <c r="U445" s="787"/>
      <c r="V445" s="787"/>
      <c r="W445" s="802">
        <f>IFERROR(VLOOKUP($Q445,'391'!$S:$AG,15,0),0)</f>
        <v>0</v>
      </c>
      <c r="X445" s="799">
        <f t="shared" si="245"/>
        <v>0</v>
      </c>
      <c r="Y445" s="787"/>
      <c r="Z445" s="791"/>
      <c r="AA445" s="787"/>
      <c r="AB445" s="787"/>
      <c r="AC445" s="679"/>
    </row>
    <row r="446" spans="1:45" ht="30" hidden="1" customHeight="1" x14ac:dyDescent="0.25">
      <c r="A446" s="2001"/>
      <c r="B446" s="2070"/>
      <c r="C446" s="238"/>
      <c r="D446" s="887" t="s">
        <v>10</v>
      </c>
      <c r="E446" s="888">
        <v>46161</v>
      </c>
      <c r="F446" s="359">
        <f>$L$7-E446</f>
        <v>100</v>
      </c>
      <c r="G446" s="312">
        <v>0</v>
      </c>
      <c r="H446" s="1963"/>
      <c r="I446" s="312"/>
      <c r="J446" s="1322"/>
      <c r="K446" s="12">
        <f>IFERROR(SUMIF(INTAKE!$A:$A,$T446,INTAKE!$P:$P),0)</f>
        <v>0</v>
      </c>
      <c r="L446" s="1670">
        <f>+G446+H446+I446-J446-K446</f>
        <v>0</v>
      </c>
      <c r="M446" s="48"/>
      <c r="N446" s="48"/>
      <c r="O446" s="48"/>
      <c r="P446" s="738"/>
      <c r="Q446" s="795"/>
      <c r="R446" s="785">
        <f>IFERROR(VLOOKUP($Q446,'391'!$S:$Z,8,0),"")</f>
        <v>0</v>
      </c>
      <c r="T446" s="787" t="str">
        <f>$Q$448&amp;C446&amp;E446</f>
        <v>Calcium feed46161</v>
      </c>
      <c r="U446" s="787"/>
      <c r="V446" s="787"/>
      <c r="W446" s="802">
        <f>IFERROR(VLOOKUP($Q446,'391'!$S:$AG,15,0),0)</f>
        <v>0</v>
      </c>
      <c r="X446" s="799">
        <f t="shared" si="245"/>
        <v>0</v>
      </c>
      <c r="Y446" s="787"/>
      <c r="Z446" s="791"/>
      <c r="AA446" s="787"/>
      <c r="AB446" s="787"/>
      <c r="AC446" s="679"/>
    </row>
    <row r="447" spans="1:45" ht="30" customHeight="1" x14ac:dyDescent="0.25">
      <c r="A447" s="2001"/>
      <c r="B447" s="2070"/>
      <c r="C447" s="119" t="s">
        <v>501</v>
      </c>
      <c r="D447" s="863" t="s">
        <v>10</v>
      </c>
      <c r="E447" s="886">
        <v>46248</v>
      </c>
      <c r="F447" s="329">
        <f>$L$7-E447</f>
        <v>13</v>
      </c>
      <c r="G447" s="1294">
        <v>10745</v>
      </c>
      <c r="H447" s="28"/>
      <c r="I447" s="37">
        <f>+SUM(K443:K446)</f>
        <v>3171</v>
      </c>
      <c r="J447" s="1294">
        <f>+usage!I43</f>
        <v>2056</v>
      </c>
      <c r="K447" s="28"/>
      <c r="L447" s="531">
        <f>+G447+H447+I447-J447-K447</f>
        <v>11860</v>
      </c>
      <c r="M447" s="44"/>
      <c r="N447" s="44"/>
      <c r="O447" s="44"/>
      <c r="P447" s="735"/>
      <c r="Q447" s="795"/>
      <c r="R447" s="785">
        <f>IFERROR(VLOOKUP($Q447,'391'!$S:$Z,8,0),"")</f>
        <v>0</v>
      </c>
      <c r="U447" s="787"/>
      <c r="V447" s="787"/>
      <c r="W447" s="802">
        <f>IFERROR(VLOOKUP($Q447,'391'!$S:$AG,15,0),0)</f>
        <v>0</v>
      </c>
      <c r="X447" s="799">
        <f t="shared" si="245"/>
        <v>10745</v>
      </c>
      <c r="Y447" s="787"/>
      <c r="Z447" s="791"/>
      <c r="AA447" s="787"/>
      <c r="AB447" s="787"/>
      <c r="AC447" s="679"/>
    </row>
    <row r="448" spans="1:45" s="402" customFormat="1" ht="30" customHeight="1" x14ac:dyDescent="0.25">
      <c r="A448" s="2022" t="s">
        <v>1349</v>
      </c>
      <c r="B448" s="2023"/>
      <c r="C448" s="88"/>
      <c r="D448" s="864"/>
      <c r="E448" s="864"/>
      <c r="F448" s="865"/>
      <c r="G448" s="1296">
        <v>29771</v>
      </c>
      <c r="H448" s="1296">
        <f>+SUM(H443:H447)</f>
        <v>0</v>
      </c>
      <c r="I448" s="1296">
        <f t="shared" ref="I448:L448" si="256">+SUM(I443:I447)</f>
        <v>3171</v>
      </c>
      <c r="J448" s="1296">
        <f t="shared" si="256"/>
        <v>2056</v>
      </c>
      <c r="K448" s="1296">
        <f t="shared" si="256"/>
        <v>3171</v>
      </c>
      <c r="L448" s="1296">
        <f t="shared" si="256"/>
        <v>27715</v>
      </c>
      <c r="M448" s="59">
        <f>IFERROR((R448/$S$2),"")</f>
        <v>1580</v>
      </c>
      <c r="N448" s="854">
        <f>(L448/M448)</f>
        <v>17.541139240506329</v>
      </c>
      <c r="O448" s="59">
        <f>IFERROR(SUMIF(ETM!$A:$A,$Q448,ETM!$E:$E),"")</f>
        <v>1622.1666666666667</v>
      </c>
      <c r="P448" s="880">
        <f>(L448/O448)</f>
        <v>17.085174149799649</v>
      </c>
      <c r="Q448" s="795" t="s">
        <v>829</v>
      </c>
      <c r="R448" s="785">
        <f>IFERROR(VLOOKUP($Q448,'391'!$S:$Z,8,0),"")</f>
        <v>9480</v>
      </c>
      <c r="S448" s="796"/>
      <c r="T448" s="797"/>
      <c r="U448" s="797"/>
      <c r="V448" s="797"/>
      <c r="W448" s="802">
        <f>IFERROR(VLOOKUP($Q448,'391'!$S:$AG,15,0),0)</f>
        <v>34109</v>
      </c>
      <c r="X448" s="799">
        <f t="shared" si="245"/>
        <v>-4338</v>
      </c>
      <c r="Y448" s="797"/>
      <c r="Z448" s="785"/>
      <c r="AA448" s="797"/>
      <c r="AB448" s="797"/>
      <c r="AC448" s="551"/>
      <c r="AD448" s="551"/>
      <c r="AE448" s="551"/>
      <c r="AF448" s="551"/>
      <c r="AG448" s="551"/>
      <c r="AH448" s="551"/>
      <c r="AI448" s="704"/>
      <c r="AJ448" s="704"/>
      <c r="AK448" s="704"/>
      <c r="AL448" s="704"/>
      <c r="AM448" s="704"/>
      <c r="AN448" s="704"/>
      <c r="AO448" s="704"/>
      <c r="AP448" s="704"/>
      <c r="AQ448" s="704"/>
      <c r="AR448" s="704"/>
      <c r="AS448" s="704"/>
    </row>
    <row r="449" spans="1:45" ht="30" hidden="1" customHeight="1" x14ac:dyDescent="0.25">
      <c r="A449" s="2000">
        <f>IF(L457=0,"",MAX($A$16:A448)+1)</f>
        <v>23</v>
      </c>
      <c r="B449" s="2046" t="s">
        <v>1183</v>
      </c>
      <c r="C449" s="111" t="s">
        <v>856</v>
      </c>
      <c r="D449" s="881" t="s">
        <v>10</v>
      </c>
      <c r="E449" s="882">
        <v>44655</v>
      </c>
      <c r="F449" s="41">
        <f t="shared" ref="F449:F456" si="257">$L$7-E449</f>
        <v>1606</v>
      </c>
      <c r="G449" s="300">
        <v>0</v>
      </c>
      <c r="H449" s="306"/>
      <c r="I449" s="1354"/>
      <c r="J449" s="1305"/>
      <c r="K449" s="1347"/>
      <c r="L449" s="531">
        <f t="shared" ref="L449:L456" si="258">+G449+H449+I449-J449-K449</f>
        <v>0</v>
      </c>
      <c r="M449" s="48"/>
      <c r="N449" s="249"/>
      <c r="O449" s="369"/>
      <c r="P449" s="744"/>
      <c r="Q449" s="795"/>
      <c r="U449" s="787"/>
      <c r="V449" s="787"/>
      <c r="W449" s="802">
        <f>IFERROR(VLOOKUP($Q449,'391'!$P:$AG,15,0),0)</f>
        <v>0</v>
      </c>
      <c r="X449" s="799">
        <f t="shared" si="245"/>
        <v>0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2001"/>
      <c r="B450" s="2068"/>
      <c r="C450" s="111"/>
      <c r="D450" s="881" t="s">
        <v>10</v>
      </c>
      <c r="E450" s="882">
        <v>45854</v>
      </c>
      <c r="F450" s="41">
        <f t="shared" ref="F450:F453" si="259">$L$7-E450</f>
        <v>407</v>
      </c>
      <c r="G450" s="300">
        <v>0</v>
      </c>
      <c r="H450" s="306"/>
      <c r="I450" s="1354"/>
      <c r="J450" s="1305"/>
      <c r="K450" s="306"/>
      <c r="L450" s="1670">
        <f t="shared" si="258"/>
        <v>0</v>
      </c>
      <c r="M450" s="48"/>
      <c r="N450" s="249"/>
      <c r="O450" s="369"/>
      <c r="P450" s="734"/>
      <c r="Q450" s="795"/>
      <c r="U450" s="787"/>
      <c r="V450" s="787"/>
      <c r="W450" s="802">
        <f>IFERROR(VLOOKUP($Q450,'391'!$P:$AG,15,0),0)</f>
        <v>0</v>
      </c>
      <c r="X450" s="799">
        <f t="shared" si="245"/>
        <v>0</v>
      </c>
      <c r="Y450" s="787"/>
      <c r="Z450" s="791"/>
      <c r="AA450" s="787"/>
      <c r="AB450" s="787"/>
      <c r="AC450" s="679"/>
    </row>
    <row r="451" spans="1:45" ht="29.1" hidden="1" customHeight="1" x14ac:dyDescent="0.25">
      <c r="A451" s="2001"/>
      <c r="B451" s="2068"/>
      <c r="C451" s="111"/>
      <c r="D451" s="881" t="s">
        <v>10</v>
      </c>
      <c r="E451" s="882">
        <v>45863</v>
      </c>
      <c r="F451" s="41">
        <f t="shared" si="259"/>
        <v>398</v>
      </c>
      <c r="G451" s="300">
        <v>0</v>
      </c>
      <c r="H451" s="306"/>
      <c r="I451" s="1354"/>
      <c r="J451" s="1305"/>
      <c r="K451" s="306"/>
      <c r="L451" s="1670">
        <f t="shared" si="258"/>
        <v>0</v>
      </c>
      <c r="M451" s="48"/>
      <c r="N451" s="249"/>
      <c r="O451" s="369"/>
      <c r="P451" s="738"/>
      <c r="Q451" s="795"/>
      <c r="U451" s="787"/>
      <c r="V451" s="787"/>
      <c r="W451" s="802">
        <f>IFERROR(VLOOKUP($Q451,'391'!$P:$AG,15,0),0)</f>
        <v>0</v>
      </c>
      <c r="X451" s="799">
        <f t="shared" si="245"/>
        <v>0</v>
      </c>
      <c r="Y451" s="787"/>
      <c r="Z451" s="791"/>
      <c r="AA451" s="787"/>
      <c r="AB451" s="787"/>
      <c r="AC451" s="679"/>
    </row>
    <row r="452" spans="1:45" ht="28.5" customHeight="1" x14ac:dyDescent="0.25">
      <c r="A452" s="2001"/>
      <c r="B452" s="2068"/>
      <c r="C452" s="111" t="s">
        <v>1869</v>
      </c>
      <c r="D452" s="881" t="s">
        <v>10</v>
      </c>
      <c r="E452" s="882">
        <v>46247</v>
      </c>
      <c r="F452" s="41">
        <f t="shared" ref="F452" si="260">$L$7-E452</f>
        <v>14</v>
      </c>
      <c r="G452" s="300">
        <v>5888</v>
      </c>
      <c r="H452" s="306"/>
      <c r="I452" s="1354"/>
      <c r="J452" s="1305"/>
      <c r="K452" s="12">
        <f>IFERROR(SUMIF(INTAKE!$A:$A,$T452,INTAKE!$P:$P),0)</f>
        <v>0</v>
      </c>
      <c r="L452" s="1670">
        <f t="shared" si="258"/>
        <v>5888</v>
      </c>
      <c r="M452" s="48"/>
      <c r="N452" s="249"/>
      <c r="O452" s="369"/>
      <c r="P452" s="738"/>
      <c r="Q452" s="795"/>
      <c r="T452" s="787" t="str">
        <f>$Q$456&amp;C452&amp;E452</f>
        <v>Limestone Coarse (S3.5)A13.146247</v>
      </c>
      <c r="U452" s="787"/>
      <c r="V452" s="787"/>
      <c r="W452" s="802">
        <f>IFERROR(VLOOKUP($Q452,'391'!$P:$AG,15,0),0)</f>
        <v>0</v>
      </c>
      <c r="X452" s="799">
        <f t="shared" si="245"/>
        <v>5888</v>
      </c>
      <c r="Y452" s="787"/>
      <c r="Z452" s="791"/>
      <c r="AA452" s="787"/>
      <c r="AB452" s="787"/>
      <c r="AC452" s="679"/>
    </row>
    <row r="453" spans="1:45" ht="30" customHeight="1" x14ac:dyDescent="0.25">
      <c r="A453" s="2001"/>
      <c r="B453" s="2068"/>
      <c r="C453" s="111" t="s">
        <v>856</v>
      </c>
      <c r="D453" s="881" t="s">
        <v>10</v>
      </c>
      <c r="E453" s="882">
        <v>46256</v>
      </c>
      <c r="F453" s="41">
        <f t="shared" si="259"/>
        <v>5</v>
      </c>
      <c r="G453" s="300">
        <v>28870</v>
      </c>
      <c r="H453" s="306"/>
      <c r="I453" s="1354"/>
      <c r="J453" s="1305"/>
      <c r="K453" s="12">
        <f>IFERROR(SUMIF(INTAKE!$A:$A,$T453,INTAKE!$P:$P),0)</f>
        <v>0</v>
      </c>
      <c r="L453" s="1670">
        <f t="shared" si="258"/>
        <v>28870</v>
      </c>
      <c r="M453" s="48"/>
      <c r="N453" s="249"/>
      <c r="O453" s="369"/>
      <c r="P453" s="738"/>
      <c r="Q453" s="795"/>
      <c r="T453" s="787" t="str">
        <f t="shared" ref="T453:T454" si="261">$Q$456&amp;C453&amp;E453</f>
        <v>Limestone Coarse (S3.5)A13.246256</v>
      </c>
      <c r="U453" s="787"/>
      <c r="V453" s="787"/>
      <c r="W453" s="802">
        <f>IFERROR(VLOOKUP($Q453,'391'!$P:$AG,15,0),0)</f>
        <v>0</v>
      </c>
      <c r="X453" s="799">
        <f t="shared" si="245"/>
        <v>28870</v>
      </c>
      <c r="Y453" s="787"/>
      <c r="Z453" s="791"/>
      <c r="AA453" s="787"/>
      <c r="AB453" s="787"/>
      <c r="AC453" s="679"/>
    </row>
    <row r="454" spans="1:45" ht="30" hidden="1" customHeight="1" x14ac:dyDescent="0.25">
      <c r="A454" s="2001"/>
      <c r="B454" s="2068"/>
      <c r="C454" s="111"/>
      <c r="D454" s="881" t="s">
        <v>10</v>
      </c>
      <c r="E454" s="882">
        <v>46206</v>
      </c>
      <c r="F454" s="41">
        <f t="shared" ref="F454" si="262">$L$7-E454</f>
        <v>55</v>
      </c>
      <c r="G454" s="300">
        <v>0</v>
      </c>
      <c r="H454" s="306"/>
      <c r="I454" s="1354"/>
      <c r="J454" s="1305"/>
      <c r="K454" s="12">
        <f>IFERROR(SUMIF(INTAKE!$A:$A,$T454,INTAKE!$P:$P),0)</f>
        <v>0</v>
      </c>
      <c r="L454" s="1670">
        <f t="shared" si="258"/>
        <v>0</v>
      </c>
      <c r="M454" s="48"/>
      <c r="N454" s="249"/>
      <c r="O454" s="369"/>
      <c r="P454" s="738"/>
      <c r="Q454" s="795"/>
      <c r="T454" s="787" t="str">
        <f t="shared" si="261"/>
        <v>Limestone Coarse (S3.5)46206</v>
      </c>
      <c r="U454" s="787"/>
      <c r="V454" s="787"/>
      <c r="W454" s="802">
        <f>IFERROR(VLOOKUP($Q454,'391'!$P:$AG,15,0),0)</f>
        <v>0</v>
      </c>
      <c r="X454" s="799">
        <f t="shared" si="245"/>
        <v>0</v>
      </c>
      <c r="Y454" s="787"/>
      <c r="Z454" s="791"/>
      <c r="AA454" s="787"/>
      <c r="AB454" s="787"/>
      <c r="AC454" s="679"/>
    </row>
    <row r="455" spans="1:45" ht="30" hidden="1" customHeight="1" x14ac:dyDescent="0.25">
      <c r="A455" s="2001"/>
      <c r="B455" s="2068"/>
      <c r="C455" s="111"/>
      <c r="D455" s="881" t="s">
        <v>10</v>
      </c>
      <c r="E455" s="882">
        <v>46206</v>
      </c>
      <c r="F455" s="41">
        <f t="shared" ref="F455" si="263">$L$7-E455</f>
        <v>55</v>
      </c>
      <c r="G455" s="300">
        <v>0</v>
      </c>
      <c r="H455" s="306"/>
      <c r="I455" s="1354"/>
      <c r="J455" s="1305"/>
      <c r="K455" s="12">
        <f>IFERROR(SUMIF(INTAKE!$A:$A,$T455,INTAKE!$P:$P),0)</f>
        <v>0</v>
      </c>
      <c r="L455" s="1670">
        <f t="shared" si="258"/>
        <v>0</v>
      </c>
      <c r="M455" s="48"/>
      <c r="N455" s="163"/>
      <c r="O455" s="373"/>
      <c r="P455" s="738"/>
      <c r="Q455" s="795"/>
      <c r="U455" s="787"/>
      <c r="V455" s="787"/>
      <c r="W455" s="802">
        <f>IFERROR(VLOOKUP($Q455,'391'!$P:$AG,15,0),0)</f>
        <v>0</v>
      </c>
      <c r="X455" s="799">
        <f t="shared" si="245"/>
        <v>0</v>
      </c>
      <c r="Y455" s="787"/>
      <c r="Z455" s="791"/>
      <c r="AA455" s="787"/>
      <c r="AB455" s="787"/>
      <c r="AC455" s="679"/>
    </row>
    <row r="456" spans="1:45" ht="29.1" customHeight="1" x14ac:dyDescent="0.25">
      <c r="A456" s="2001"/>
      <c r="B456" s="2047"/>
      <c r="C456" s="109" t="s">
        <v>1148</v>
      </c>
      <c r="D456" s="850" t="s">
        <v>10</v>
      </c>
      <c r="E456" s="853">
        <v>46247</v>
      </c>
      <c r="F456" s="41">
        <f t="shared" si="257"/>
        <v>14</v>
      </c>
      <c r="G456" s="36">
        <v>20191</v>
      </c>
      <c r="H456" s="36"/>
      <c r="I456" s="36">
        <f>+SUM(K449:K455)</f>
        <v>0</v>
      </c>
      <c r="J456" s="1295">
        <f>usage!I44</f>
        <v>841</v>
      </c>
      <c r="K456" s="36"/>
      <c r="L456" s="531">
        <f t="shared" si="258"/>
        <v>19350</v>
      </c>
      <c r="M456" s="45"/>
      <c r="N456" s="920"/>
      <c r="O456" s="379"/>
      <c r="P456" s="740"/>
      <c r="Q456" s="666" t="s">
        <v>1587</v>
      </c>
      <c r="U456" s="787"/>
      <c r="V456" s="787"/>
      <c r="W456" s="802">
        <f>IFERROR(VLOOKUP($Q456,'391'!$P:$AG,15,0),0)</f>
        <v>0</v>
      </c>
      <c r="X456" s="799">
        <f t="shared" si="245"/>
        <v>20191</v>
      </c>
      <c r="Y456" s="787"/>
      <c r="Z456" s="791"/>
      <c r="AA456" s="787"/>
      <c r="AB456" s="787"/>
      <c r="AC456" s="679"/>
    </row>
    <row r="457" spans="1:45" s="402" customFormat="1" ht="30" customHeight="1" x14ac:dyDescent="0.25">
      <c r="A457" s="2022" t="s">
        <v>291</v>
      </c>
      <c r="B457" s="2023"/>
      <c r="C457" s="88"/>
      <c r="D457" s="864"/>
      <c r="E457" s="864"/>
      <c r="F457" s="865"/>
      <c r="G457" s="1296">
        <v>54949</v>
      </c>
      <c r="H457" s="1296">
        <f t="shared" ref="H457:L457" si="264">SUM(H449:H456)</f>
        <v>0</v>
      </c>
      <c r="I457" s="1296">
        <f t="shared" si="264"/>
        <v>0</v>
      </c>
      <c r="J457" s="1296">
        <f t="shared" si="264"/>
        <v>841</v>
      </c>
      <c r="K457" s="1296">
        <f t="shared" si="264"/>
        <v>0</v>
      </c>
      <c r="L457" s="1296">
        <f t="shared" si="264"/>
        <v>54108</v>
      </c>
      <c r="M457" s="59">
        <f>IFERROR((R457/$S$2),"")</f>
        <v>3631.1666666666665</v>
      </c>
      <c r="N457" s="854">
        <f>(L457/M457)</f>
        <v>14.900996006793042</v>
      </c>
      <c r="O457" s="59">
        <f>IFERROR(SUMIF(ETM!$A:$A,$Q457,ETM!$E:$E),"")</f>
        <v>1700</v>
      </c>
      <c r="P457" s="880">
        <f>(L457/O457)</f>
        <v>31.828235294117647</v>
      </c>
      <c r="Q457" s="795" t="s">
        <v>823</v>
      </c>
      <c r="R457" s="785">
        <f>IFERROR(VLOOKUP($Q457,'391'!$P:$W,8,0),"")</f>
        <v>21787</v>
      </c>
      <c r="S457" s="796"/>
      <c r="T457" s="797"/>
      <c r="U457" s="797"/>
      <c r="V457" s="797"/>
      <c r="W457" s="802">
        <f>IFERROR(VLOOKUP($Q457,'391'!$P:$AG,15,0),0)</f>
        <v>57888</v>
      </c>
      <c r="X457" s="799">
        <f t="shared" si="245"/>
        <v>-2939</v>
      </c>
      <c r="Y457" s="797"/>
      <c r="Z457" s="785"/>
      <c r="AA457" s="797"/>
      <c r="AB457" s="797"/>
      <c r="AC457" s="551"/>
      <c r="AD457" s="551"/>
      <c r="AE457" s="551"/>
      <c r="AF457" s="551"/>
      <c r="AG457" s="551"/>
      <c r="AH457" s="551"/>
      <c r="AI457" s="704"/>
      <c r="AJ457" s="704"/>
      <c r="AK457" s="704"/>
      <c r="AL457" s="704"/>
      <c r="AM457" s="704"/>
      <c r="AN457" s="704"/>
      <c r="AO457" s="704"/>
      <c r="AP457" s="704"/>
      <c r="AQ457" s="704"/>
      <c r="AR457" s="704"/>
      <c r="AS457" s="704"/>
    </row>
    <row r="458" spans="1:45" s="6" customFormat="1" ht="30" customHeight="1" x14ac:dyDescent="0.25">
      <c r="A458" s="2000">
        <f>IF(L468=0,"",MAX($A$16:A457)+1)</f>
        <v>24</v>
      </c>
      <c r="B458" s="2069" t="s">
        <v>36</v>
      </c>
      <c r="C458" s="116" t="s">
        <v>2109</v>
      </c>
      <c r="D458" s="881" t="s">
        <v>10</v>
      </c>
      <c r="E458" s="882">
        <v>46240</v>
      </c>
      <c r="F458" s="72">
        <f t="shared" ref="F458:F461" si="265">$L$7-E458</f>
        <v>21</v>
      </c>
      <c r="G458" s="312">
        <v>2500</v>
      </c>
      <c r="H458" s="312"/>
      <c r="I458" s="312"/>
      <c r="J458" s="1322"/>
      <c r="K458" s="12">
        <f>IFERROR(SUMIF(INTAKE!$A:$A,$T458,INTAKE!$P:$P),0)</f>
        <v>2500</v>
      </c>
      <c r="L458" s="1670">
        <f t="shared" ref="L458:L467" si="266">+G458+H458+I458-J458-K458</f>
        <v>0</v>
      </c>
      <c r="M458" s="147"/>
      <c r="N458" s="248"/>
      <c r="O458" s="147"/>
      <c r="P458" s="857"/>
      <c r="Q458" s="795"/>
      <c r="R458" s="785">
        <f>IFERROR(VLOOKUP($Q458,'391'!$P:$W,8,0),"")</f>
        <v>0</v>
      </c>
      <c r="S458" s="786"/>
      <c r="T458" s="787" t="str">
        <f>$Q$467&amp;C458&amp;E458</f>
        <v>Dextrose MonohydrateA18.346240</v>
      </c>
      <c r="U458" s="787"/>
      <c r="V458" s="787"/>
      <c r="W458" s="802">
        <f>IFERROR(VLOOKUP($Q458,'391'!$P:$AG,15,0),0)</f>
        <v>0</v>
      </c>
      <c r="X458" s="799">
        <f t="shared" si="245"/>
        <v>2500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customHeight="1" x14ac:dyDescent="0.25">
      <c r="A459" s="2001"/>
      <c r="B459" s="2070"/>
      <c r="C459" s="116" t="s">
        <v>1316</v>
      </c>
      <c r="D459" s="881" t="s">
        <v>10</v>
      </c>
      <c r="E459" s="882">
        <v>46245</v>
      </c>
      <c r="F459" s="72">
        <f t="shared" si="265"/>
        <v>16</v>
      </c>
      <c r="G459" s="312">
        <v>27500</v>
      </c>
      <c r="H459" s="312"/>
      <c r="I459" s="312"/>
      <c r="J459" s="1322"/>
      <c r="K459" s="12">
        <f>IFERROR(SUMIF(INTAKE!$A:$A,$T459,INTAKE!$P:$P),0)</f>
        <v>7500</v>
      </c>
      <c r="L459" s="1670">
        <f t="shared" si="266"/>
        <v>20000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>$Q$467&amp;C459&amp;E459</f>
        <v>Dextrose MonohydrateB18.146245</v>
      </c>
      <c r="U459" s="787"/>
      <c r="V459" s="787"/>
      <c r="W459" s="802">
        <f>IFERROR(VLOOKUP($Q459,'391'!$P:$AG,15,0),0)</f>
        <v>0</v>
      </c>
      <c r="X459" s="799">
        <f t="shared" si="245"/>
        <v>27500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customHeight="1" x14ac:dyDescent="0.25">
      <c r="A460" s="2001"/>
      <c r="B460" s="2070"/>
      <c r="C460" s="116" t="s">
        <v>1809</v>
      </c>
      <c r="D460" s="881" t="s">
        <v>10</v>
      </c>
      <c r="E460" s="882">
        <v>46246</v>
      </c>
      <c r="F460" s="72">
        <f t="shared" si="265"/>
        <v>15</v>
      </c>
      <c r="G460" s="312">
        <v>12500</v>
      </c>
      <c r="H460" s="312"/>
      <c r="I460" s="312"/>
      <c r="J460" s="1322"/>
      <c r="K460" s="12">
        <f>IFERROR(SUMIF(INTAKE!$A:$A,$T460,INTAKE!$P:$P),0)</f>
        <v>0</v>
      </c>
      <c r="L460" s="1670">
        <f t="shared" si="266"/>
        <v>12500</v>
      </c>
      <c r="M460" s="101"/>
      <c r="N460" s="249"/>
      <c r="O460" s="101"/>
      <c r="P460" s="738"/>
      <c r="Q460" s="795"/>
      <c r="R460" s="785">
        <f>IFERROR(VLOOKUP($Q460,'391'!$P:$W,8,0),"")</f>
        <v>0</v>
      </c>
      <c r="S460" s="786"/>
      <c r="T460" s="787" t="str">
        <f>$Q$467&amp;C460&amp;E460</f>
        <v>Dextrose MonohydrateA22.246246</v>
      </c>
      <c r="U460" s="787"/>
      <c r="V460" s="787"/>
      <c r="W460" s="802">
        <f>IFERROR(VLOOKUP($Q460,'391'!$P:$AG,15,0),0)</f>
        <v>0</v>
      </c>
      <c r="X460" s="799">
        <f t="shared" si="245"/>
        <v>12500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customHeight="1" x14ac:dyDescent="0.25">
      <c r="A461" s="2001"/>
      <c r="B461" s="2070"/>
      <c r="C461" s="116" t="s">
        <v>1599</v>
      </c>
      <c r="D461" s="881" t="s">
        <v>10</v>
      </c>
      <c r="E461" s="882">
        <v>46253</v>
      </c>
      <c r="F461" s="72">
        <f t="shared" si="265"/>
        <v>8</v>
      </c>
      <c r="G461" s="312">
        <v>15000</v>
      </c>
      <c r="H461" s="312"/>
      <c r="I461" s="312"/>
      <c r="J461" s="1322"/>
      <c r="K461" s="12">
        <f>IFERROR(SUMIF(INTAKE!$A:$A,$T461,INTAKE!$P:$P),0)</f>
        <v>0</v>
      </c>
      <c r="L461" s="1670">
        <f t="shared" si="266"/>
        <v>15000</v>
      </c>
      <c r="M461" s="101"/>
      <c r="N461" s="249"/>
      <c r="O461" s="101"/>
      <c r="P461" s="738"/>
      <c r="Q461" s="795"/>
      <c r="R461" s="785">
        <f>IFERROR(VLOOKUP($Q461,'391'!$P:$W,8,0),"")</f>
        <v>0</v>
      </c>
      <c r="S461" s="786"/>
      <c r="T461" s="787" t="str">
        <f t="shared" ref="T461:T466" si="267">$Q$4755&amp;C461&amp;E461</f>
        <v>A18.446253</v>
      </c>
      <c r="U461" s="787"/>
      <c r="V461" s="787"/>
      <c r="W461" s="802">
        <f>IFERROR(VLOOKUP($Q461,'391'!$P:$AG,15,0),0)</f>
        <v>0</v>
      </c>
      <c r="X461" s="799">
        <f t="shared" si="245"/>
        <v>15000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1"/>
      <c r="B462" s="2070"/>
      <c r="C462" s="116"/>
      <c r="D462" s="881" t="s">
        <v>10</v>
      </c>
      <c r="E462" s="882">
        <v>46253</v>
      </c>
      <c r="F462" s="72">
        <f t="shared" ref="F462" si="268">$L$7-E462</f>
        <v>8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70">
        <f t="shared" si="266"/>
        <v>0</v>
      </c>
      <c r="M462" s="101"/>
      <c r="N462" s="249"/>
      <c r="O462" s="101"/>
      <c r="P462" s="738"/>
      <c r="Q462" s="795"/>
      <c r="R462" s="785">
        <f>IFERROR(VLOOKUP($Q462,'391'!$P:$W,8,0),"")</f>
        <v>0</v>
      </c>
      <c r="S462" s="786"/>
      <c r="T462" s="787" t="str">
        <f t="shared" si="267"/>
        <v>46253</v>
      </c>
      <c r="U462" s="787"/>
      <c r="V462" s="787"/>
      <c r="W462" s="802">
        <f>IFERROR(VLOOKUP($Q462,'391'!$P:$AG,15,0),0)</f>
        <v>0</v>
      </c>
      <c r="X462" s="799">
        <f t="shared" si="245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1"/>
      <c r="B463" s="2070"/>
      <c r="C463" s="116"/>
      <c r="D463" s="881" t="s">
        <v>10</v>
      </c>
      <c r="E463" s="882">
        <v>46234</v>
      </c>
      <c r="F463" s="72">
        <f t="shared" ref="F463" si="269">$L$7-E463</f>
        <v>27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6"/>
        <v>0</v>
      </c>
      <c r="M463" s="23"/>
      <c r="N463" s="920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7"/>
        <v>46234</v>
      </c>
      <c r="U463" s="787"/>
      <c r="V463" s="787"/>
      <c r="W463" s="802">
        <f>IFERROR(VLOOKUP($Q463,'391'!$P:$AG,15,0),0)</f>
        <v>0</v>
      </c>
      <c r="X463" s="799">
        <f t="shared" ref="X463:X503" si="270">G463-W463</f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6" customFormat="1" ht="30" hidden="1" customHeight="1" x14ac:dyDescent="0.25">
      <c r="A464" s="2001"/>
      <c r="B464" s="2075"/>
      <c r="C464" s="116"/>
      <c r="D464" s="881" t="s">
        <v>10</v>
      </c>
      <c r="E464" s="882">
        <v>46111</v>
      </c>
      <c r="F464" s="72">
        <f t="shared" ref="F464" si="271">$L$7-E464</f>
        <v>150</v>
      </c>
      <c r="G464" s="312">
        <v>0</v>
      </c>
      <c r="H464" s="312"/>
      <c r="I464" s="312"/>
      <c r="J464" s="1322"/>
      <c r="K464" s="12">
        <f>IFERROR(SUMIF(INTAKE!$A:$A,$T464,INTAKE!$P:$P),0)</f>
        <v>0</v>
      </c>
      <c r="L464" s="1670">
        <f t="shared" ref="L464:L465" si="272">+G464+H464+I464-J464-K464</f>
        <v>0</v>
      </c>
      <c r="M464" s="23"/>
      <c r="N464" s="1467"/>
      <c r="O464" s="23"/>
      <c r="P464" s="736"/>
      <c r="Q464" s="795"/>
      <c r="R464" s="785">
        <f>IFERROR(VLOOKUP($Q464,'391'!$P:$W,8,0),"")</f>
        <v>0</v>
      </c>
      <c r="S464" s="786"/>
      <c r="T464" s="787" t="str">
        <f t="shared" si="267"/>
        <v>46111</v>
      </c>
      <c r="U464" s="787"/>
      <c r="V464" s="787"/>
      <c r="W464" s="802">
        <f>IFERROR(VLOOKUP($Q464,'391'!$P:$AG,15,0),0)</f>
        <v>0</v>
      </c>
      <c r="X464" s="799">
        <f t="shared" ref="X464:X465" si="273">G464-W464</f>
        <v>0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6" customFormat="1" ht="30" hidden="1" customHeight="1" x14ac:dyDescent="0.25">
      <c r="A465" s="2001"/>
      <c r="B465" s="2075"/>
      <c r="C465" s="116"/>
      <c r="D465" s="881" t="s">
        <v>10</v>
      </c>
      <c r="E465" s="882">
        <v>46111</v>
      </c>
      <c r="F465" s="72">
        <f t="shared" ref="F465" si="274">$L$7-E465</f>
        <v>150</v>
      </c>
      <c r="G465" s="312">
        <v>0</v>
      </c>
      <c r="H465" s="312"/>
      <c r="I465" s="312"/>
      <c r="J465" s="1322"/>
      <c r="K465" s="12">
        <f>IFERROR(SUMIF(INTAKE!$A:$A,$T465,INTAKE!$P:$P),0)</f>
        <v>0</v>
      </c>
      <c r="L465" s="1670">
        <f t="shared" si="272"/>
        <v>0</v>
      </c>
      <c r="M465" s="23"/>
      <c r="N465" s="1467"/>
      <c r="O465" s="23"/>
      <c r="P465" s="736"/>
      <c r="Q465" s="795"/>
      <c r="R465" s="785">
        <f>IFERROR(VLOOKUP($Q465,'391'!$P:$W,8,0),"")</f>
        <v>0</v>
      </c>
      <c r="S465" s="786"/>
      <c r="T465" s="787" t="str">
        <f t="shared" si="267"/>
        <v>46111</v>
      </c>
      <c r="U465" s="787"/>
      <c r="V465" s="787"/>
      <c r="W465" s="802">
        <f>IFERROR(VLOOKUP($Q465,'391'!$P:$AG,15,0),0)</f>
        <v>0</v>
      </c>
      <c r="X465" s="799">
        <f t="shared" si="273"/>
        <v>0</v>
      </c>
      <c r="Y465" s="787"/>
      <c r="Z465" s="791"/>
      <c r="AA465" s="787"/>
      <c r="AB465" s="787"/>
      <c r="AC465" s="679"/>
      <c r="AD465" s="679"/>
      <c r="AE465" s="679"/>
      <c r="AF465" s="679"/>
      <c r="AG465" s="679"/>
      <c r="AH465" s="679"/>
      <c r="AI465" s="682"/>
      <c r="AJ465" s="682"/>
      <c r="AK465" s="682"/>
      <c r="AL465" s="682"/>
      <c r="AM465" s="682"/>
      <c r="AN465" s="682"/>
      <c r="AO465" s="682"/>
      <c r="AP465" s="682"/>
      <c r="AQ465" s="682"/>
      <c r="AR465" s="682"/>
      <c r="AS465" s="682"/>
    </row>
    <row r="466" spans="1:45" s="6" customFormat="1" ht="30" hidden="1" customHeight="1" x14ac:dyDescent="0.25">
      <c r="A466" s="2001"/>
      <c r="B466" s="2070"/>
      <c r="C466" s="116"/>
      <c r="D466" s="881" t="s">
        <v>10</v>
      </c>
      <c r="E466" s="882">
        <v>46063</v>
      </c>
      <c r="F466" s="72">
        <f t="shared" ref="F466:F467" si="275">$L$7-E466</f>
        <v>198</v>
      </c>
      <c r="G466" s="312">
        <v>0</v>
      </c>
      <c r="H466" s="312"/>
      <c r="I466" s="312"/>
      <c r="J466" s="1322"/>
      <c r="K466" s="12">
        <f>IFERROR(SUMIF(INTAKE!$A:$A,$T466,INTAKE!$P:$P),0)</f>
        <v>0</v>
      </c>
      <c r="L466" s="1670">
        <f t="shared" si="266"/>
        <v>0</v>
      </c>
      <c r="M466" s="23"/>
      <c r="N466" s="1467"/>
      <c r="O466" s="23"/>
      <c r="P466" s="736"/>
      <c r="Q466" s="795"/>
      <c r="R466" s="785">
        <f>IFERROR(VLOOKUP($Q466,'391'!$P:$W,8,0),"")</f>
        <v>0</v>
      </c>
      <c r="S466" s="786"/>
      <c r="T466" s="787" t="str">
        <f t="shared" si="267"/>
        <v>46063</v>
      </c>
      <c r="U466" s="787"/>
      <c r="V466" s="787"/>
      <c r="W466" s="802">
        <f>IFERROR(VLOOKUP($Q466,'391'!$P:$AG,15,0),0)</f>
        <v>0</v>
      </c>
      <c r="X466" s="799">
        <f t="shared" si="270"/>
        <v>0</v>
      </c>
      <c r="Y466" s="787"/>
      <c r="Z466" s="791"/>
      <c r="AA466" s="787"/>
      <c r="AB466" s="787"/>
      <c r="AC466" s="679"/>
      <c r="AD466" s="679"/>
      <c r="AE466" s="679"/>
      <c r="AF466" s="679"/>
      <c r="AG466" s="679"/>
      <c r="AH466" s="679"/>
      <c r="AI466" s="682"/>
      <c r="AJ466" s="682"/>
      <c r="AK466" s="682"/>
      <c r="AL466" s="682"/>
      <c r="AM466" s="682"/>
      <c r="AN466" s="682"/>
      <c r="AO466" s="682"/>
      <c r="AP466" s="682"/>
      <c r="AQ466" s="682"/>
      <c r="AR466" s="682"/>
      <c r="AS466" s="682"/>
    </row>
    <row r="467" spans="1:45" s="406" customFormat="1" ht="30" customHeight="1" x14ac:dyDescent="0.25">
      <c r="A467" s="2001"/>
      <c r="B467" s="2071"/>
      <c r="C467" s="61" t="s">
        <v>1626</v>
      </c>
      <c r="D467" s="863" t="s">
        <v>10</v>
      </c>
      <c r="E467" s="886">
        <v>46240</v>
      </c>
      <c r="F467" s="38">
        <f t="shared" si="275"/>
        <v>21</v>
      </c>
      <c r="G467" s="28">
        <v>11396</v>
      </c>
      <c r="H467" s="28"/>
      <c r="I467" s="28">
        <f>+SUM(K458:K466)</f>
        <v>10000</v>
      </c>
      <c r="J467" s="1295">
        <f>usage!I45</f>
        <v>498</v>
      </c>
      <c r="K467" s="28"/>
      <c r="L467" s="1671">
        <f t="shared" si="266"/>
        <v>20898</v>
      </c>
      <c r="M467" s="35"/>
      <c r="N467" s="87"/>
      <c r="O467" s="35"/>
      <c r="P467" s="740"/>
      <c r="Q467" s="666" t="s">
        <v>36</v>
      </c>
      <c r="R467" s="785" t="str">
        <f>IFERROR(VLOOKUP($Q467,'391'!$P:$W,8,0),"")</f>
        <v/>
      </c>
      <c r="S467" s="786"/>
      <c r="T467" s="787"/>
      <c r="U467" s="787"/>
      <c r="V467" s="787"/>
      <c r="W467" s="802">
        <f>IFERROR(VLOOKUP($Q467,'391'!$P:$AG,15,0),0)</f>
        <v>0</v>
      </c>
      <c r="X467" s="799">
        <f t="shared" si="270"/>
        <v>11396</v>
      </c>
      <c r="Y467" s="787"/>
      <c r="Z467" s="791"/>
      <c r="AA467" s="787"/>
      <c r="AB467" s="787"/>
      <c r="AC467" s="679"/>
      <c r="AD467" s="679"/>
      <c r="AE467" s="679"/>
      <c r="AF467" s="679"/>
      <c r="AG467" s="679"/>
      <c r="AH467" s="679"/>
      <c r="AI467" s="682"/>
      <c r="AJ467" s="682"/>
      <c r="AK467" s="682"/>
      <c r="AL467" s="682"/>
      <c r="AM467" s="682"/>
      <c r="AN467" s="682"/>
      <c r="AO467" s="682"/>
      <c r="AP467" s="682"/>
      <c r="AQ467" s="682"/>
      <c r="AR467" s="682"/>
      <c r="AS467" s="682"/>
    </row>
    <row r="468" spans="1:45" s="402" customFormat="1" ht="30" customHeight="1" x14ac:dyDescent="0.25">
      <c r="A468" s="2022" t="s">
        <v>112</v>
      </c>
      <c r="B468" s="2023"/>
      <c r="C468" s="929"/>
      <c r="D468" s="930"/>
      <c r="E468" s="930"/>
      <c r="F468" s="931"/>
      <c r="G468" s="1296">
        <v>68896</v>
      </c>
      <c r="H468" s="1355">
        <f t="shared" ref="H468:J468" si="276">SUM(H458:H467)</f>
        <v>0</v>
      </c>
      <c r="I468" s="1355">
        <f t="shared" si="276"/>
        <v>10000</v>
      </c>
      <c r="J468" s="1355">
        <f t="shared" si="276"/>
        <v>498</v>
      </c>
      <c r="K468" s="1355">
        <f>SUM(K458:K467)</f>
        <v>10000</v>
      </c>
      <c r="L468" s="1296">
        <f>SUM(L458:L467)</f>
        <v>68398</v>
      </c>
      <c r="M468" s="932">
        <f>IFERROR((R468/$S$2),"")</f>
        <v>3986.5</v>
      </c>
      <c r="N468" s="854">
        <f>(L468/M468)</f>
        <v>17.157406246080523</v>
      </c>
      <c r="O468" s="932">
        <f>IFERROR(SUMIF(ETM!$A:$A,$Q468,ETM!$E:$E),"")</f>
        <v>4520.833333333333</v>
      </c>
      <c r="P468" s="880">
        <f>(L468/O468)</f>
        <v>15.129511520737328</v>
      </c>
      <c r="Q468" s="795" t="s">
        <v>828</v>
      </c>
      <c r="R468" s="785">
        <f>IFERROR(VLOOKUP($Q468,'391'!$P:$W,8,0),"")</f>
        <v>23919</v>
      </c>
      <c r="S468" s="796"/>
      <c r="T468" s="797"/>
      <c r="U468" s="797"/>
      <c r="V468" s="797"/>
      <c r="W468" s="802">
        <f>IFERROR(VLOOKUP($Q468,'391'!$P:$AG,15,0),0)</f>
        <v>83388</v>
      </c>
      <c r="X468" s="799">
        <f t="shared" si="270"/>
        <v>-14492</v>
      </c>
      <c r="Y468" s="797"/>
      <c r="Z468" s="785"/>
      <c r="AA468" s="797"/>
      <c r="AB468" s="797"/>
      <c r="AC468" s="551"/>
      <c r="AD468" s="551"/>
      <c r="AE468" s="551"/>
      <c r="AF468" s="551"/>
      <c r="AG468" s="551"/>
      <c r="AH468" s="551"/>
      <c r="AI468" s="704"/>
      <c r="AJ468" s="704"/>
      <c r="AK468" s="704"/>
      <c r="AL468" s="704"/>
      <c r="AM468" s="704"/>
      <c r="AN468" s="704"/>
      <c r="AO468" s="704"/>
      <c r="AP468" s="704"/>
      <c r="AQ468" s="704"/>
      <c r="AR468" s="704"/>
      <c r="AS468" s="704"/>
    </row>
    <row r="469" spans="1:45" s="13" customFormat="1" ht="30" hidden="1" customHeight="1" x14ac:dyDescent="0.25">
      <c r="A469" s="2001">
        <f>IF(L492=0,"",MAX($A$16:A468)+1)</f>
        <v>25</v>
      </c>
      <c r="B469" s="2068" t="s">
        <v>1698</v>
      </c>
      <c r="C469" s="110"/>
      <c r="D469" s="887" t="s">
        <v>10</v>
      </c>
      <c r="E469" s="888">
        <v>46224</v>
      </c>
      <c r="F469" s="856">
        <f t="shared" ref="F469:F482" si="277">$L$7-E469</f>
        <v>37</v>
      </c>
      <c r="G469" s="18">
        <v>0</v>
      </c>
      <c r="H469" s="18"/>
      <c r="I469" s="18"/>
      <c r="J469" s="1338"/>
      <c r="K469" s="1922">
        <f>IFERROR(SUMIF(INTAKE!$A:$A,$T469,INTAKE!$P:$P),0)</f>
        <v>0</v>
      </c>
      <c r="L469" s="1670">
        <f t="shared" ref="L469:L491" si="278">+G469+H469+I469-J469-K469</f>
        <v>0</v>
      </c>
      <c r="M469" s="45"/>
      <c r="N469" s="162"/>
      <c r="O469" s="45"/>
      <c r="P469" s="736"/>
      <c r="Q469" s="795"/>
      <c r="R469" s="785">
        <f>IFERROR(VLOOKUP($Q469,'391'!$P:$W,8,0),"")</f>
        <v>0</v>
      </c>
      <c r="S469" s="796"/>
      <c r="T469" s="787" t="str">
        <f>$Q$472&amp;C469&amp;E469</f>
        <v>Sweet Whey Powder (USA)46224</v>
      </c>
      <c r="U469" s="797"/>
      <c r="V469" s="797"/>
      <c r="W469" s="802">
        <f>IFERROR(VLOOKUP($Q469,'391'!$P:$AG,15,0),0)</f>
        <v>0</v>
      </c>
      <c r="X469" s="799">
        <f t="shared" si="270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0" hidden="1" customHeight="1" x14ac:dyDescent="0.25">
      <c r="A470" s="2001"/>
      <c r="B470" s="2068"/>
      <c r="C470" s="110"/>
      <c r="D470" s="887" t="s">
        <v>10</v>
      </c>
      <c r="E470" s="888">
        <v>46224</v>
      </c>
      <c r="F470" s="856">
        <f t="shared" si="277"/>
        <v>37</v>
      </c>
      <c r="G470" s="18">
        <v>0</v>
      </c>
      <c r="H470" s="18"/>
      <c r="I470" s="18"/>
      <c r="J470" s="1338"/>
      <c r="K470" s="1922">
        <f>IFERROR(SUMIF(INTAKE!$A:$A,$T470,INTAKE!$P:$P),0)</f>
        <v>0</v>
      </c>
      <c r="L470" s="1670">
        <f t="shared" si="278"/>
        <v>0</v>
      </c>
      <c r="M470" s="45"/>
      <c r="N470" s="162"/>
      <c r="O470" s="45"/>
      <c r="P470" s="736"/>
      <c r="Q470" s="795"/>
      <c r="R470" s="785">
        <f>IFERROR(VLOOKUP($Q470,'391'!$P:$W,8,0),"")</f>
        <v>0</v>
      </c>
      <c r="S470" s="796"/>
      <c r="T470" s="787" t="str">
        <f t="shared" ref="T470:T474" si="279">$Q$472&amp;C470&amp;E470</f>
        <v>Sweet Whey Powder (USA)46224</v>
      </c>
      <c r="U470" s="797"/>
      <c r="V470" s="797"/>
      <c r="W470" s="802">
        <f>IFERROR(VLOOKUP($Q470,'391'!$P:$AG,15,0),0)</f>
        <v>0</v>
      </c>
      <c r="X470" s="799">
        <f t="shared" si="270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hidden="1" customHeight="1" x14ac:dyDescent="0.25">
      <c r="A471" s="2001"/>
      <c r="B471" s="2068"/>
      <c r="C471" s="110"/>
      <c r="D471" s="887" t="s">
        <v>10</v>
      </c>
      <c r="E471" s="888">
        <v>46224</v>
      </c>
      <c r="F471" s="856">
        <f t="shared" si="277"/>
        <v>37</v>
      </c>
      <c r="G471" s="18">
        <v>0</v>
      </c>
      <c r="H471" s="18"/>
      <c r="I471" s="18"/>
      <c r="J471" s="1338"/>
      <c r="K471" s="1922">
        <f>IFERROR(SUMIF(INTAKE!$A:$A,$T471,INTAKE!$P:$P),0)</f>
        <v>0</v>
      </c>
      <c r="L471" s="1670">
        <f t="shared" si="278"/>
        <v>0</v>
      </c>
      <c r="M471" s="45"/>
      <c r="N471" s="162"/>
      <c r="O471" s="45"/>
      <c r="P471" s="736"/>
      <c r="Q471" s="666" t="s">
        <v>1763</v>
      </c>
      <c r="R471" s="785" t="str">
        <f>IFERROR(VLOOKUP($Q471,'391'!$P:$W,8,0),"")</f>
        <v/>
      </c>
      <c r="S471" s="796"/>
      <c r="T471" s="787" t="str">
        <f t="shared" si="279"/>
        <v>Sweet Whey Powder (USA)46224</v>
      </c>
      <c r="U471" s="797"/>
      <c r="V471" s="797"/>
      <c r="W471" s="802">
        <f>IFERROR(VLOOKUP($Q471,'391'!$P:$AG,15,0),0)</f>
        <v>0</v>
      </c>
      <c r="X471" s="799">
        <f t="shared" si="270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3" hidden="1" customHeight="1" x14ac:dyDescent="0.25">
      <c r="A472" s="2001"/>
      <c r="B472" s="2068"/>
      <c r="C472" s="110"/>
      <c r="D472" s="887" t="s">
        <v>10</v>
      </c>
      <c r="E472" s="888">
        <v>46225</v>
      </c>
      <c r="F472" s="856">
        <f t="shared" si="277"/>
        <v>36</v>
      </c>
      <c r="G472" s="18">
        <v>0</v>
      </c>
      <c r="H472" s="18"/>
      <c r="I472" s="18"/>
      <c r="J472" s="1338"/>
      <c r="K472" s="1922">
        <f>IFERROR(SUMIF(INTAKE!$A:$A,$T472,INTAKE!$P:$P),0)</f>
        <v>0</v>
      </c>
      <c r="L472" s="1670">
        <f t="shared" si="278"/>
        <v>0</v>
      </c>
      <c r="M472" s="45"/>
      <c r="N472" s="162"/>
      <c r="O472" s="45"/>
      <c r="P472" s="736"/>
      <c r="Q472" s="666" t="s">
        <v>2126</v>
      </c>
      <c r="R472" s="785" t="str">
        <f>IFERROR(VLOOKUP($Q472,'391'!$P:$W,8,0),"")</f>
        <v/>
      </c>
      <c r="S472" s="796"/>
      <c r="T472" s="787" t="str">
        <f t="shared" si="279"/>
        <v>Sweet Whey Powder (USA)46225</v>
      </c>
      <c r="U472" s="797"/>
      <c r="V472" s="797"/>
      <c r="W472" s="802">
        <f>IFERROR(VLOOKUP($Q472,'391'!$P:$AG,15,0),0)</f>
        <v>0</v>
      </c>
      <c r="X472" s="799">
        <f t="shared" si="270"/>
        <v>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3" hidden="1" customHeight="1" x14ac:dyDescent="0.25">
      <c r="A473" s="2001"/>
      <c r="B473" s="2068"/>
      <c r="C473" s="110"/>
      <c r="D473" s="887" t="s">
        <v>10</v>
      </c>
      <c r="E473" s="888">
        <v>46225</v>
      </c>
      <c r="F473" s="856">
        <f t="shared" ref="F473" si="280">$L$7-E473</f>
        <v>36</v>
      </c>
      <c r="G473" s="18">
        <v>0</v>
      </c>
      <c r="H473" s="18"/>
      <c r="I473" s="18"/>
      <c r="J473" s="1338"/>
      <c r="K473" s="1922">
        <f>IFERROR(SUMIF(INTAKE!$A:$A,$T473,INTAKE!$P:$P),0)</f>
        <v>0</v>
      </c>
      <c r="L473" s="1670">
        <f t="shared" si="278"/>
        <v>0</v>
      </c>
      <c r="M473" s="45"/>
      <c r="N473" s="162"/>
      <c r="O473" s="45"/>
      <c r="P473" s="736"/>
      <c r="Q473" s="666" t="s">
        <v>1699</v>
      </c>
      <c r="R473" s="785" t="str">
        <f>IFERROR(VLOOKUP($Q473,'391'!$P:$W,8,0),"")</f>
        <v/>
      </c>
      <c r="S473" s="796"/>
      <c r="T473" s="787" t="str">
        <f t="shared" si="279"/>
        <v>Sweet Whey Powder (USA)46225</v>
      </c>
      <c r="U473" s="797"/>
      <c r="V473" s="797"/>
      <c r="W473" s="802">
        <f>IFERROR(VLOOKUP($Q473,'391'!$P:$AG,15,0),0)</f>
        <v>0</v>
      </c>
      <c r="X473" s="799">
        <f t="shared" si="270"/>
        <v>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1"/>
      <c r="B474" s="2068"/>
      <c r="C474" s="110" t="s">
        <v>2111</v>
      </c>
      <c r="D474" s="887" t="s">
        <v>10</v>
      </c>
      <c r="E474" s="888">
        <v>46225</v>
      </c>
      <c r="F474" s="856">
        <f t="shared" si="277"/>
        <v>36</v>
      </c>
      <c r="G474" s="18">
        <v>13500</v>
      </c>
      <c r="H474" s="18"/>
      <c r="I474" s="18"/>
      <c r="J474" s="1338"/>
      <c r="K474" s="1922">
        <f>IFERROR(SUMIF(INTAKE!$A:$A,$T474,INTAKE!$P:$P),0)</f>
        <v>2250</v>
      </c>
      <c r="L474" s="1670">
        <f t="shared" si="278"/>
        <v>11250</v>
      </c>
      <c r="M474" s="45"/>
      <c r="N474" s="162"/>
      <c r="O474" s="45"/>
      <c r="P474" s="736"/>
      <c r="Q474" s="795"/>
      <c r="R474" s="785">
        <f>IFERROR(VLOOKUP($Q474,'391'!$P:$W,8,0),"")</f>
        <v>0</v>
      </c>
      <c r="S474" s="796"/>
      <c r="T474" s="787" t="str">
        <f t="shared" si="279"/>
        <v>Sweet Whey Powder (USA)C946225</v>
      </c>
      <c r="U474" s="797"/>
      <c r="V474" s="797"/>
      <c r="W474" s="802">
        <f>IFERROR(VLOOKUP($Q474,'391'!$P:$AG,15,0),0)</f>
        <v>0</v>
      </c>
      <c r="X474" s="799">
        <f t="shared" si="270"/>
        <v>13500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1"/>
      <c r="B475" s="2072"/>
      <c r="C475" s="110" t="s">
        <v>2183</v>
      </c>
      <c r="D475" s="887" t="s">
        <v>10</v>
      </c>
      <c r="E475" s="888">
        <v>46246</v>
      </c>
      <c r="F475" s="856">
        <f t="shared" si="277"/>
        <v>15</v>
      </c>
      <c r="G475" s="18">
        <v>32500</v>
      </c>
      <c r="H475" s="18"/>
      <c r="I475" s="18"/>
      <c r="J475" s="1338"/>
      <c r="K475" s="1922">
        <f>IFERROR(SUMIF(INTAKE!$A:$A,$T475,INTAKE!$P:$P),0)</f>
        <v>10000</v>
      </c>
      <c r="L475" s="1713">
        <f t="shared" ref="L475:L485" si="281">+G475+H475+I475-J475-K475</f>
        <v>22500</v>
      </c>
      <c r="M475" s="45"/>
      <c r="N475" s="162"/>
      <c r="O475" s="45"/>
      <c r="P475" s="736"/>
      <c r="Q475" s="666" t="s">
        <v>1589</v>
      </c>
      <c r="R475" s="785" t="str">
        <f>IFERROR(VLOOKUP($Q475,'391'!$P:$W,8,0),"")</f>
        <v/>
      </c>
      <c r="S475" s="796"/>
      <c r="T475" s="787" t="str">
        <f t="shared" ref="T475:T477" si="282">$Q$475&amp;C475&amp;E475</f>
        <v>Sweet Whey Powder (Italy)C346246</v>
      </c>
      <c r="U475" s="797"/>
      <c r="V475" s="797"/>
      <c r="W475" s="802">
        <f>IFERROR(VLOOKUP($Q475,'391'!$P:$AG,15,0),0)</f>
        <v>0</v>
      </c>
      <c r="X475" s="799">
        <f t="shared" ref="X475:X485" si="283">G475-W475</f>
        <v>32500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1"/>
      <c r="B476" s="2072"/>
      <c r="C476" s="110" t="s">
        <v>1510</v>
      </c>
      <c r="D476" s="887" t="s">
        <v>10</v>
      </c>
      <c r="E476" s="888">
        <v>46247</v>
      </c>
      <c r="F476" s="856">
        <f t="shared" si="277"/>
        <v>14</v>
      </c>
      <c r="G476" s="18">
        <v>24750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81" si="284">+G476+H476+I476-J476-K476</f>
        <v>24750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 t="shared" si="282"/>
        <v>Sweet Whey Powder (Italy)C446247</v>
      </c>
      <c r="U476" s="797"/>
      <c r="V476" s="797"/>
      <c r="W476" s="802">
        <f>IFERROR(VLOOKUP($Q476,'391'!$P:$AG,15,0),0)</f>
        <v>0</v>
      </c>
      <c r="X476" s="799">
        <f t="shared" ref="X476:X481" si="285">G476-W476</f>
        <v>24750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1"/>
      <c r="B477" s="2072"/>
      <c r="C477" s="110" t="s">
        <v>1510</v>
      </c>
      <c r="D477" s="887" t="s">
        <v>10</v>
      </c>
      <c r="E477" s="888">
        <v>46248</v>
      </c>
      <c r="F477" s="856">
        <f t="shared" si="277"/>
        <v>13</v>
      </c>
      <c r="G477" s="18">
        <v>27000</v>
      </c>
      <c r="H477" s="18"/>
      <c r="I477" s="18"/>
      <c r="J477" s="1338"/>
      <c r="K477" s="1922">
        <f>IFERROR(SUMIF(INTAKE!$A:$A,$T477,INTAKE!$P:$P),0)</f>
        <v>0</v>
      </c>
      <c r="L477" s="1713">
        <f t="shared" si="284"/>
        <v>27000</v>
      </c>
      <c r="M477" s="45"/>
      <c r="N477" s="162"/>
      <c r="O477" s="45"/>
      <c r="P477" s="736"/>
      <c r="Q477" s="666" t="s">
        <v>1784</v>
      </c>
      <c r="R477" s="785" t="str">
        <f>IFERROR(VLOOKUP($Q477,'391'!$P:$W,8,0),"")</f>
        <v/>
      </c>
      <c r="S477" s="796"/>
      <c r="T477" s="787" t="str">
        <f t="shared" si="282"/>
        <v>Sweet Whey Powder (Italy)C446248</v>
      </c>
      <c r="U477" s="797"/>
      <c r="V477" s="797"/>
      <c r="W477" s="802">
        <f>IFERROR(VLOOKUP($Q477,'391'!$P:$AG,15,0),0)</f>
        <v>0</v>
      </c>
      <c r="X477" s="799">
        <f t="shared" si="285"/>
        <v>27000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1"/>
      <c r="B478" s="2072"/>
      <c r="C478" s="110" t="s">
        <v>624</v>
      </c>
      <c r="D478" s="887" t="s">
        <v>10</v>
      </c>
      <c r="E478" s="888">
        <v>46253</v>
      </c>
      <c r="F478" s="856">
        <f t="shared" si="277"/>
        <v>8</v>
      </c>
      <c r="G478" s="18">
        <v>50000</v>
      </c>
      <c r="H478" s="18"/>
      <c r="I478" s="18"/>
      <c r="J478" s="1338"/>
      <c r="K478" s="1922">
        <f>IFERROR(SUMIF(INTAKE!$A:$A,$T478,INTAKE!$P:$P),0)</f>
        <v>0</v>
      </c>
      <c r="L478" s="1713">
        <f t="shared" si="284"/>
        <v>50000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" si="286">$Q$473&amp;C478&amp;E478</f>
        <v>Sweet whey powder (Spain)C646253</v>
      </c>
      <c r="U478" s="797"/>
      <c r="V478" s="797"/>
      <c r="W478" s="802">
        <f>IFERROR(VLOOKUP($Q478,'391'!$P:$AG,15,0),0)</f>
        <v>0</v>
      </c>
      <c r="X478" s="799">
        <f t="shared" si="285"/>
        <v>50000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01"/>
      <c r="B479" s="2072"/>
      <c r="C479" s="110" t="s">
        <v>506</v>
      </c>
      <c r="D479" s="887" t="s">
        <v>10</v>
      </c>
      <c r="E479" s="888">
        <v>46253</v>
      </c>
      <c r="F479" s="856">
        <f t="shared" si="277"/>
        <v>8</v>
      </c>
      <c r="G479" s="18">
        <v>24850</v>
      </c>
      <c r="H479" s="18"/>
      <c r="I479" s="18"/>
      <c r="J479" s="1338"/>
      <c r="K479" s="1922">
        <f>IFERROR(SUMIF(INTAKE!$A:$A,$T479,INTAKE!$P:$P),0)</f>
        <v>0</v>
      </c>
      <c r="L479" s="1713">
        <f t="shared" ref="L479:L480" si="287">+G479+H479+I479-J479-K479</f>
        <v>24850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>$Q$477&amp;C479&amp;E479</f>
        <v>Sweet Whey Powder  (Turkey)C146253</v>
      </c>
      <c r="U479" s="797"/>
      <c r="V479" s="797"/>
      <c r="W479" s="802">
        <f>IFERROR(VLOOKUP($Q479,'391'!$P:$AG,15,0),0)</f>
        <v>0</v>
      </c>
      <c r="X479" s="799">
        <f t="shared" ref="X479:X480" si="288">G479-W479</f>
        <v>24850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01"/>
      <c r="B480" s="2072"/>
      <c r="C480" s="110" t="s">
        <v>506</v>
      </c>
      <c r="D480" s="887" t="s">
        <v>10</v>
      </c>
      <c r="E480" s="888">
        <v>46254</v>
      </c>
      <c r="F480" s="856">
        <f t="shared" si="277"/>
        <v>7</v>
      </c>
      <c r="G480" s="18">
        <v>25000</v>
      </c>
      <c r="H480" s="18"/>
      <c r="I480" s="18"/>
      <c r="J480" s="1338"/>
      <c r="K480" s="1922">
        <f>IFERROR(SUMIF(INTAKE!$A:$A,$T480,INTAKE!$P:$P),0)</f>
        <v>0</v>
      </c>
      <c r="L480" s="1713">
        <f t="shared" si="287"/>
        <v>25000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ref="T480:T490" si="289">$Q$477&amp;C480&amp;E480</f>
        <v>Sweet Whey Powder  (Turkey)C146254</v>
      </c>
      <c r="U480" s="797"/>
      <c r="V480" s="797"/>
      <c r="W480" s="802">
        <f>IFERROR(VLOOKUP($Q480,'391'!$P:$AG,15,0),0)</f>
        <v>0</v>
      </c>
      <c r="X480" s="799">
        <f t="shared" si="288"/>
        <v>25000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01"/>
      <c r="B481" s="2072"/>
      <c r="C481" s="110" t="s">
        <v>152</v>
      </c>
      <c r="D481" s="887" t="s">
        <v>10</v>
      </c>
      <c r="E481" s="888">
        <v>46254</v>
      </c>
      <c r="F481" s="856">
        <f t="shared" si="277"/>
        <v>7</v>
      </c>
      <c r="G481" s="18">
        <v>25000</v>
      </c>
      <c r="H481" s="18"/>
      <c r="I481" s="18"/>
      <c r="J481" s="1338"/>
      <c r="K481" s="1922">
        <f>IFERROR(SUMIF(INTAKE!$A:$A,$T481,INTAKE!$P:$P),0)</f>
        <v>0</v>
      </c>
      <c r="L481" s="1713">
        <f t="shared" si="284"/>
        <v>25000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si="289"/>
        <v>Sweet Whey Powder  (Turkey)B14.146254</v>
      </c>
      <c r="U481" s="797"/>
      <c r="V481" s="797"/>
      <c r="W481" s="802">
        <f>IFERROR(VLOOKUP($Q481,'391'!$P:$AG,15,0),0)</f>
        <v>0</v>
      </c>
      <c r="X481" s="799">
        <f t="shared" si="285"/>
        <v>25000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01"/>
      <c r="B482" s="2072"/>
      <c r="C482" s="110" t="s">
        <v>152</v>
      </c>
      <c r="D482" s="887" t="s">
        <v>10</v>
      </c>
      <c r="E482" s="888">
        <v>46254</v>
      </c>
      <c r="F482" s="856">
        <f t="shared" si="277"/>
        <v>7</v>
      </c>
      <c r="G482" s="18">
        <v>25000</v>
      </c>
      <c r="H482" s="18"/>
      <c r="I482" s="18"/>
      <c r="J482" s="1338"/>
      <c r="K482" s="1922">
        <f>IFERROR(SUMIF(INTAKE!$A:$A,$T482,INTAKE!$P:$P),0)</f>
        <v>0</v>
      </c>
      <c r="L482" s="1713">
        <f t="shared" si="281"/>
        <v>25000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9"/>
        <v>Sweet Whey Powder  (Turkey)B14.146254</v>
      </c>
      <c r="U482" s="797"/>
      <c r="V482" s="797"/>
      <c r="W482" s="802">
        <f>IFERROR(VLOOKUP($Q482,'391'!$P:$AG,15,0),0)</f>
        <v>0</v>
      </c>
      <c r="X482" s="799">
        <f t="shared" si="283"/>
        <v>25000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01"/>
      <c r="B483" s="2072"/>
      <c r="C483" s="110"/>
      <c r="D483" s="887" t="s">
        <v>10</v>
      </c>
      <c r="E483" s="888">
        <v>46254</v>
      </c>
      <c r="F483" s="856">
        <f t="shared" ref="F483" si="290">$L$7-E483</f>
        <v>7</v>
      </c>
      <c r="G483" s="18"/>
      <c r="H483" s="18"/>
      <c r="I483" s="18"/>
      <c r="J483" s="1338"/>
      <c r="K483" s="1922">
        <f>IFERROR(SUMIF(INTAKE!$A:$A,$T483,INTAKE!$P:$P),0)</f>
        <v>0</v>
      </c>
      <c r="L483" s="1713">
        <f t="shared" ref="L483" si="291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9"/>
        <v>Sweet Whey Powder  (Turkey)46254</v>
      </c>
      <c r="U483" s="797"/>
      <c r="V483" s="797"/>
      <c r="W483" s="802">
        <f>IFERROR(VLOOKUP($Q483,'391'!$P:$AG,15,0),0)</f>
        <v>0</v>
      </c>
      <c r="X483" s="799">
        <f t="shared" ref="X483" si="292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01"/>
      <c r="B484" s="2072"/>
      <c r="C484" s="110"/>
      <c r="D484" s="887" t="s">
        <v>10</v>
      </c>
      <c r="E484" s="888">
        <v>46101</v>
      </c>
      <c r="F484" s="856">
        <f t="shared" ref="F484:F486" si="293">$L$7-E484</f>
        <v>160</v>
      </c>
      <c r="G484" s="18">
        <v>0</v>
      </c>
      <c r="H484" s="18"/>
      <c r="I484" s="18"/>
      <c r="J484" s="1338"/>
      <c r="K484" s="1922">
        <f>IFERROR(SUMIF(INTAKE!$A:$A,$T484,INTAKE!$P:$P),0)</f>
        <v>0</v>
      </c>
      <c r="L484" s="1713">
        <f t="shared" si="281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9"/>
        <v>Sweet Whey Powder  (Turkey)46101</v>
      </c>
      <c r="U484" s="797"/>
      <c r="V484" s="797"/>
      <c r="W484" s="802">
        <f>IFERROR(VLOOKUP($Q484,'391'!$P:$AG,15,0),0)</f>
        <v>0</v>
      </c>
      <c r="X484" s="799">
        <f t="shared" si="283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1"/>
      <c r="B485" s="2072"/>
      <c r="C485" s="110"/>
      <c r="D485" s="887" t="s">
        <v>10</v>
      </c>
      <c r="E485" s="888">
        <v>46101</v>
      </c>
      <c r="F485" s="856">
        <f t="shared" ref="F485" si="294">$L$7-E485</f>
        <v>160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si="281"/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9"/>
        <v>Sweet Whey Powder  (Turkey)46101</v>
      </c>
      <c r="U485" s="797"/>
      <c r="V485" s="797"/>
      <c r="W485" s="802">
        <f>IFERROR(VLOOKUP($Q485,'391'!$P:$AG,15,0),0)</f>
        <v>0</v>
      </c>
      <c r="X485" s="799">
        <f t="shared" si="283"/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1"/>
      <c r="B486" s="2072"/>
      <c r="C486" s="110"/>
      <c r="D486" s="887" t="s">
        <v>10</v>
      </c>
      <c r="E486" s="888">
        <v>46101</v>
      </c>
      <c r="F486" s="856">
        <f t="shared" si="293"/>
        <v>160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ref="L486:L487" si="295">+G486+H486+I486-J486-K486</f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9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ref="X486:X487" si="296">G486-W486</f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1"/>
      <c r="B487" s="2072"/>
      <c r="C487" s="110"/>
      <c r="D487" s="887" t="s">
        <v>10</v>
      </c>
      <c r="E487" s="888">
        <v>46100</v>
      </c>
      <c r="F487" s="856">
        <f t="shared" ref="F487" si="297">$L$7-E487</f>
        <v>161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95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9"/>
        <v>Sweet Whey Powder  (Turkey)46100</v>
      </c>
      <c r="U487" s="797"/>
      <c r="V487" s="797"/>
      <c r="W487" s="802">
        <f>IFERROR(VLOOKUP($Q487,'391'!$P:$AG,15,0),0)</f>
        <v>0</v>
      </c>
      <c r="X487" s="799">
        <f t="shared" si="296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hidden="1" customHeight="1" x14ac:dyDescent="0.25">
      <c r="A488" s="2001"/>
      <c r="B488" s="2072"/>
      <c r="C488" s="110"/>
      <c r="D488" s="887" t="s">
        <v>10</v>
      </c>
      <c r="E488" s="888">
        <v>46100</v>
      </c>
      <c r="F488" s="856">
        <f t="shared" ref="F488:F489" si="298">$L$7-E488</f>
        <v>161</v>
      </c>
      <c r="G488" s="18">
        <v>0</v>
      </c>
      <c r="H488" s="18"/>
      <c r="I488" s="18"/>
      <c r="J488" s="1338"/>
      <c r="K488" s="1922">
        <f>IFERROR(SUMIF(INTAKE!$A:$A,$T488,INTAKE!$P:$P),0)</f>
        <v>0</v>
      </c>
      <c r="L488" s="1713">
        <f t="shared" ref="L488:L489" si="299">+G488+H488+I488-J488-K488</f>
        <v>0</v>
      </c>
      <c r="M488" s="45"/>
      <c r="N488" s="162"/>
      <c r="O488" s="45"/>
      <c r="P488" s="736"/>
      <c r="Q488" s="666"/>
      <c r="R488" s="785">
        <f>IFERROR(VLOOKUP($Q488,'391'!$P:$W,8,0),"")</f>
        <v>0</v>
      </c>
      <c r="S488" s="796"/>
      <c r="T488" s="787" t="str">
        <f t="shared" si="289"/>
        <v>Sweet Whey Powder  (Turkey)46100</v>
      </c>
      <c r="U488" s="797"/>
      <c r="V488" s="797"/>
      <c r="W488" s="802">
        <f>IFERROR(VLOOKUP($Q488,'391'!$P:$AG,15,0),0)</f>
        <v>0</v>
      </c>
      <c r="X488" s="799">
        <f t="shared" ref="X488:X489" si="300">G488-W488</f>
        <v>0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13" customFormat="1" ht="30" hidden="1" customHeight="1" x14ac:dyDescent="0.25">
      <c r="A489" s="2001"/>
      <c r="B489" s="2072"/>
      <c r="C489" s="110"/>
      <c r="D489" s="887" t="s">
        <v>10</v>
      </c>
      <c r="E489" s="888">
        <v>46101</v>
      </c>
      <c r="F489" s="856">
        <f t="shared" si="298"/>
        <v>160</v>
      </c>
      <c r="G489" s="18">
        <v>0</v>
      </c>
      <c r="H489" s="18"/>
      <c r="I489" s="18"/>
      <c r="J489" s="1338"/>
      <c r="K489" s="1922">
        <f>IFERROR(SUMIF(INTAKE!$A:$A,$T489,INTAKE!$P:$P),0)</f>
        <v>0</v>
      </c>
      <c r="L489" s="1713">
        <f t="shared" si="299"/>
        <v>0</v>
      </c>
      <c r="M489" s="45"/>
      <c r="N489" s="162"/>
      <c r="O489" s="45"/>
      <c r="P489" s="736"/>
      <c r="Q489" s="666"/>
      <c r="R489" s="785">
        <f>IFERROR(VLOOKUP($Q489,'391'!$P:$W,8,0),"")</f>
        <v>0</v>
      </c>
      <c r="S489" s="796"/>
      <c r="T489" s="787" t="str">
        <f t="shared" si="289"/>
        <v>Sweet Whey Powder  (Turkey)46101</v>
      </c>
      <c r="U489" s="797"/>
      <c r="V489" s="797"/>
      <c r="W489" s="802">
        <f>IFERROR(VLOOKUP($Q489,'391'!$P:$AG,15,0),0)</f>
        <v>0</v>
      </c>
      <c r="X489" s="799">
        <f t="shared" si="300"/>
        <v>0</v>
      </c>
      <c r="Y489" s="797"/>
      <c r="Z489" s="785"/>
      <c r="AA489" s="797"/>
      <c r="AB489" s="797"/>
      <c r="AC489" s="683"/>
      <c r="AD489" s="683"/>
      <c r="AE489" s="683"/>
      <c r="AF489" s="683"/>
      <c r="AG489" s="683"/>
      <c r="AH489" s="683"/>
      <c r="AI489" s="705"/>
      <c r="AJ489" s="705"/>
      <c r="AK489" s="705"/>
      <c r="AL489" s="705"/>
      <c r="AM489" s="705"/>
      <c r="AN489" s="705"/>
      <c r="AO489" s="705"/>
      <c r="AP489" s="705"/>
      <c r="AQ489" s="705"/>
      <c r="AR489" s="705"/>
      <c r="AS489" s="705"/>
    </row>
    <row r="490" spans="1:45" s="13" customFormat="1" ht="30" hidden="1" customHeight="1" x14ac:dyDescent="0.25">
      <c r="A490" s="2001"/>
      <c r="B490" s="2068"/>
      <c r="C490" s="110"/>
      <c r="D490" s="887" t="s">
        <v>10</v>
      </c>
      <c r="E490" s="888">
        <v>46101</v>
      </c>
      <c r="F490" s="856">
        <f t="shared" ref="F490" si="301">$L$7-E490</f>
        <v>160</v>
      </c>
      <c r="G490" s="18">
        <v>0</v>
      </c>
      <c r="H490" s="18"/>
      <c r="I490" s="18"/>
      <c r="J490" s="1338"/>
      <c r="K490" s="1922">
        <f>IFERROR(SUMIF(INTAKE!$A:$A,$T490,INTAKE!$P:$P),0)</f>
        <v>0</v>
      </c>
      <c r="L490" s="1713">
        <f t="shared" si="278"/>
        <v>0</v>
      </c>
      <c r="M490" s="45"/>
      <c r="N490" s="162"/>
      <c r="O490" s="45"/>
      <c r="P490" s="736"/>
      <c r="Q490" s="666"/>
      <c r="R490" s="785">
        <f>IFERROR(VLOOKUP($Q490,'391'!$P:$W,8,0),"")</f>
        <v>0</v>
      </c>
      <c r="S490" s="796"/>
      <c r="T490" s="787" t="str">
        <f t="shared" si="289"/>
        <v>Sweet Whey Powder  (Turkey)46101</v>
      </c>
      <c r="U490" s="797"/>
      <c r="V490" s="797"/>
      <c r="W490" s="802">
        <f>IFERROR(VLOOKUP($Q490,'391'!$P:$AG,15,0),0)</f>
        <v>0</v>
      </c>
      <c r="X490" s="799">
        <f t="shared" si="270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customHeight="1" x14ac:dyDescent="0.25">
      <c r="A491" s="2001"/>
      <c r="B491" s="2068"/>
      <c r="C491" s="65" t="s">
        <v>1665</v>
      </c>
      <c r="D491" s="852" t="s">
        <v>10</v>
      </c>
      <c r="E491" s="853">
        <v>46225</v>
      </c>
      <c r="F491" s="856">
        <f t="shared" ref="F491" si="302">$L$7-E491</f>
        <v>36</v>
      </c>
      <c r="G491" s="919">
        <v>29011</v>
      </c>
      <c r="H491" s="300"/>
      <c r="I491" s="36">
        <f>+SUM(K469:K491)</f>
        <v>12250</v>
      </c>
      <c r="J491" s="1294">
        <f>usage!I47</f>
        <v>1440</v>
      </c>
      <c r="K491" s="1345"/>
      <c r="L491" s="531">
        <f t="shared" si="278"/>
        <v>39821</v>
      </c>
      <c r="M491" s="45"/>
      <c r="N491" s="162"/>
      <c r="O491" s="45"/>
      <c r="P491" s="736"/>
      <c r="Q491" s="795"/>
      <c r="R491" s="785">
        <f>IFERROR(VLOOKUP($Q491,'391'!$P:$W,8,0),"")</f>
        <v>0</v>
      </c>
      <c r="S491" s="796"/>
      <c r="T491" s="797"/>
      <c r="U491" s="797"/>
      <c r="V491" s="797"/>
      <c r="W491" s="802">
        <f>IFERROR(VLOOKUP($Q491,'391'!$P:$AG,15,0),0)</f>
        <v>0</v>
      </c>
      <c r="X491" s="799">
        <f t="shared" si="270"/>
        <v>29011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402" customFormat="1" ht="30" customHeight="1" x14ac:dyDescent="0.25">
      <c r="A492" s="2022" t="s">
        <v>113</v>
      </c>
      <c r="B492" s="2023"/>
      <c r="C492" s="88"/>
      <c r="D492" s="864"/>
      <c r="E492" s="939"/>
      <c r="F492" s="865"/>
      <c r="G492" s="1296">
        <v>276611</v>
      </c>
      <c r="H492" s="1296">
        <f>SUM(H469:H491)</f>
        <v>0</v>
      </c>
      <c r="I492" s="1296">
        <f>SUM(I469:I491)</f>
        <v>12250</v>
      </c>
      <c r="J492" s="1296">
        <f>SUM(J469:J491)</f>
        <v>1440</v>
      </c>
      <c r="K492" s="1296">
        <f>SUM(K469:K491)</f>
        <v>12250</v>
      </c>
      <c r="L492" s="1296">
        <f>SUM(L469:L491)</f>
        <v>275171</v>
      </c>
      <c r="M492" s="59">
        <f>IFERROR(S492/$S$2,"")</f>
        <v>14209.666666666666</v>
      </c>
      <c r="N492" s="854">
        <f>(L492/M492)</f>
        <v>19.36505665157522</v>
      </c>
      <c r="O492" s="59">
        <f>IFERROR(SUMIF(ETM!$A:$A,$Q492,ETM!$E:$E),"")</f>
        <v>14886.5</v>
      </c>
      <c r="P492" s="880">
        <f>(L492/O492)</f>
        <v>18.484600141067411</v>
      </c>
      <c r="Q492" s="795" t="s">
        <v>826</v>
      </c>
      <c r="R492" s="785">
        <f>IFERROR(VLOOKUP($Q492,'391'!$P:$W,8,0),"")</f>
        <v>135879</v>
      </c>
      <c r="S492" s="800">
        <f>+R492-R512</f>
        <v>85258</v>
      </c>
      <c r="T492" s="797"/>
      <c r="U492" s="797"/>
      <c r="V492" s="797"/>
      <c r="W492" s="802">
        <f>IFERROR(VLOOKUP($Q492,'391'!$P:$AG,15,0),0)</f>
        <v>624550</v>
      </c>
      <c r="X492" s="799">
        <f t="shared" si="270"/>
        <v>-347939</v>
      </c>
      <c r="Y492" s="1087">
        <f>+G492+G512</f>
        <v>547979</v>
      </c>
      <c r="Z492" s="1088">
        <f>+W492-Y492</f>
        <v>76571</v>
      </c>
      <c r="AA492" s="797"/>
      <c r="AB492" s="797"/>
      <c r="AC492" s="551"/>
      <c r="AD492" s="551"/>
      <c r="AE492" s="551"/>
      <c r="AF492" s="551"/>
      <c r="AG492" s="551"/>
      <c r="AH492" s="551"/>
      <c r="AI492" s="704"/>
      <c r="AJ492" s="704"/>
      <c r="AK492" s="704"/>
      <c r="AL492" s="704"/>
      <c r="AM492" s="704"/>
      <c r="AN492" s="704"/>
      <c r="AO492" s="704"/>
      <c r="AP492" s="704"/>
      <c r="AQ492" s="704"/>
      <c r="AR492" s="704"/>
      <c r="AS492" s="704"/>
    </row>
    <row r="493" spans="1:45" s="13" customFormat="1" ht="30" hidden="1" customHeight="1" x14ac:dyDescent="0.25">
      <c r="A493" s="2024">
        <f>IF(L512=0," ",MAX($A$16:A492)+1)</f>
        <v>26</v>
      </c>
      <c r="B493" s="2027" t="s">
        <v>39</v>
      </c>
      <c r="C493" s="1199"/>
      <c r="D493" s="887" t="s">
        <v>10</v>
      </c>
      <c r="E493" s="888">
        <v>45724</v>
      </c>
      <c r="F493" s="359">
        <f t="shared" ref="F493:F509" si="303">$L$7-E493</f>
        <v>537</v>
      </c>
      <c r="G493" s="300">
        <v>0</v>
      </c>
      <c r="H493" s="300"/>
      <c r="I493" s="300"/>
      <c r="J493" s="1300"/>
      <c r="K493" s="1345"/>
      <c r="L493" s="1670">
        <f t="shared" ref="L493:L511" si="304">+G493+H493+I493-J493-K493</f>
        <v>0</v>
      </c>
      <c r="M493" s="50"/>
      <c r="N493" s="167"/>
      <c r="O493" s="376"/>
      <c r="P493" s="744"/>
      <c r="Q493" s="795"/>
      <c r="R493" s="785">
        <f>IFERROR(VLOOKUP($Q493,'391'!$P:$W,8,0),"")</f>
        <v>0</v>
      </c>
      <c r="S493" s="796"/>
      <c r="T493" s="797"/>
      <c r="U493" s="797"/>
      <c r="V493" s="797"/>
      <c r="W493" s="802">
        <f>IFERROR(VLOOKUP($Q493,'391'!$P:$AG,15,0),0)</f>
        <v>0</v>
      </c>
      <c r="X493" s="799">
        <f t="shared" si="270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5"/>
      <c r="B494" s="2028"/>
      <c r="C494" s="127"/>
      <c r="D494" s="887" t="s">
        <v>10</v>
      </c>
      <c r="E494" s="888">
        <v>46001</v>
      </c>
      <c r="F494" s="359">
        <f t="shared" ref="F494" si="305">$L$7-E494</f>
        <v>260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si="304"/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>$Q$512&amp;C494&amp;E494</f>
        <v>Deproteinized Whey46001</v>
      </c>
      <c r="U494" s="797"/>
      <c r="V494" s="797"/>
      <c r="W494" s="802">
        <f>IFERROR(VLOOKUP($Q494,'391'!$P:$AG,15,0),0)</f>
        <v>0</v>
      </c>
      <c r="X494" s="799">
        <f t="shared" si="270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5"/>
      <c r="B495" s="2028"/>
      <c r="C495" s="127"/>
      <c r="D495" s="887" t="s">
        <v>10</v>
      </c>
      <c r="E495" s="888">
        <v>46002</v>
      </c>
      <c r="F495" s="359">
        <f t="shared" ref="F495:F496" si="306">$L$7-E495</f>
        <v>259</v>
      </c>
      <c r="G495" s="300">
        <v>0</v>
      </c>
      <c r="H495" s="1896"/>
      <c r="I495" s="300"/>
      <c r="J495" s="1300"/>
      <c r="K495" s="1379">
        <f>IFERROR(SUMIF(INTAKE!$A:$A,$T495,INTAKE!$P:$P),0)</f>
        <v>0</v>
      </c>
      <c r="L495" s="1670">
        <f t="shared" si="304"/>
        <v>0</v>
      </c>
      <c r="M495" s="48"/>
      <c r="N495" s="163"/>
      <c r="O495" s="373"/>
      <c r="P495" s="738"/>
      <c r="Q495" s="795"/>
      <c r="R495" s="785">
        <f>IFERROR(VLOOKUP($Q495,'391'!$P:$W,8,0),"")</f>
        <v>0</v>
      </c>
      <c r="S495" s="796"/>
      <c r="T495" s="787" t="str">
        <f t="shared" ref="T495:T509" si="307">$Q$512&amp;C495&amp;E495</f>
        <v>Deproteinized Whey46002</v>
      </c>
      <c r="U495" s="797"/>
      <c r="V495" s="797"/>
      <c r="W495" s="802">
        <f>IFERROR(VLOOKUP($Q495,'391'!$P:$AG,15,0),0)</f>
        <v>0</v>
      </c>
      <c r="X495" s="799">
        <f t="shared" si="270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5"/>
      <c r="B496" s="2028"/>
      <c r="C496" s="127"/>
      <c r="D496" s="887" t="s">
        <v>10</v>
      </c>
      <c r="E496" s="888">
        <v>46046</v>
      </c>
      <c r="F496" s="359">
        <f t="shared" si="306"/>
        <v>215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4"/>
        <v>0</v>
      </c>
      <c r="M496" s="48"/>
      <c r="N496" s="163"/>
      <c r="O496" s="373"/>
      <c r="P496" s="738"/>
      <c r="Q496" s="795"/>
      <c r="R496" s="785">
        <f>IFERROR(VLOOKUP($Q496,'391'!$P:$W,8,0),"")</f>
        <v>0</v>
      </c>
      <c r="S496" s="796"/>
      <c r="T496" s="787" t="str">
        <f t="shared" si="307"/>
        <v>Deproteinized Whey46046</v>
      </c>
      <c r="U496" s="797"/>
      <c r="V496" s="797"/>
      <c r="W496" s="802">
        <f>IFERROR(VLOOKUP($Q496,'391'!$P:$AG,15,0),0)</f>
        <v>0</v>
      </c>
      <c r="X496" s="799">
        <f t="shared" si="270"/>
        <v>0</v>
      </c>
      <c r="Y496" s="797"/>
      <c r="Z496" s="785"/>
      <c r="AA496" s="797"/>
      <c r="AB496" s="797"/>
      <c r="AC496" s="683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30" hidden="1" customHeight="1" x14ac:dyDescent="0.25">
      <c r="A497" s="2025"/>
      <c r="B497" s="2028"/>
      <c r="C497" s="127"/>
      <c r="D497" s="887" t="s">
        <v>10</v>
      </c>
      <c r="E497" s="888">
        <v>46111</v>
      </c>
      <c r="F497" s="359">
        <f t="shared" ref="F497" si="308">$L$7-E497</f>
        <v>150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ref="L497:L504" si="309">+G497+H497+I497-J497-K497</f>
        <v>0</v>
      </c>
      <c r="M497" s="48"/>
      <c r="N497" s="163"/>
      <c r="O497" s="373"/>
      <c r="P497" s="738"/>
      <c r="Q497" s="795"/>
      <c r="R497" s="785">
        <f>IFERROR(VLOOKUP($Q497,'391'!$P:$W,8,0),"")</f>
        <v>0</v>
      </c>
      <c r="S497" s="796"/>
      <c r="T497" s="787" t="str">
        <f t="shared" si="307"/>
        <v>Deproteinized Whey46111</v>
      </c>
      <c r="U497" s="797"/>
      <c r="V497" s="797"/>
      <c r="W497" s="802">
        <f>IFERROR(VLOOKUP($Q497,'391'!$P:$AG,15,0),0)</f>
        <v>0</v>
      </c>
      <c r="X497" s="799">
        <f t="shared" si="270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30" hidden="1" customHeight="1" x14ac:dyDescent="0.25">
      <c r="A498" s="2025"/>
      <c r="B498" s="2028"/>
      <c r="C498" s="127"/>
      <c r="D498" s="887" t="s">
        <v>10</v>
      </c>
      <c r="E498" s="888">
        <v>46112</v>
      </c>
      <c r="F498" s="359">
        <f t="shared" ref="F498:F508" si="310">$L$7-E498</f>
        <v>149</v>
      </c>
      <c r="G498" s="300">
        <v>0</v>
      </c>
      <c r="H498" s="300"/>
      <c r="I498" s="300"/>
      <c r="J498" s="1300"/>
      <c r="K498" s="1379">
        <f>IFERROR(SUMIF(INTAKE!$A:$A,$T498,INTAKE!$P:$P),0)</f>
        <v>0</v>
      </c>
      <c r="L498" s="1670">
        <f t="shared" si="309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7"/>
        <v>Deproteinized Whey46112</v>
      </c>
      <c r="U498" s="797"/>
      <c r="V498" s="797"/>
      <c r="W498" s="802">
        <f>IFERROR(VLOOKUP($Q498,'391'!$P:$AG,15,0),0)</f>
        <v>0</v>
      </c>
      <c r="X498" s="799">
        <f t="shared" si="270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30" hidden="1" customHeight="1" x14ac:dyDescent="0.25">
      <c r="A499" s="2025"/>
      <c r="B499" s="2028"/>
      <c r="C499" s="127"/>
      <c r="D499" s="887" t="s">
        <v>10</v>
      </c>
      <c r="E499" s="888">
        <v>46113</v>
      </c>
      <c r="F499" s="359">
        <f t="shared" si="310"/>
        <v>148</v>
      </c>
      <c r="G499" s="300">
        <v>0</v>
      </c>
      <c r="H499" s="300"/>
      <c r="I499" s="300"/>
      <c r="J499" s="1300"/>
      <c r="K499" s="1379">
        <f>IFERROR(SUMIF(INTAKE!$A:$A,$T499,INTAKE!$P:$P),0)</f>
        <v>0</v>
      </c>
      <c r="L499" s="1670">
        <f t="shared" si="309"/>
        <v>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7"/>
        <v>Deproteinized Whey46113</v>
      </c>
      <c r="U499" s="797"/>
      <c r="V499" s="797"/>
      <c r="W499" s="802">
        <f>IFERROR(VLOOKUP($Q499,'391'!$P:$AG,15,0),0)</f>
        <v>0</v>
      </c>
      <c r="X499" s="799">
        <f t="shared" si="270"/>
        <v>0</v>
      </c>
      <c r="Y499" s="797"/>
      <c r="Z499" s="785"/>
      <c r="AA499" s="797"/>
      <c r="AB499" s="797"/>
      <c r="AC499" s="1941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8.5" hidden="1" customHeight="1" x14ac:dyDescent="0.25">
      <c r="A500" s="2025"/>
      <c r="B500" s="2028"/>
      <c r="C500" s="127"/>
      <c r="D500" s="887" t="s">
        <v>10</v>
      </c>
      <c r="E500" s="888">
        <v>46146</v>
      </c>
      <c r="F500" s="359">
        <f t="shared" si="310"/>
        <v>115</v>
      </c>
      <c r="G500" s="300">
        <v>0</v>
      </c>
      <c r="H500" s="300"/>
      <c r="I500" s="300"/>
      <c r="J500" s="1300"/>
      <c r="K500" s="1379">
        <f>IFERROR(SUMIF(INTAKE!$A:$A,$T500,INTAKE!$P:$P),0)</f>
        <v>0</v>
      </c>
      <c r="L500" s="1670">
        <f t="shared" si="309"/>
        <v>0</v>
      </c>
      <c r="M500" s="45"/>
      <c r="N500" s="162"/>
      <c r="O500" s="370"/>
      <c r="P500" s="736"/>
      <c r="Q500" s="795"/>
      <c r="R500" s="785">
        <f>IFERROR(VLOOKUP($Q500,'391'!$P:$W,8,0),"")</f>
        <v>0</v>
      </c>
      <c r="S500" s="796"/>
      <c r="T500" s="787" t="str">
        <f t="shared" si="307"/>
        <v>Deproteinized Whey46146</v>
      </c>
      <c r="U500" s="797"/>
      <c r="V500" s="797"/>
      <c r="W500" s="802">
        <f>IFERROR(VLOOKUP($Q500,'391'!$P:$AG,15,0),0)</f>
        <v>0</v>
      </c>
      <c r="X500" s="799">
        <f t="shared" si="270"/>
        <v>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6.25" customHeight="1" x14ac:dyDescent="0.25">
      <c r="A501" s="2025"/>
      <c r="B501" s="2028"/>
      <c r="C501" s="127" t="s">
        <v>151</v>
      </c>
      <c r="D501" s="887" t="s">
        <v>10</v>
      </c>
      <c r="E501" s="888">
        <v>46207</v>
      </c>
      <c r="F501" s="359">
        <f t="shared" si="310"/>
        <v>54</v>
      </c>
      <c r="G501" s="300">
        <v>5000</v>
      </c>
      <c r="H501" s="300"/>
      <c r="I501" s="300"/>
      <c r="J501" s="1300"/>
      <c r="K501" s="12">
        <f>IFERROR(SUMIF(INTAKE!$A:$A,$T501,INTAKE!$P:$P),0)</f>
        <v>5000</v>
      </c>
      <c r="L501" s="1670">
        <f t="shared" si="309"/>
        <v>0</v>
      </c>
      <c r="M501" s="45"/>
      <c r="N501" s="162"/>
      <c r="O501" s="370"/>
      <c r="P501" s="736"/>
      <c r="Q501" s="795"/>
      <c r="R501" s="785">
        <f>IFERROR(VLOOKUP($Q501,'391'!$P:$W,8,0),"")</f>
        <v>0</v>
      </c>
      <c r="S501" s="796"/>
      <c r="T501" s="787" t="str">
        <f t="shared" si="307"/>
        <v>Deproteinized WheyB15.146207</v>
      </c>
      <c r="U501" s="797"/>
      <c r="V501" s="797"/>
      <c r="W501" s="802">
        <f>IFERROR(VLOOKUP($Q501,'391'!$P:$AG,15,0),0)</f>
        <v>0</v>
      </c>
      <c r="X501" s="799">
        <f t="shared" si="270"/>
        <v>5000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5"/>
      <c r="B502" s="2028"/>
      <c r="C502" s="127" t="s">
        <v>1778</v>
      </c>
      <c r="D502" s="887" t="s">
        <v>10</v>
      </c>
      <c r="E502" s="888">
        <v>46226</v>
      </c>
      <c r="F502" s="359">
        <f t="shared" si="310"/>
        <v>35</v>
      </c>
      <c r="G502" s="300">
        <v>19800</v>
      </c>
      <c r="H502" s="300"/>
      <c r="I502" s="300"/>
      <c r="J502" s="1300"/>
      <c r="K502" s="12">
        <f>IFERROR(SUMIF(INTAKE!$A:$A,$T502,INTAKE!$P:$P),0)</f>
        <v>7500</v>
      </c>
      <c r="L502" s="1670">
        <f t="shared" si="309"/>
        <v>12300</v>
      </c>
      <c r="M502" s="45"/>
      <c r="N502" s="162"/>
      <c r="O502" s="370"/>
      <c r="P502" s="736"/>
      <c r="Q502" s="795"/>
      <c r="R502" s="785">
        <f>IFERROR(VLOOKUP($Q502,'391'!$P:$W,8,0),"")</f>
        <v>0</v>
      </c>
      <c r="S502" s="796"/>
      <c r="T502" s="787" t="str">
        <f t="shared" si="307"/>
        <v>Deproteinized WheyA22.346226</v>
      </c>
      <c r="U502" s="797"/>
      <c r="V502" s="797"/>
      <c r="W502" s="802">
        <f>IFERROR(VLOOKUP($Q502,'391'!$P:$AG,15,0),0)</f>
        <v>0</v>
      </c>
      <c r="X502" s="799">
        <f t="shared" si="270"/>
        <v>19800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5"/>
      <c r="B503" s="2111"/>
      <c r="C503" s="127" t="s">
        <v>128</v>
      </c>
      <c r="D503" s="887" t="s">
        <v>10</v>
      </c>
      <c r="E503" s="888">
        <v>46234</v>
      </c>
      <c r="F503" s="359">
        <f t="shared" si="310"/>
        <v>27</v>
      </c>
      <c r="G503" s="300">
        <v>40000</v>
      </c>
      <c r="H503" s="300"/>
      <c r="I503" s="300"/>
      <c r="J503" s="1300"/>
      <c r="K503" s="300"/>
      <c r="L503" s="1670">
        <f t="shared" si="309"/>
        <v>40000</v>
      </c>
      <c r="M503" s="45"/>
      <c r="N503" s="162"/>
      <c r="O503" s="370"/>
      <c r="P503" s="736"/>
      <c r="Q503" s="795"/>
      <c r="R503" s="785"/>
      <c r="S503" s="796"/>
      <c r="T503" s="787" t="str">
        <f t="shared" si="307"/>
        <v>Deproteinized WheyB16.246234</v>
      </c>
      <c r="U503" s="797"/>
      <c r="V503" s="797"/>
      <c r="W503" s="802">
        <f>IFERROR(VLOOKUP($Q503,'391'!$P:$AG,15,0),0)</f>
        <v>0</v>
      </c>
      <c r="X503" s="799">
        <f t="shared" si="270"/>
        <v>40000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25"/>
      <c r="B504" s="2111"/>
      <c r="C504" s="127" t="s">
        <v>987</v>
      </c>
      <c r="D504" s="887" t="s">
        <v>10</v>
      </c>
      <c r="E504" s="888">
        <v>46235</v>
      </c>
      <c r="F504" s="359">
        <f t="shared" si="310"/>
        <v>26</v>
      </c>
      <c r="G504" s="300">
        <v>60000</v>
      </c>
      <c r="H504" s="300"/>
      <c r="I504" s="300"/>
      <c r="J504" s="1300"/>
      <c r="K504" s="300"/>
      <c r="L504" s="1670">
        <f t="shared" si="309"/>
        <v>60000</v>
      </c>
      <c r="M504" s="45"/>
      <c r="N504" s="162"/>
      <c r="O504" s="370"/>
      <c r="P504" s="736"/>
      <c r="Q504" s="795"/>
      <c r="R504" s="785"/>
      <c r="S504" s="796"/>
      <c r="T504" s="787" t="str">
        <f t="shared" si="307"/>
        <v>Deproteinized WheyA846235</v>
      </c>
      <c r="U504" s="797"/>
      <c r="V504" s="797"/>
      <c r="W504" s="802">
        <f>IFERROR(VLOOKUP($Q504,'391'!$P:$AG,15,0),0)</f>
        <v>0</v>
      </c>
      <c r="X504" s="799">
        <f t="shared" ref="X504:X537" si="311">G504-W504</f>
        <v>60000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customHeight="1" x14ac:dyDescent="0.25">
      <c r="A505" s="2025"/>
      <c r="B505" s="2111"/>
      <c r="C505" s="127" t="s">
        <v>2148</v>
      </c>
      <c r="D505" s="887" t="s">
        <v>10</v>
      </c>
      <c r="E505" s="888">
        <v>46255</v>
      </c>
      <c r="F505" s="359">
        <f t="shared" ref="F505" si="312">$L$7-E505</f>
        <v>6</v>
      </c>
      <c r="G505" s="300">
        <v>75000</v>
      </c>
      <c r="H505" s="300"/>
      <c r="I505" s="300"/>
      <c r="J505" s="1300"/>
      <c r="K505" s="300"/>
      <c r="L505" s="1670">
        <f t="shared" si="304"/>
        <v>75000</v>
      </c>
      <c r="M505" s="45"/>
      <c r="N505" s="162"/>
      <c r="O505" s="370"/>
      <c r="P505" s="736"/>
      <c r="Q505" s="795"/>
      <c r="R505" s="785"/>
      <c r="S505" s="796"/>
      <c r="T505" s="787" t="str">
        <f t="shared" si="307"/>
        <v>Deproteinized WheyB16.146255</v>
      </c>
      <c r="U505" s="797"/>
      <c r="V505" s="797"/>
      <c r="W505" s="802">
        <f>IFERROR(VLOOKUP($Q505,'391'!$P:$AG,15,0),0)</f>
        <v>0</v>
      </c>
      <c r="X505" s="799">
        <f t="shared" si="311"/>
        <v>75000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customHeight="1" x14ac:dyDescent="0.25">
      <c r="A506" s="2025"/>
      <c r="B506" s="2028"/>
      <c r="C506" s="127" t="s">
        <v>1549</v>
      </c>
      <c r="D506" s="887" t="s">
        <v>10</v>
      </c>
      <c r="E506" s="888">
        <v>46256</v>
      </c>
      <c r="F506" s="359">
        <f t="shared" si="310"/>
        <v>5</v>
      </c>
      <c r="G506" s="300">
        <v>50000</v>
      </c>
      <c r="H506" s="300"/>
      <c r="I506" s="300"/>
      <c r="J506" s="1300"/>
      <c r="K506" s="300"/>
      <c r="L506" s="1670">
        <f t="shared" si="304"/>
        <v>50000</v>
      </c>
      <c r="M506" s="45"/>
      <c r="N506" s="162"/>
      <c r="O506" s="370"/>
      <c r="P506" s="736"/>
      <c r="Q506" s="795"/>
      <c r="R506" s="785">
        <f>IFERROR(VLOOKUP($Q506,'391'!$P:$W,8,0),"")</f>
        <v>0</v>
      </c>
      <c r="S506" s="796"/>
      <c r="T506" s="787" t="str">
        <f t="shared" si="307"/>
        <v>Deproteinized WheyB14.246256</v>
      </c>
      <c r="U506" s="797"/>
      <c r="V506" s="797"/>
      <c r="W506" s="802">
        <f>IFERROR(VLOOKUP($Q506,'391'!$P:$AG,15,0),0)</f>
        <v>0</v>
      </c>
      <c r="X506" s="799">
        <f t="shared" si="311"/>
        <v>50000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5"/>
      <c r="B507" s="2110"/>
      <c r="C507" s="127"/>
      <c r="D507" s="887" t="s">
        <v>10</v>
      </c>
      <c r="E507" s="888">
        <v>46235</v>
      </c>
      <c r="F507" s="359">
        <f t="shared" ref="F507" si="313">$L$7-E507</f>
        <v>26</v>
      </c>
      <c r="G507" s="300">
        <v>0</v>
      </c>
      <c r="H507" s="300"/>
      <c r="I507" s="300"/>
      <c r="J507" s="1300"/>
      <c r="K507" s="300"/>
      <c r="L507" s="1670">
        <f t="shared" si="304"/>
        <v>0</v>
      </c>
      <c r="M507" s="45"/>
      <c r="N507" s="162"/>
      <c r="O507" s="370"/>
      <c r="P507" s="736"/>
      <c r="Q507" s="795"/>
      <c r="R507" s="785"/>
      <c r="S507" s="796"/>
      <c r="T507" s="787" t="str">
        <f t="shared" si="307"/>
        <v>Deproteinized Whey46235</v>
      </c>
      <c r="U507" s="797"/>
      <c r="V507" s="797"/>
      <c r="W507" s="802">
        <f>IFERROR(VLOOKUP($Q507,'391'!$P:$AG,15,0),0)</f>
        <v>0</v>
      </c>
      <c r="X507" s="799">
        <f t="shared" si="311"/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hidden="1" customHeight="1" x14ac:dyDescent="0.25">
      <c r="A508" s="2025"/>
      <c r="B508" s="2110"/>
      <c r="C508" s="127"/>
      <c r="D508" s="887" t="s">
        <v>10</v>
      </c>
      <c r="E508" s="888">
        <v>46207</v>
      </c>
      <c r="F508" s="359">
        <f t="shared" si="310"/>
        <v>54</v>
      </c>
      <c r="G508" s="300">
        <v>0</v>
      </c>
      <c r="H508" s="300"/>
      <c r="I508" s="300"/>
      <c r="J508" s="1300"/>
      <c r="K508" s="300"/>
      <c r="L508" s="1670">
        <f t="shared" si="304"/>
        <v>0</v>
      </c>
      <c r="M508" s="45"/>
      <c r="N508" s="162"/>
      <c r="O508" s="370"/>
      <c r="P508" s="736"/>
      <c r="Q508" s="795"/>
      <c r="R508" s="785"/>
      <c r="S508" s="796"/>
      <c r="T508" s="797" t="str">
        <f t="shared" si="307"/>
        <v>Deproteinized Whey46207</v>
      </c>
      <c r="U508" s="797"/>
      <c r="V508" s="797"/>
      <c r="W508" s="802">
        <f>IFERROR(VLOOKUP($Q508,'391'!$P:$AG,15,0),0)</f>
        <v>0</v>
      </c>
      <c r="X508" s="799">
        <f t="shared" si="311"/>
        <v>0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13" customFormat="1" ht="29.1" hidden="1" customHeight="1" x14ac:dyDescent="0.25">
      <c r="A509" s="2025"/>
      <c r="B509" s="2111"/>
      <c r="C509" s="127"/>
      <c r="D509" s="887" t="s">
        <v>10</v>
      </c>
      <c r="E509" s="888">
        <v>46186</v>
      </c>
      <c r="F509" s="359">
        <f t="shared" si="303"/>
        <v>75</v>
      </c>
      <c r="G509" s="300">
        <v>0</v>
      </c>
      <c r="H509" s="300"/>
      <c r="I509" s="300"/>
      <c r="J509" s="1300"/>
      <c r="K509" s="300"/>
      <c r="L509" s="1670">
        <f t="shared" si="304"/>
        <v>0</v>
      </c>
      <c r="M509" s="45"/>
      <c r="N509" s="162"/>
      <c r="O509" s="370"/>
      <c r="P509" s="736"/>
      <c r="Q509" s="795"/>
      <c r="R509" s="785"/>
      <c r="S509" s="796"/>
      <c r="T509" s="797" t="str">
        <f t="shared" si="307"/>
        <v>Deproteinized Whey46186</v>
      </c>
      <c r="U509" s="797"/>
      <c r="V509" s="797"/>
      <c r="W509" s="802">
        <f>IFERROR(VLOOKUP($Q509,'391'!$P:$AG,15,0),0)</f>
        <v>0</v>
      </c>
      <c r="X509" s="799">
        <f t="shared" si="311"/>
        <v>0</v>
      </c>
      <c r="Y509" s="797"/>
      <c r="Z509" s="785"/>
      <c r="AA509" s="797"/>
      <c r="AB509" s="797"/>
      <c r="AC509" s="683"/>
      <c r="AD509" s="683"/>
      <c r="AE509" s="683"/>
      <c r="AF509" s="683"/>
      <c r="AG509" s="683"/>
      <c r="AH509" s="683"/>
      <c r="AI509" s="705"/>
      <c r="AJ509" s="705"/>
      <c r="AK509" s="705"/>
      <c r="AL509" s="705"/>
      <c r="AM509" s="705"/>
      <c r="AN509" s="705"/>
      <c r="AO509" s="705"/>
      <c r="AP509" s="705"/>
      <c r="AQ509" s="705"/>
      <c r="AR509" s="705"/>
      <c r="AS509" s="705"/>
    </row>
    <row r="510" spans="1:45" s="13" customFormat="1" ht="29.1" hidden="1" customHeight="1" x14ac:dyDescent="0.25">
      <c r="A510" s="2025"/>
      <c r="B510" s="2111"/>
      <c r="C510" s="127"/>
      <c r="D510" s="887" t="s">
        <v>10</v>
      </c>
      <c r="E510" s="888">
        <v>45934</v>
      </c>
      <c r="F510" s="359">
        <f t="shared" ref="F510" si="314">$L$7-E510</f>
        <v>327</v>
      </c>
      <c r="G510" s="300">
        <v>0</v>
      </c>
      <c r="H510" s="300"/>
      <c r="I510" s="300"/>
      <c r="J510" s="1300"/>
      <c r="K510" s="300"/>
      <c r="L510" s="1670">
        <f t="shared" ref="L510" si="315">+G510+H510+I510-J510-K510</f>
        <v>0</v>
      </c>
      <c r="M510" s="45"/>
      <c r="N510" s="162"/>
      <c r="O510" s="370"/>
      <c r="P510" s="736"/>
      <c r="Q510" s="795"/>
      <c r="R510" s="785"/>
      <c r="S510" s="796"/>
      <c r="T510" s="797"/>
      <c r="U510" s="797"/>
      <c r="V510" s="797"/>
      <c r="W510" s="802">
        <f>IFERROR(VLOOKUP($Q510,'391'!$P:$AG,15,0),0)</f>
        <v>0</v>
      </c>
      <c r="X510" s="799">
        <f t="shared" ref="X510" si="316">G510-W510</f>
        <v>0</v>
      </c>
      <c r="Y510" s="797"/>
      <c r="Z510" s="785"/>
      <c r="AA510" s="797"/>
      <c r="AB510" s="797"/>
      <c r="AC510" s="683"/>
      <c r="AD510" s="683"/>
      <c r="AE510" s="683"/>
      <c r="AF510" s="683"/>
      <c r="AG510" s="683"/>
      <c r="AH510" s="683"/>
      <c r="AI510" s="705"/>
      <c r="AJ510" s="705"/>
      <c r="AK510" s="705"/>
      <c r="AL510" s="705"/>
      <c r="AM510" s="705"/>
      <c r="AN510" s="705"/>
      <c r="AO510" s="705"/>
      <c r="AP510" s="705"/>
      <c r="AQ510" s="705"/>
      <c r="AR510" s="705"/>
      <c r="AS510" s="705"/>
    </row>
    <row r="511" spans="1:45" s="13" customFormat="1" ht="29.1" customHeight="1" x14ac:dyDescent="0.25">
      <c r="A511" s="2025"/>
      <c r="B511" s="2028"/>
      <c r="C511" s="132" t="s">
        <v>1666</v>
      </c>
      <c r="D511" s="852" t="s">
        <v>10</v>
      </c>
      <c r="E511" s="853">
        <v>46207</v>
      </c>
      <c r="F511" s="856">
        <f t="shared" ref="F511" si="317">$L$7-E511</f>
        <v>54</v>
      </c>
      <c r="G511" s="296">
        <v>21568</v>
      </c>
      <c r="H511" s="18"/>
      <c r="I511" s="296">
        <f>+SUM(K493:K508)</f>
        <v>12500</v>
      </c>
      <c r="J511" s="1295">
        <f>usage!I48</f>
        <v>2349</v>
      </c>
      <c r="K511" s="300"/>
      <c r="L511" s="531">
        <f t="shared" si="304"/>
        <v>31719</v>
      </c>
      <c r="M511" s="45"/>
      <c r="N511" s="162"/>
      <c r="O511" s="370"/>
      <c r="P511" s="740"/>
      <c r="Q511" s="795"/>
      <c r="R511" s="785">
        <f>IFERROR(VLOOKUP($Q511,'391'!$P:$W,8,0),"")</f>
        <v>0</v>
      </c>
      <c r="S511" s="796"/>
      <c r="T511" s="797"/>
      <c r="U511" s="797"/>
      <c r="V511" s="797"/>
      <c r="W511" s="802">
        <f>IFERROR(VLOOKUP($Q511,'391'!$P:$AG,15,0),0)</f>
        <v>0</v>
      </c>
      <c r="X511" s="799">
        <f t="shared" si="311"/>
        <v>21568</v>
      </c>
      <c r="Y511" s="797"/>
      <c r="Z511" s="785"/>
      <c r="AA511" s="797"/>
      <c r="AB511" s="797"/>
      <c r="AC511" s="683"/>
      <c r="AD511" s="683"/>
      <c r="AE511" s="683"/>
      <c r="AF511" s="683"/>
      <c r="AG511" s="683"/>
      <c r="AH511" s="683"/>
      <c r="AI511" s="705"/>
      <c r="AJ511" s="705"/>
      <c r="AK511" s="705"/>
      <c r="AL511" s="705"/>
      <c r="AM511" s="705"/>
      <c r="AN511" s="705"/>
      <c r="AO511" s="705"/>
      <c r="AP511" s="705"/>
      <c r="AQ511" s="705"/>
      <c r="AR511" s="705"/>
      <c r="AS511" s="705"/>
    </row>
    <row r="512" spans="1:45" s="402" customFormat="1" ht="30" customHeight="1" x14ac:dyDescent="0.25">
      <c r="A512" s="2022" t="s">
        <v>114</v>
      </c>
      <c r="B512" s="2023"/>
      <c r="C512" s="88"/>
      <c r="D512" s="864"/>
      <c r="E512" s="864"/>
      <c r="F512" s="865"/>
      <c r="G512" s="1296">
        <v>271368</v>
      </c>
      <c r="H512" s="1296">
        <f t="shared" ref="H512:L512" si="318">SUM(H493:H511)</f>
        <v>0</v>
      </c>
      <c r="I512" s="1296">
        <f t="shared" si="318"/>
        <v>12500</v>
      </c>
      <c r="J512" s="1296">
        <f t="shared" si="318"/>
        <v>2349</v>
      </c>
      <c r="K512" s="1296">
        <f t="shared" si="318"/>
        <v>12500</v>
      </c>
      <c r="L512" s="1296">
        <f t="shared" si="318"/>
        <v>269019</v>
      </c>
      <c r="M512" s="889">
        <f>IFERROR((R512/$S$2),"")</f>
        <v>8436.8333333333339</v>
      </c>
      <c r="N512" s="854">
        <f>IFERROR(L512/M512,0)</f>
        <v>31.886252740957307</v>
      </c>
      <c r="O512" s="59">
        <f>IFERROR(SUMIF(ETM!$A:$A,$Q512,ETM!$E:$E),"")</f>
        <v>8251</v>
      </c>
      <c r="P512" s="880">
        <f>(L512/O512)</f>
        <v>32.60441158647437</v>
      </c>
      <c r="Q512" s="795" t="s">
        <v>39</v>
      </c>
      <c r="R512" s="785">
        <f>IFERROR(VLOOKUP($Q512,'391'!$S:$Z,8,0),"")</f>
        <v>50621</v>
      </c>
      <c r="S512" s="796"/>
      <c r="T512" s="797"/>
      <c r="U512" s="797"/>
      <c r="V512" s="797"/>
      <c r="W512" s="802">
        <f>IFERROR(VLOOKUP($Q512,'391'!$P:$AG,15,0),0)</f>
        <v>0</v>
      </c>
      <c r="X512" s="799">
        <f t="shared" si="311"/>
        <v>271368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66" t="str">
        <f>IF(L520=0,"",MAX($A$16:A512)+1)</f>
        <v/>
      </c>
      <c r="B513" s="2102" t="s">
        <v>274</v>
      </c>
      <c r="C513" s="127"/>
      <c r="D513" s="866" t="s">
        <v>10</v>
      </c>
      <c r="E513" s="933">
        <v>46176</v>
      </c>
      <c r="F513" s="75">
        <f t="shared" ref="F513" si="319">$L$7-E513</f>
        <v>85</v>
      </c>
      <c r="G513" s="1356">
        <v>0</v>
      </c>
      <c r="H513" s="300"/>
      <c r="I513" s="300"/>
      <c r="J513" s="1300"/>
      <c r="K513" s="12">
        <f>IFERROR(SUMIF(INTAKE!$A:$A,$T513,INTAKE!$P:$P),0)</f>
        <v>0</v>
      </c>
      <c r="L513" s="1670">
        <f t="shared" ref="L513:L540" si="320">+G513+H513+I513-J513-K513</f>
        <v>0</v>
      </c>
      <c r="M513" s="50"/>
      <c r="N513" s="167"/>
      <c r="O513" s="50"/>
      <c r="P513" s="744"/>
      <c r="Q513" s="795"/>
      <c r="R513" s="785">
        <f>IFERROR(VLOOKUP($Q513,'391'!$S:$Z,8,0),"")</f>
        <v>0</v>
      </c>
      <c r="S513" s="796"/>
      <c r="T513" s="787" t="str">
        <f>$Q$520&amp;C513&amp;E513</f>
        <v>Dairylac 80 (USA)46176</v>
      </c>
      <c r="U513" s="797"/>
      <c r="V513" s="797"/>
      <c r="W513" s="802">
        <f>IFERROR(VLOOKUP($Q513,'391'!$P:$AG,15,0),0)</f>
        <v>0</v>
      </c>
      <c r="X513" s="799">
        <f t="shared" si="311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1"/>
      <c r="B514" s="2103"/>
      <c r="C514" s="127"/>
      <c r="D514" s="866" t="s">
        <v>10</v>
      </c>
      <c r="E514" s="933">
        <v>46176</v>
      </c>
      <c r="F514" s="75">
        <f t="shared" ref="F514" si="321">$L$7-E514</f>
        <v>85</v>
      </c>
      <c r="G514" s="1356">
        <v>0</v>
      </c>
      <c r="H514" s="300"/>
      <c r="I514" s="300"/>
      <c r="J514" s="1300"/>
      <c r="K514" s="300"/>
      <c r="L514" s="1670">
        <f t="shared" si="320"/>
        <v>0</v>
      </c>
      <c r="M514" s="48"/>
      <c r="N514" s="163"/>
      <c r="O514" s="48"/>
      <c r="P514" s="738"/>
      <c r="Q514" s="795"/>
      <c r="R514" s="785">
        <f>IFERROR(VLOOKUP($Q514,'391'!$S:$Z,8,0),"")</f>
        <v>0</v>
      </c>
      <c r="S514" s="796"/>
      <c r="T514" s="787" t="str">
        <f t="shared" ref="T514:T516" si="322">$Q$520&amp;C514&amp;E514</f>
        <v>Dairylac 80 (USA)46176</v>
      </c>
      <c r="U514" s="797"/>
      <c r="V514" s="797"/>
      <c r="W514" s="802">
        <f>IFERROR(VLOOKUP($Q514,'391'!$P:$AG,15,0),0)</f>
        <v>0</v>
      </c>
      <c r="X514" s="799">
        <f t="shared" si="311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1"/>
      <c r="B515" s="2103"/>
      <c r="C515" s="127"/>
      <c r="D515" s="866" t="s">
        <v>10</v>
      </c>
      <c r="E515" s="933">
        <v>46176</v>
      </c>
      <c r="F515" s="75">
        <f t="shared" ref="F515" si="323">$L$7-E515</f>
        <v>85</v>
      </c>
      <c r="G515" s="1356">
        <v>0</v>
      </c>
      <c r="H515" s="300"/>
      <c r="I515" s="300"/>
      <c r="J515" s="1300"/>
      <c r="K515" s="300"/>
      <c r="L515" s="1670">
        <f t="shared" si="320"/>
        <v>0</v>
      </c>
      <c r="M515" s="48"/>
      <c r="N515" s="255"/>
      <c r="O515" s="48"/>
      <c r="P515" s="738"/>
      <c r="Q515" s="795"/>
      <c r="R515" s="785">
        <f>IFERROR(VLOOKUP($Q515,'391'!$S:$Z,8,0),"")</f>
        <v>0</v>
      </c>
      <c r="S515" s="796"/>
      <c r="T515" s="787" t="str">
        <f t="shared" si="322"/>
        <v>Dairylac 80 (USA)46176</v>
      </c>
      <c r="U515" s="797"/>
      <c r="V515" s="797"/>
      <c r="W515" s="802">
        <f>IFERROR(VLOOKUP($Q515,'391'!$P:$AG,15,0),0)</f>
        <v>0</v>
      </c>
      <c r="X515" s="799">
        <f t="shared" si="311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81"/>
      <c r="B516" s="2103"/>
      <c r="C516" s="127"/>
      <c r="D516" s="866" t="s">
        <v>10</v>
      </c>
      <c r="E516" s="933">
        <v>46176</v>
      </c>
      <c r="F516" s="75">
        <f t="shared" ref="F516:F519" si="324">$L$7-E516</f>
        <v>85</v>
      </c>
      <c r="G516" s="1356">
        <v>0</v>
      </c>
      <c r="H516" s="300"/>
      <c r="I516" s="300"/>
      <c r="J516" s="1300"/>
      <c r="K516" s="300"/>
      <c r="L516" s="1670">
        <f t="shared" si="320"/>
        <v>0</v>
      </c>
      <c r="M516" s="45"/>
      <c r="N516" s="920"/>
      <c r="O516" s="45"/>
      <c r="P516" s="736"/>
      <c r="Q516" s="795"/>
      <c r="R516" s="785">
        <f>IFERROR(VLOOKUP($Q516,'391'!$S:$Z,8,0),"")</f>
        <v>0</v>
      </c>
      <c r="S516" s="796"/>
      <c r="T516" s="787" t="str">
        <f t="shared" si="322"/>
        <v>Dairylac 80 (USA)46176</v>
      </c>
      <c r="U516" s="797"/>
      <c r="V516" s="797"/>
      <c r="W516" s="802">
        <f>IFERROR(VLOOKUP($Q516,'391'!$P:$AG,15,0),0)</f>
        <v>0</v>
      </c>
      <c r="X516" s="799">
        <f t="shared" si="311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81"/>
      <c r="B517" s="2103"/>
      <c r="C517" s="225"/>
      <c r="D517" s="866" t="s">
        <v>10</v>
      </c>
      <c r="E517" s="933">
        <v>44524</v>
      </c>
      <c r="F517" s="75">
        <f t="shared" si="324"/>
        <v>1737</v>
      </c>
      <c r="G517" s="1356">
        <v>0</v>
      </c>
      <c r="H517" s="300"/>
      <c r="I517" s="300"/>
      <c r="J517" s="1300"/>
      <c r="K517" s="300"/>
      <c r="L517" s="531">
        <f t="shared" si="320"/>
        <v>0</v>
      </c>
      <c r="M517" s="45"/>
      <c r="N517" s="1460"/>
      <c r="O517" s="45"/>
      <c r="P517" s="736"/>
      <c r="Q517" s="795"/>
      <c r="R517" s="785">
        <f>IFERROR(VLOOKUP($Q517,'391'!$S:$Z,8,0),"")</f>
        <v>0</v>
      </c>
      <c r="S517" s="796"/>
      <c r="T517" s="797"/>
      <c r="U517" s="797"/>
      <c r="V517" s="797"/>
      <c r="W517" s="802">
        <f>IFERROR(VLOOKUP($Q517,'391'!$P:$AG,15,0),0)</f>
        <v>0</v>
      </c>
      <c r="X517" s="799">
        <f t="shared" si="311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81"/>
      <c r="B518" s="2103"/>
      <c r="C518" s="225"/>
      <c r="D518" s="866" t="s">
        <v>10</v>
      </c>
      <c r="E518" s="933">
        <v>44539</v>
      </c>
      <c r="F518" s="75">
        <f t="shared" si="324"/>
        <v>1722</v>
      </c>
      <c r="G518" s="1356">
        <v>0</v>
      </c>
      <c r="H518" s="300"/>
      <c r="I518" s="300"/>
      <c r="J518" s="1300"/>
      <c r="K518" s="300"/>
      <c r="L518" s="531">
        <f t="shared" si="320"/>
        <v>0</v>
      </c>
      <c r="M518" s="45"/>
      <c r="N518" s="1460"/>
      <c r="O518" s="45"/>
      <c r="P518" s="736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1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67"/>
      <c r="B519" s="2104"/>
      <c r="C519" s="61" t="s">
        <v>212</v>
      </c>
      <c r="D519" s="863" t="s">
        <v>10</v>
      </c>
      <c r="E519" s="934">
        <v>46176</v>
      </c>
      <c r="F519" s="39">
        <f t="shared" si="324"/>
        <v>85</v>
      </c>
      <c r="G519" s="1357">
        <v>0</v>
      </c>
      <c r="H519" s="28"/>
      <c r="I519" s="28">
        <f>+SUM(K513:K517)</f>
        <v>0</v>
      </c>
      <c r="J519" s="1295"/>
      <c r="K519" s="28"/>
      <c r="L519" s="531">
        <f t="shared" si="320"/>
        <v>0</v>
      </c>
      <c r="M519" s="35"/>
      <c r="N519" s="87"/>
      <c r="O519" s="35"/>
      <c r="P519" s="740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1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22" t="s">
        <v>275</v>
      </c>
      <c r="B520" s="2023"/>
      <c r="C520" s="88"/>
      <c r="D520" s="864"/>
      <c r="E520" s="864"/>
      <c r="F520" s="865"/>
      <c r="G520" s="1296">
        <v>0</v>
      </c>
      <c r="H520" s="1296">
        <f>+SUM(H513:H519)</f>
        <v>0</v>
      </c>
      <c r="I520" s="1296">
        <f t="shared" ref="I520:L520" si="325">+SUM(I513:I519)</f>
        <v>0</v>
      </c>
      <c r="J520" s="1296">
        <f t="shared" si="325"/>
        <v>0</v>
      </c>
      <c r="K520" s="1296">
        <f t="shared" si="325"/>
        <v>0</v>
      </c>
      <c r="L520" s="1296">
        <f t="shared" si="325"/>
        <v>0</v>
      </c>
      <c r="M520" s="889" t="str">
        <f>IFERROR((R520/$S$2),"")</f>
        <v/>
      </c>
      <c r="N520" s="854">
        <f>IFERROR(L520/M520,0)</f>
        <v>0</v>
      </c>
      <c r="O520" s="59">
        <f>+O512</f>
        <v>8251</v>
      </c>
      <c r="P520" s="880">
        <f>(L520/O520)</f>
        <v>0</v>
      </c>
      <c r="Q520" s="1178" t="s">
        <v>274</v>
      </c>
      <c r="R520" s="785" t="str">
        <f>IFERROR(VLOOKUP($Q520,'391'!$S:$Z,8,0),"")</f>
        <v/>
      </c>
      <c r="S520" s="796"/>
      <c r="T520" s="811"/>
      <c r="U520" s="797"/>
      <c r="V520" s="797"/>
      <c r="W520" s="802">
        <f>IFERROR(VLOOKUP($Q520,'391'!$S:$AG,15,0),0)</f>
        <v>0</v>
      </c>
      <c r="X520" s="799">
        <f t="shared" si="311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66" t="str">
        <f>IF(L525=0,"",MAX($A$16:A520)+1)</f>
        <v/>
      </c>
      <c r="B521" s="2102" t="s">
        <v>1203</v>
      </c>
      <c r="C521" s="225" t="s">
        <v>223</v>
      </c>
      <c r="D521" s="866" t="s">
        <v>10</v>
      </c>
      <c r="E521" s="933">
        <v>44859</v>
      </c>
      <c r="F521" s="75">
        <f>$L$7-E521</f>
        <v>1402</v>
      </c>
      <c r="G521" s="1356">
        <v>0</v>
      </c>
      <c r="H521" s="300"/>
      <c r="I521" s="300"/>
      <c r="J521" s="1300"/>
      <c r="K521" s="300"/>
      <c r="L521" s="531">
        <f t="shared" si="320"/>
        <v>0</v>
      </c>
      <c r="M521" s="50"/>
      <c r="N521" s="167"/>
      <c r="O521" s="50"/>
      <c r="P521" s="744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1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81"/>
      <c r="B522" s="2103"/>
      <c r="C522" s="225" t="s">
        <v>192</v>
      </c>
      <c r="D522" s="866" t="s">
        <v>10</v>
      </c>
      <c r="E522" s="933">
        <v>44859</v>
      </c>
      <c r="F522" s="75">
        <f>$L$7-E522</f>
        <v>1402</v>
      </c>
      <c r="G522" s="1356">
        <v>0</v>
      </c>
      <c r="H522" s="300"/>
      <c r="I522" s="300"/>
      <c r="J522" s="1300"/>
      <c r="K522" s="300"/>
      <c r="L522" s="531">
        <f t="shared" si="320"/>
        <v>0</v>
      </c>
      <c r="M522" s="48"/>
      <c r="N522" s="163"/>
      <c r="O522" s="48"/>
      <c r="P522" s="738"/>
      <c r="Q522" s="795"/>
      <c r="R522" s="785">
        <f>IFERROR(VLOOKUP($Q522,'391'!$S:$Z,8,0),"")</f>
        <v>0</v>
      </c>
      <c r="S522" s="796"/>
      <c r="T522" s="797"/>
      <c r="U522" s="797"/>
      <c r="V522" s="797"/>
      <c r="W522" s="802">
        <f>IFERROR(VLOOKUP($Q522,'391'!$P:$AG,15,0),0)</f>
        <v>0</v>
      </c>
      <c r="X522" s="799">
        <f t="shared" si="311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402" customFormat="1" ht="30" hidden="1" customHeight="1" x14ac:dyDescent="0.25">
      <c r="A523" s="2081"/>
      <c r="B523" s="2103"/>
      <c r="C523" s="225"/>
      <c r="D523" s="866" t="s">
        <v>10</v>
      </c>
      <c r="E523" s="933">
        <v>44859</v>
      </c>
      <c r="F523" s="75">
        <f>$L$7-E523</f>
        <v>1402</v>
      </c>
      <c r="G523" s="1356">
        <v>0</v>
      </c>
      <c r="H523" s="300"/>
      <c r="I523" s="300"/>
      <c r="J523" s="1300"/>
      <c r="K523" s="300"/>
      <c r="L523" s="531">
        <f t="shared" si="320"/>
        <v>0</v>
      </c>
      <c r="M523" s="48"/>
      <c r="N523" s="163"/>
      <c r="O523" s="48"/>
      <c r="P523" s="738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1"/>
        <v>0</v>
      </c>
      <c r="Y523" s="797"/>
      <c r="Z523" s="785"/>
      <c r="AA523" s="797"/>
      <c r="AB523" s="797"/>
      <c r="AC523" s="551"/>
      <c r="AD523" s="551"/>
      <c r="AE523" s="551"/>
      <c r="AF523" s="551"/>
      <c r="AG523" s="551"/>
      <c r="AH523" s="551"/>
      <c r="AI523" s="704"/>
      <c r="AJ523" s="704"/>
      <c r="AK523" s="704"/>
      <c r="AL523" s="704"/>
      <c r="AM523" s="704"/>
      <c r="AN523" s="704"/>
      <c r="AO523" s="704"/>
      <c r="AP523" s="704"/>
      <c r="AQ523" s="704"/>
      <c r="AR523" s="704"/>
      <c r="AS523" s="704"/>
    </row>
    <row r="524" spans="1:45" s="402" customFormat="1" ht="30" hidden="1" customHeight="1" x14ac:dyDescent="0.25">
      <c r="A524" s="2067"/>
      <c r="B524" s="2104"/>
      <c r="C524" s="61" t="s">
        <v>158</v>
      </c>
      <c r="D524" s="863" t="s">
        <v>10</v>
      </c>
      <c r="E524" s="934">
        <v>44859</v>
      </c>
      <c r="F524" s="39">
        <f>$L$7-E524</f>
        <v>1402</v>
      </c>
      <c r="G524" s="1357">
        <v>0</v>
      </c>
      <c r="H524" s="28"/>
      <c r="I524" s="28">
        <f>+SUM(K521:K522)</f>
        <v>0</v>
      </c>
      <c r="J524" s="1295">
        <f>usage!I49</f>
        <v>0</v>
      </c>
      <c r="K524" s="28"/>
      <c r="L524" s="531">
        <f t="shared" si="320"/>
        <v>0</v>
      </c>
      <c r="M524" s="35"/>
      <c r="N524" s="87"/>
      <c r="O524" s="35"/>
      <c r="P524" s="740"/>
      <c r="Q524" s="795"/>
      <c r="R524" s="785">
        <f>IFERROR(VLOOKUP($Q524,'391'!$S:$Z,8,0),"")</f>
        <v>0</v>
      </c>
      <c r="S524" s="796"/>
      <c r="T524" s="797"/>
      <c r="U524" s="797"/>
      <c r="V524" s="797"/>
      <c r="W524" s="802">
        <f>IFERROR(VLOOKUP($Q524,'391'!$P:$AG,15,0),0)</f>
        <v>0</v>
      </c>
      <c r="X524" s="799">
        <f t="shared" si="311"/>
        <v>0</v>
      </c>
      <c r="Y524" s="797"/>
      <c r="Z524" s="785"/>
      <c r="AA524" s="797"/>
      <c r="AB524" s="797"/>
      <c r="AC524" s="551"/>
      <c r="AD524" s="551"/>
      <c r="AE524" s="551"/>
      <c r="AF524" s="551"/>
      <c r="AG524" s="551"/>
      <c r="AH524" s="551"/>
      <c r="AI524" s="704"/>
      <c r="AJ524" s="704"/>
      <c r="AK524" s="704"/>
      <c r="AL524" s="704"/>
      <c r="AM524" s="704"/>
      <c r="AN524" s="704"/>
      <c r="AO524" s="704"/>
      <c r="AP524" s="704"/>
      <c r="AQ524" s="704"/>
      <c r="AR524" s="704"/>
      <c r="AS524" s="704"/>
    </row>
    <row r="525" spans="1:45" s="402" customFormat="1" ht="30" hidden="1" customHeight="1" x14ac:dyDescent="0.25">
      <c r="A525" s="2022" t="s">
        <v>1204</v>
      </c>
      <c r="B525" s="2023"/>
      <c r="C525" s="88"/>
      <c r="D525" s="864"/>
      <c r="E525" s="864"/>
      <c r="F525" s="865"/>
      <c r="G525" s="1296">
        <v>0</v>
      </c>
      <c r="H525" s="1296">
        <f t="shared" ref="H525:K525" si="326">+SUM(H521:H524)</f>
        <v>0</v>
      </c>
      <c r="I525" s="1296">
        <f t="shared" si="326"/>
        <v>0</v>
      </c>
      <c r="J525" s="1296">
        <f t="shared" si="326"/>
        <v>0</v>
      </c>
      <c r="K525" s="1296">
        <f t="shared" si="326"/>
        <v>0</v>
      </c>
      <c r="L525" s="531">
        <f t="shared" si="320"/>
        <v>0</v>
      </c>
      <c r="M525" s="889" t="str">
        <f>IFERROR((R525/$S$2),"")</f>
        <v/>
      </c>
      <c r="N525" s="854">
        <f>IFERROR(L525/M525,0)</f>
        <v>0</v>
      </c>
      <c r="O525" s="59">
        <f>IFERROR(SUMIF(ETM!$A:$A,$Q525,ETM!$E:$E),"")</f>
        <v>0</v>
      </c>
      <c r="P525" s="880">
        <f>IFERROR(L525/O525,0)</f>
        <v>0</v>
      </c>
      <c r="Q525" s="795" t="s">
        <v>1203</v>
      </c>
      <c r="R525" s="785" t="str">
        <f>IFERROR(VLOOKUP($Q525,'391'!$P:$W,8,0),"")</f>
        <v/>
      </c>
      <c r="S525" s="796"/>
      <c r="T525" s="811"/>
      <c r="U525" s="797"/>
      <c r="V525" s="797"/>
      <c r="W525" s="802">
        <f>IFERROR(VLOOKUP($Q525,'391'!$P:$AG,15,0),0)</f>
        <v>0</v>
      </c>
      <c r="X525" s="799">
        <f t="shared" si="311"/>
        <v>0</v>
      </c>
      <c r="Y525" s="797"/>
      <c r="Z525" s="785"/>
      <c r="AA525" s="797"/>
      <c r="AB525" s="797"/>
      <c r="AC525" s="551"/>
      <c r="AD525" s="551"/>
      <c r="AE525" s="551"/>
      <c r="AF525" s="551"/>
      <c r="AG525" s="551"/>
      <c r="AH525" s="551"/>
      <c r="AI525" s="704"/>
      <c r="AJ525" s="704"/>
      <c r="AK525" s="704"/>
      <c r="AL525" s="704"/>
      <c r="AM525" s="704"/>
      <c r="AN525" s="704"/>
      <c r="AO525" s="704"/>
      <c r="AP525" s="704"/>
      <c r="AQ525" s="704"/>
      <c r="AR525" s="704"/>
      <c r="AS525" s="704"/>
    </row>
    <row r="526" spans="1:45" s="13" customFormat="1" ht="30" hidden="1" customHeight="1" x14ac:dyDescent="0.25">
      <c r="A526" s="2081" t="str">
        <f>IF(L541=0,"",MAX($A$16:A525)+1)</f>
        <v/>
      </c>
      <c r="B526" s="2046" t="s">
        <v>198</v>
      </c>
      <c r="C526" s="225"/>
      <c r="D526" s="866" t="s">
        <v>10</v>
      </c>
      <c r="E526" s="935">
        <v>45819</v>
      </c>
      <c r="F526" s="75">
        <f t="shared" ref="F526:F532" si="327">$L$7-E526</f>
        <v>442</v>
      </c>
      <c r="G526" s="633">
        <v>0</v>
      </c>
      <c r="H526" s="300"/>
      <c r="I526" s="18"/>
      <c r="J526" s="1338"/>
      <c r="K526" s="18"/>
      <c r="L526" s="1670">
        <f t="shared" si="320"/>
        <v>0</v>
      </c>
      <c r="M526" s="48"/>
      <c r="N526" s="163"/>
      <c r="O526" s="48"/>
      <c r="P526" s="750"/>
      <c r="Q526" s="795"/>
      <c r="R526" s="785">
        <f>IFERROR(VLOOKUP($Q526,'391'!$P:$W,8,0),"")</f>
        <v>0</v>
      </c>
      <c r="S526" s="796"/>
      <c r="T526" s="797"/>
      <c r="U526" s="797"/>
      <c r="V526" s="797"/>
      <c r="W526" s="802">
        <f>IFERROR(VLOOKUP($Q526,'391'!$P:$AG,15,0),0)</f>
        <v>0</v>
      </c>
      <c r="X526" s="799">
        <f t="shared" si="311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1"/>
      <c r="B527" s="2072"/>
      <c r="C527" s="225"/>
      <c r="D527" s="866" t="s">
        <v>10</v>
      </c>
      <c r="E527" s="935">
        <v>45969</v>
      </c>
      <c r="F527" s="75">
        <f t="shared" ref="F527:F530" si="328">$L$7-E527</f>
        <v>292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20"/>
        <v>0</v>
      </c>
      <c r="M527" s="48"/>
      <c r="N527" s="163"/>
      <c r="O527" s="48"/>
      <c r="P527" s="750"/>
      <c r="Q527" s="795"/>
      <c r="R527" s="785">
        <f>IFERROR(VLOOKUP($Q527,'391'!$P:$W,8,0),"")</f>
        <v>0</v>
      </c>
      <c r="S527" s="796"/>
      <c r="T527" s="787" t="str">
        <f>$Q$540&amp;C527&amp;E527</f>
        <v>HP 300 (Soya Bean Product)45969</v>
      </c>
      <c r="U527" s="797"/>
      <c r="V527" s="797"/>
      <c r="W527" s="802">
        <f>IFERROR(VLOOKUP($Q527,'391'!$P:$AG,15,0),0)</f>
        <v>0</v>
      </c>
      <c r="X527" s="799">
        <f t="shared" si="311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1"/>
      <c r="B528" s="2072"/>
      <c r="C528" s="225" t="s">
        <v>273</v>
      </c>
      <c r="D528" s="866" t="s">
        <v>10</v>
      </c>
      <c r="E528" s="935">
        <v>45975</v>
      </c>
      <c r="F528" s="75">
        <f t="shared" si="328"/>
        <v>286</v>
      </c>
      <c r="G528" s="633">
        <v>0</v>
      </c>
      <c r="H528" s="300"/>
      <c r="I528" s="18"/>
      <c r="J528" s="1338"/>
      <c r="K528" s="12">
        <f>IFERROR(SUMIF(INTAKE!$A:$A,$T528,INTAKE!$P:$P),0)</f>
        <v>0</v>
      </c>
      <c r="L528" s="1670">
        <f>+G528+H528+I528-J528-K528</f>
        <v>0</v>
      </c>
      <c r="M528" s="48"/>
      <c r="N528" s="163"/>
      <c r="O528" s="48"/>
      <c r="P528" s="750"/>
      <c r="Q528" s="795"/>
      <c r="R528" s="785">
        <f>IFERROR(VLOOKUP($Q528,'391'!$P:$W,8,0),"")</f>
        <v>0</v>
      </c>
      <c r="S528" s="796"/>
      <c r="T528" s="787" t="str">
        <f>$Q$540&amp;C528&amp;E528</f>
        <v>HP 300 (Soya Bean Product)A19.545975</v>
      </c>
      <c r="U528" s="797"/>
      <c r="V528" s="797"/>
      <c r="W528" s="802">
        <f>IFERROR(VLOOKUP($Q528,'391'!$P:$AG,15,0),0)</f>
        <v>0</v>
      </c>
      <c r="X528" s="799">
        <f t="shared" si="311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1"/>
      <c r="B529" s="2072"/>
      <c r="C529" s="225"/>
      <c r="D529" s="866" t="s">
        <v>10</v>
      </c>
      <c r="E529" s="935">
        <v>45975</v>
      </c>
      <c r="F529" s="75">
        <f t="shared" ref="F529" si="329">$L$7-E529</f>
        <v>286</v>
      </c>
      <c r="G529" s="633">
        <v>0</v>
      </c>
      <c r="H529" s="300"/>
      <c r="I529" s="18"/>
      <c r="J529" s="1338"/>
      <c r="K529" s="12">
        <f>IFERROR(SUMIF(INTAKE!$A:$A,$T529,INTAKE!$P:$P),0)</f>
        <v>0</v>
      </c>
      <c r="L529" s="1670">
        <f>+G529+H529+I529-J529-K529</f>
        <v>0</v>
      </c>
      <c r="M529" s="48"/>
      <c r="N529" s="163"/>
      <c r="O529" s="48"/>
      <c r="P529" s="750"/>
      <c r="Q529" s="795"/>
      <c r="R529" s="785">
        <f>IFERROR(VLOOKUP($Q529,'391'!$P:$W,8,0),"")</f>
        <v>0</v>
      </c>
      <c r="S529" s="796"/>
      <c r="T529" s="787" t="str">
        <f t="shared" ref="T529:T532" si="330">$Q$540&amp;C529&amp;E529</f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1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1"/>
      <c r="B530" s="2072"/>
      <c r="C530" s="225"/>
      <c r="D530" s="866" t="s">
        <v>10</v>
      </c>
      <c r="E530" s="935">
        <v>45975</v>
      </c>
      <c r="F530" s="75">
        <f t="shared" si="328"/>
        <v>286</v>
      </c>
      <c r="G530" s="633">
        <v>0</v>
      </c>
      <c r="H530" s="300"/>
      <c r="I530" s="18"/>
      <c r="J530" s="1338"/>
      <c r="K530" s="12">
        <f>IFERROR(SUMIF(INTAKE!$A:$A,$T530,INTAKE!$P:$P),0)</f>
        <v>0</v>
      </c>
      <c r="L530" s="1670">
        <f t="shared" si="320"/>
        <v>0</v>
      </c>
      <c r="M530" s="48"/>
      <c r="N530" s="163"/>
      <c r="O530" s="48"/>
      <c r="P530" s="750"/>
      <c r="Q530" s="795"/>
      <c r="R530" s="785">
        <f>IFERROR(VLOOKUP($Q530,'391'!$P:$W,8,0),"")</f>
        <v>0</v>
      </c>
      <c r="S530" s="796"/>
      <c r="T530" s="787" t="str">
        <f t="shared" si="330"/>
        <v>HP 300 (Soya Bean Product)45975</v>
      </c>
      <c r="U530" s="797"/>
      <c r="V530" s="797"/>
      <c r="W530" s="802">
        <f>IFERROR(VLOOKUP($Q530,'391'!$P:$AG,15,0),0)</f>
        <v>0</v>
      </c>
      <c r="X530" s="799">
        <f t="shared" si="311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1"/>
      <c r="B531" s="2072"/>
      <c r="C531" s="225"/>
      <c r="D531" s="866" t="s">
        <v>10</v>
      </c>
      <c r="E531" s="935">
        <v>45975</v>
      </c>
      <c r="F531" s="75">
        <f t="shared" ref="F531" si="331">$L$7-E531</f>
        <v>286</v>
      </c>
      <c r="G531" s="633">
        <v>0</v>
      </c>
      <c r="H531" s="300"/>
      <c r="I531" s="18"/>
      <c r="J531" s="1338"/>
      <c r="K531" s="18"/>
      <c r="L531" s="1670">
        <f t="shared" si="320"/>
        <v>0</v>
      </c>
      <c r="M531" s="48"/>
      <c r="N531" s="163"/>
      <c r="O531" s="48"/>
      <c r="P531" s="750"/>
      <c r="Q531" s="795"/>
      <c r="R531" s="785">
        <f>IFERROR(VLOOKUP($Q531,'391'!$P:$W,8,0),"")</f>
        <v>0</v>
      </c>
      <c r="S531" s="796"/>
      <c r="T531" s="787" t="str">
        <f t="shared" si="330"/>
        <v>HP 300 (Soya Bean Product)45975</v>
      </c>
      <c r="U531" s="797"/>
      <c r="V531" s="797"/>
      <c r="W531" s="802">
        <f>IFERROR(VLOOKUP($Q531,'391'!$P:$AG,15,0),0)</f>
        <v>0</v>
      </c>
      <c r="X531" s="799">
        <f t="shared" si="311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1"/>
      <c r="B532" s="2072"/>
      <c r="C532" s="225"/>
      <c r="D532" s="866" t="s">
        <v>10</v>
      </c>
      <c r="E532" s="935">
        <v>45975</v>
      </c>
      <c r="F532" s="75">
        <f t="shared" si="327"/>
        <v>286</v>
      </c>
      <c r="G532" s="633">
        <v>0</v>
      </c>
      <c r="H532" s="300"/>
      <c r="I532" s="18"/>
      <c r="J532" s="1338"/>
      <c r="K532" s="18"/>
      <c r="L532" s="1670">
        <f t="shared" si="320"/>
        <v>0</v>
      </c>
      <c r="M532" s="48"/>
      <c r="N532" s="163"/>
      <c r="O532" s="48"/>
      <c r="P532" s="750"/>
      <c r="Q532" s="795"/>
      <c r="R532" s="785">
        <f>IFERROR(VLOOKUP($Q532,'391'!$P:$W,8,0),"")</f>
        <v>0</v>
      </c>
      <c r="S532" s="796"/>
      <c r="T532" s="797" t="str">
        <f t="shared" si="330"/>
        <v>HP 300 (Soya Bean Product)45975</v>
      </c>
      <c r="U532" s="797"/>
      <c r="V532" s="797"/>
      <c r="W532" s="802">
        <f>IFERROR(VLOOKUP($Q532,'391'!$P:$AG,15,0),0)</f>
        <v>0</v>
      </c>
      <c r="X532" s="799">
        <f t="shared" si="311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1"/>
      <c r="B533" s="2072"/>
      <c r="C533" s="225" t="s">
        <v>1659</v>
      </c>
      <c r="D533" s="866" t="s">
        <v>10</v>
      </c>
      <c r="E533" s="935">
        <v>45945</v>
      </c>
      <c r="F533" s="75">
        <f t="shared" ref="F533" si="332">$L$7-E533</f>
        <v>316</v>
      </c>
      <c r="G533" s="633">
        <v>0</v>
      </c>
      <c r="H533" s="300"/>
      <c r="I533" s="18"/>
      <c r="J533" s="1338"/>
      <c r="K533" s="18"/>
      <c r="L533" s="1670">
        <f t="shared" si="320"/>
        <v>0</v>
      </c>
      <c r="M533" s="48"/>
      <c r="N533" s="163"/>
      <c r="O533" s="48"/>
      <c r="P533" s="750"/>
      <c r="Q533" s="795"/>
      <c r="R533" s="785">
        <f>IFERROR(VLOOKUP($Q533,'391'!$P:$W,8,0),"")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1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1"/>
      <c r="B534" s="2072"/>
      <c r="C534" s="225"/>
      <c r="D534" s="866" t="s">
        <v>10</v>
      </c>
      <c r="E534" s="935">
        <v>45785</v>
      </c>
      <c r="F534" s="75">
        <f t="shared" ref="F534" si="333">$L$7-E534</f>
        <v>476</v>
      </c>
      <c r="G534" s="633">
        <v>0</v>
      </c>
      <c r="H534" s="300"/>
      <c r="I534" s="18"/>
      <c r="J534" s="1338"/>
      <c r="K534" s="18"/>
      <c r="L534" s="1670">
        <f t="shared" si="320"/>
        <v>0</v>
      </c>
      <c r="M534" s="48"/>
      <c r="N534" s="163"/>
      <c r="O534" s="48"/>
      <c r="P534" s="750"/>
      <c r="Q534" s="795"/>
      <c r="R534" s="785">
        <f>IFERROR(VLOOKUP($Q534,'391'!$P:$W,8,0),"")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1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1"/>
      <c r="B535" s="2072"/>
      <c r="C535" s="225"/>
      <c r="D535" s="866" t="s">
        <v>10</v>
      </c>
      <c r="E535" s="935">
        <v>45785</v>
      </c>
      <c r="F535" s="75">
        <f t="shared" ref="F535" si="334">$L$7-E535</f>
        <v>476</v>
      </c>
      <c r="G535" s="633">
        <v>0</v>
      </c>
      <c r="H535" s="300"/>
      <c r="I535" s="18"/>
      <c r="J535" s="1338"/>
      <c r="K535" s="18"/>
      <c r="L535" s="1670">
        <f t="shared" si="320"/>
        <v>0</v>
      </c>
      <c r="M535" s="48"/>
      <c r="N535" s="163"/>
      <c r="O535" s="48"/>
      <c r="P535" s="750"/>
      <c r="Q535" s="795"/>
      <c r="R535" s="785">
        <f>IFERROR(VLOOKUP($Q535,'391'!$P:$W,8,0),"")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si="311"/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1"/>
      <c r="B536" s="2072"/>
      <c r="C536" s="225" t="s">
        <v>360</v>
      </c>
      <c r="D536" s="866" t="s">
        <v>10</v>
      </c>
      <c r="E536" s="935">
        <v>45716</v>
      </c>
      <c r="F536" s="75">
        <f t="shared" ref="F536" si="335">$L$7-E536</f>
        <v>545</v>
      </c>
      <c r="G536" s="633">
        <v>0</v>
      </c>
      <c r="H536" s="300"/>
      <c r="I536" s="18"/>
      <c r="J536" s="1338"/>
      <c r="K536" s="18"/>
      <c r="L536" s="1670">
        <f t="shared" si="320"/>
        <v>0</v>
      </c>
      <c r="M536" s="48"/>
      <c r="N536" s="163"/>
      <c r="O536" s="48"/>
      <c r="P536" s="750"/>
      <c r="Q536" s="795"/>
      <c r="R536" s="785">
        <f>IFERROR(VLOOKUP($Q536,'391'!$P:$W,8,0),"")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11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13" customFormat="1" ht="30" hidden="1" customHeight="1" x14ac:dyDescent="0.25">
      <c r="A537" s="2081"/>
      <c r="B537" s="2072"/>
      <c r="C537" s="225" t="s">
        <v>351</v>
      </c>
      <c r="D537" s="866" t="s">
        <v>10</v>
      </c>
      <c r="E537" s="935">
        <v>45705</v>
      </c>
      <c r="F537" s="75">
        <f t="shared" ref="F537:F540" si="336">$L$7-E537</f>
        <v>556</v>
      </c>
      <c r="G537" s="633">
        <v>0</v>
      </c>
      <c r="H537" s="300"/>
      <c r="I537" s="18"/>
      <c r="J537" s="1338"/>
      <c r="K537" s="18"/>
      <c r="L537" s="1670">
        <f t="shared" si="320"/>
        <v>0</v>
      </c>
      <c r="M537" s="48"/>
      <c r="N537" s="163"/>
      <c r="O537" s="48"/>
      <c r="P537" s="750"/>
      <c r="Q537" s="795"/>
      <c r="R537" s="785">
        <f>IFERROR(VLOOKUP($Q537,'391'!$P:$W,8,0),"")</f>
        <v>0</v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11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13" customFormat="1" ht="30" hidden="1" customHeight="1" x14ac:dyDescent="0.25">
      <c r="A538" s="2081"/>
      <c r="B538" s="2072"/>
      <c r="C538" s="225"/>
      <c r="D538" s="866" t="s">
        <v>10</v>
      </c>
      <c r="E538" s="935">
        <v>45373</v>
      </c>
      <c r="F538" s="75">
        <f t="shared" si="336"/>
        <v>888</v>
      </c>
      <c r="G538" s="633">
        <v>0</v>
      </c>
      <c r="H538" s="300"/>
      <c r="I538" s="18"/>
      <c r="J538" s="1338"/>
      <c r="K538" s="18"/>
      <c r="L538" s="531">
        <f t="shared" si="320"/>
        <v>0</v>
      </c>
      <c r="M538" s="48"/>
      <c r="N538" s="163"/>
      <c r="O538" s="48"/>
      <c r="P538" s="750"/>
      <c r="Q538" s="795"/>
      <c r="R538" s="785">
        <f>IFERROR(VLOOKUP($Q538,'391'!$P:$W,8,0),"")</f>
        <v>0</v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ref="X538:X544" si="337">G538-W538</f>
        <v>0</v>
      </c>
      <c r="Y538" s="797"/>
      <c r="Z538" s="785"/>
      <c r="AA538" s="797"/>
      <c r="AB538" s="797"/>
      <c r="AC538" s="683"/>
      <c r="AD538" s="683"/>
      <c r="AE538" s="683"/>
      <c r="AF538" s="683"/>
      <c r="AG538" s="683"/>
      <c r="AH538" s="683"/>
      <c r="AI538" s="705"/>
      <c r="AJ538" s="705"/>
      <c r="AK538" s="705"/>
      <c r="AL538" s="705"/>
      <c r="AM538" s="705"/>
      <c r="AN538" s="705"/>
      <c r="AO538" s="705"/>
      <c r="AP538" s="705"/>
      <c r="AQ538" s="705"/>
      <c r="AR538" s="705"/>
      <c r="AS538" s="705"/>
    </row>
    <row r="539" spans="1:45" s="13" customFormat="1" ht="30" hidden="1" customHeight="1" x14ac:dyDescent="0.25">
      <c r="A539" s="2081"/>
      <c r="B539" s="2072"/>
      <c r="C539" s="225"/>
      <c r="D539" s="866" t="s">
        <v>10</v>
      </c>
      <c r="E539" s="935">
        <v>45197</v>
      </c>
      <c r="F539" s="75">
        <f t="shared" si="336"/>
        <v>1064</v>
      </c>
      <c r="G539" s="633">
        <v>0</v>
      </c>
      <c r="H539" s="300"/>
      <c r="I539" s="18"/>
      <c r="J539" s="1338"/>
      <c r="K539" s="18"/>
      <c r="L539" s="531">
        <f t="shared" si="320"/>
        <v>0</v>
      </c>
      <c r="M539" s="48"/>
      <c r="N539" s="163"/>
      <c r="O539" s="48"/>
      <c r="P539" s="750"/>
      <c r="Q539" s="795"/>
      <c r="R539" s="785">
        <f>IFERROR(VLOOKUP($Q539,'391'!$P:$W,8,0),"")</f>
        <v>0</v>
      </c>
      <c r="S539" s="796"/>
      <c r="T539" s="797"/>
      <c r="U539" s="797"/>
      <c r="V539" s="797"/>
      <c r="W539" s="802">
        <f>IFERROR(VLOOKUP($Q539,'391'!$P:$AG,15,0),0)</f>
        <v>0</v>
      </c>
      <c r="X539" s="799">
        <f t="shared" si="337"/>
        <v>0</v>
      </c>
      <c r="Y539" s="797"/>
      <c r="Z539" s="785"/>
      <c r="AA539" s="797"/>
      <c r="AB539" s="797"/>
      <c r="AC539" s="683"/>
      <c r="AD539" s="683"/>
      <c r="AE539" s="683"/>
      <c r="AF539" s="683"/>
      <c r="AG539" s="683"/>
      <c r="AH539" s="683"/>
      <c r="AI539" s="705"/>
      <c r="AJ539" s="705"/>
      <c r="AK539" s="705"/>
      <c r="AL539" s="705"/>
      <c r="AM539" s="705"/>
      <c r="AN539" s="705"/>
      <c r="AO539" s="705"/>
      <c r="AP539" s="705"/>
      <c r="AQ539" s="705"/>
      <c r="AR539" s="705"/>
      <c r="AS539" s="705"/>
    </row>
    <row r="540" spans="1:45" s="405" customFormat="1" ht="30" hidden="1" customHeight="1" x14ac:dyDescent="0.25">
      <c r="A540" s="2081"/>
      <c r="B540" s="2047"/>
      <c r="C540" s="61" t="s">
        <v>1610</v>
      </c>
      <c r="D540" s="863" t="s">
        <v>10</v>
      </c>
      <c r="E540" s="934">
        <v>45975</v>
      </c>
      <c r="F540" s="39">
        <f t="shared" si="336"/>
        <v>286</v>
      </c>
      <c r="G540" s="351">
        <v>0</v>
      </c>
      <c r="H540" s="300"/>
      <c r="I540" s="28">
        <f>+SUM(K526:K540)</f>
        <v>0</v>
      </c>
      <c r="J540" s="1295">
        <f>usage!I51</f>
        <v>0</v>
      </c>
      <c r="K540" s="28"/>
      <c r="L540" s="531">
        <f t="shared" si="320"/>
        <v>0</v>
      </c>
      <c r="M540" s="35"/>
      <c r="N540" s="87"/>
      <c r="O540" s="35"/>
      <c r="P540" s="751"/>
      <c r="Q540" s="666" t="s">
        <v>1588</v>
      </c>
      <c r="R540" s="785" t="str">
        <f>IFERROR(VLOOKUP($Q540,'391'!$P:$W,8,0),"")</f>
        <v/>
      </c>
      <c r="S540" s="796"/>
      <c r="T540" s="797"/>
      <c r="U540" s="797"/>
      <c r="V540" s="797"/>
      <c r="W540" s="802">
        <f>IFERROR(VLOOKUP($Q540,'391'!$P:$AG,15,0),0)</f>
        <v>0</v>
      </c>
      <c r="X540" s="799">
        <f t="shared" si="337"/>
        <v>0</v>
      </c>
      <c r="Y540" s="797"/>
      <c r="Z540" s="785"/>
      <c r="AA540" s="797"/>
      <c r="AB540" s="797"/>
      <c r="AC540" s="683"/>
      <c r="AD540" s="683"/>
      <c r="AE540" s="683"/>
      <c r="AF540" s="683"/>
      <c r="AG540" s="683"/>
      <c r="AH540" s="683"/>
      <c r="AI540" s="705"/>
      <c r="AJ540" s="705"/>
      <c r="AK540" s="705"/>
      <c r="AL540" s="705"/>
      <c r="AM540" s="705"/>
      <c r="AN540" s="705"/>
      <c r="AO540" s="705"/>
      <c r="AP540" s="705"/>
      <c r="AQ540" s="705"/>
      <c r="AR540" s="705"/>
      <c r="AS540" s="705"/>
    </row>
    <row r="541" spans="1:45" s="265" customFormat="1" ht="30" hidden="1" customHeight="1" x14ac:dyDescent="0.25">
      <c r="A541" s="2022" t="s">
        <v>1184</v>
      </c>
      <c r="B541" s="2023"/>
      <c r="C541" s="88"/>
      <c r="D541" s="864"/>
      <c r="E541" s="864"/>
      <c r="F541" s="865"/>
      <c r="G541" s="1296">
        <v>0</v>
      </c>
      <c r="H541" s="1296">
        <f t="shared" ref="H541:L541" si="338">+SUM(H526:H540)</f>
        <v>0</v>
      </c>
      <c r="I541" s="1296">
        <f t="shared" si="338"/>
        <v>0</v>
      </c>
      <c r="J541" s="1296">
        <f t="shared" si="338"/>
        <v>0</v>
      </c>
      <c r="K541" s="1296">
        <f t="shared" si="338"/>
        <v>0</v>
      </c>
      <c r="L541" s="1296">
        <f t="shared" si="338"/>
        <v>0</v>
      </c>
      <c r="M541" s="59" t="str">
        <f>IFERROR((R541/$S$2),"")</f>
        <v/>
      </c>
      <c r="N541" s="854">
        <f>IFERROR(L541/M541,0)</f>
        <v>0</v>
      </c>
      <c r="O541" s="59">
        <f>IFERROR(SUMIF(ETM!$A:$A,$Q541,ETM!$E:$E),"")</f>
        <v>0</v>
      </c>
      <c r="P541" s="855">
        <f>IFERROR(L541/O541,0)</f>
        <v>0</v>
      </c>
      <c r="Q541" s="795" t="s">
        <v>822</v>
      </c>
      <c r="R541" s="785" t="str">
        <f>IFERROR(VLOOKUP($Q541,'391'!$P:$W,8,0),"")</f>
        <v/>
      </c>
      <c r="S541" s="796"/>
      <c r="T541" s="797"/>
      <c r="U541" s="797"/>
      <c r="V541" s="797"/>
      <c r="W541" s="802">
        <f>IFERROR(VLOOKUP($Q541,'391'!$P:$AG,15,0),0)</f>
        <v>0</v>
      </c>
      <c r="X541" s="799">
        <f t="shared" si="337"/>
        <v>0</v>
      </c>
      <c r="Y541" s="797"/>
      <c r="Z541" s="785"/>
      <c r="AA541" s="797"/>
      <c r="AB541" s="797"/>
      <c r="AC541" s="551"/>
      <c r="AD541" s="551"/>
      <c r="AE541" s="551"/>
      <c r="AF541" s="551"/>
      <c r="AG541" s="551"/>
      <c r="AH541" s="551"/>
      <c r="AI541" s="704"/>
      <c r="AJ541" s="704"/>
      <c r="AK541" s="704"/>
      <c r="AL541" s="704"/>
      <c r="AM541" s="704"/>
      <c r="AN541" s="704"/>
      <c r="AO541" s="704"/>
      <c r="AP541" s="704"/>
      <c r="AQ541" s="704"/>
      <c r="AR541" s="704"/>
      <c r="AS541" s="704"/>
    </row>
    <row r="542" spans="1:45" s="400" customFormat="1" ht="30" hidden="1" customHeight="1" x14ac:dyDescent="0.25">
      <c r="A542" s="2024">
        <f>IF(L560=0,"",MAX($A$16:A541)+1)</f>
        <v>27</v>
      </c>
      <c r="B542" s="2027" t="s">
        <v>1234</v>
      </c>
      <c r="C542" s="110"/>
      <c r="D542" s="866" t="s">
        <v>10</v>
      </c>
      <c r="E542" s="933">
        <v>46050</v>
      </c>
      <c r="F542" s="1237">
        <f t="shared" ref="F542:F553" si="339">$L$7-E542</f>
        <v>211</v>
      </c>
      <c r="G542" s="18">
        <v>0</v>
      </c>
      <c r="H542" s="18"/>
      <c r="I542" s="18"/>
      <c r="J542" s="1338"/>
      <c r="K542" s="1379">
        <f>IFERROR(SUMIF(INTAKE!$A:$A,$T542,INTAKE!$P:$P),0)</f>
        <v>0</v>
      </c>
      <c r="L542" s="1670">
        <f t="shared" ref="L542:L559" si="340">+G542+H542+I542-J542-K542</f>
        <v>0</v>
      </c>
      <c r="M542" s="50"/>
      <c r="N542" s="167"/>
      <c r="O542" s="50"/>
      <c r="P542" s="747"/>
      <c r="Q542" s="795"/>
      <c r="R542" s="785">
        <f>IFERROR(VLOOKUP($Q542,'391'!$P:$W,8,0),"")</f>
        <v>0</v>
      </c>
      <c r="S542" s="796"/>
      <c r="T542" s="787" t="str">
        <f>$Q$546&amp;C542&amp;E542</f>
        <v>Provisoy (VN)46050</v>
      </c>
      <c r="U542" s="797"/>
      <c r="V542" s="797"/>
      <c r="W542" s="802">
        <f>IFERROR(VLOOKUP($Q542,'391'!$P:$AG,15,0),0)</f>
        <v>0</v>
      </c>
      <c r="X542" s="799">
        <f t="shared" si="337"/>
        <v>0</v>
      </c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hidden="1" customHeight="1" x14ac:dyDescent="0.25">
      <c r="A543" s="2025"/>
      <c r="B543" s="2028"/>
      <c r="C543" s="110"/>
      <c r="D543" s="866" t="s">
        <v>10</v>
      </c>
      <c r="E543" s="933">
        <v>46128</v>
      </c>
      <c r="F543" s="1237">
        <f t="shared" si="339"/>
        <v>133</v>
      </c>
      <c r="G543" s="18">
        <v>0</v>
      </c>
      <c r="H543" s="18"/>
      <c r="I543" s="18"/>
      <c r="J543" s="1338"/>
      <c r="K543" s="1379">
        <f>IFERROR(SUMIF(INTAKE!$A:$A,$T543,INTAKE!$P:$P),0)</f>
        <v>0</v>
      </c>
      <c r="L543" s="1670">
        <f t="shared" si="340"/>
        <v>0</v>
      </c>
      <c r="M543" s="48"/>
      <c r="N543" s="163"/>
      <c r="O543" s="48"/>
      <c r="P543" s="750"/>
      <c r="Q543" s="795"/>
      <c r="R543" s="785">
        <f>IFERROR(VLOOKUP($Q543,'391'!$P:$W,8,0),"")</f>
        <v>0</v>
      </c>
      <c r="S543" s="796"/>
      <c r="T543" s="787" t="str">
        <f t="shared" ref="T543:T553" si="341">$Q$546&amp;C543&amp;E543</f>
        <v>Provisoy (VN)46128</v>
      </c>
      <c r="U543" s="797"/>
      <c r="V543" s="797"/>
      <c r="W543" s="802">
        <f>IFERROR(VLOOKUP($Q543,'391'!$P:$AG,15,0),0)</f>
        <v>0</v>
      </c>
      <c r="X543" s="799">
        <f t="shared" si="337"/>
        <v>0</v>
      </c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28.5" customHeight="1" x14ac:dyDescent="0.25">
      <c r="A544" s="2025"/>
      <c r="B544" s="2110"/>
      <c r="C544" s="110" t="s">
        <v>284</v>
      </c>
      <c r="D544" s="866" t="s">
        <v>10</v>
      </c>
      <c r="E544" s="933">
        <v>46231</v>
      </c>
      <c r="F544" s="1237">
        <f t="shared" ref="F544:F552" si="342">$L$7-E544</f>
        <v>30</v>
      </c>
      <c r="G544" s="18">
        <v>17500</v>
      </c>
      <c r="H544" s="18"/>
      <c r="I544" s="18"/>
      <c r="J544" s="1338"/>
      <c r="K544" s="1379">
        <f>IFERROR(SUMIF(INTAKE!$A:$A,$T544,INTAKE!$P:$P),0)</f>
        <v>15000</v>
      </c>
      <c r="L544" s="1670">
        <f t="shared" si="340"/>
        <v>2500</v>
      </c>
      <c r="M544" s="48"/>
      <c r="N544" s="163"/>
      <c r="O544" s="48"/>
      <c r="P544" s="750"/>
      <c r="Q544" s="795"/>
      <c r="R544" s="785">
        <f>IFERROR(VLOOKUP($Q544,'391'!$P:$W,8,0),"")</f>
        <v>0</v>
      </c>
      <c r="S544" s="796"/>
      <c r="T544" s="787" t="str">
        <f t="shared" si="341"/>
        <v>Provisoy (VN)A22.446231</v>
      </c>
      <c r="U544" s="797"/>
      <c r="V544" s="797"/>
      <c r="W544" s="802">
        <f>IFERROR(VLOOKUP($Q544,'391'!$P:$AG,15,0),0)</f>
        <v>0</v>
      </c>
      <c r="X544" s="799">
        <f t="shared" si="337"/>
        <v>17500</v>
      </c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5"/>
      <c r="B545" s="2110"/>
      <c r="C545" s="110" t="s">
        <v>1599</v>
      </c>
      <c r="D545" s="866" t="s">
        <v>10</v>
      </c>
      <c r="E545" s="933">
        <v>46247</v>
      </c>
      <c r="F545" s="1237">
        <f t="shared" si="342"/>
        <v>14</v>
      </c>
      <c r="G545" s="18">
        <v>20000</v>
      </c>
      <c r="H545" s="18"/>
      <c r="I545" s="18"/>
      <c r="J545" s="1338"/>
      <c r="K545" s="18"/>
      <c r="L545" s="1670">
        <f t="shared" si="340"/>
        <v>20000</v>
      </c>
      <c r="M545" s="48"/>
      <c r="N545" s="189"/>
      <c r="O545" s="48"/>
      <c r="P545" s="1291"/>
      <c r="Q545" s="808"/>
      <c r="R545" s="785"/>
      <c r="S545" s="796"/>
      <c r="T545" s="787" t="str">
        <f t="shared" si="341"/>
        <v>Provisoy (VN)A18.446247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5"/>
      <c r="B546" s="2111"/>
      <c r="C546" s="110" t="s">
        <v>1809</v>
      </c>
      <c r="D546" s="866" t="s">
        <v>10</v>
      </c>
      <c r="E546" s="933">
        <v>46247</v>
      </c>
      <c r="F546" s="1237">
        <f t="shared" si="342"/>
        <v>14</v>
      </c>
      <c r="G546" s="18">
        <v>20000</v>
      </c>
      <c r="H546" s="18"/>
      <c r="I546" s="18"/>
      <c r="J546" s="1338"/>
      <c r="K546" s="18"/>
      <c r="L546" s="1670">
        <f t="shared" ref="L546" si="343">+G546+H546+I546-J546-K546</f>
        <v>20000</v>
      </c>
      <c r="M546" s="48"/>
      <c r="N546" s="189"/>
      <c r="O546" s="48"/>
      <c r="P546" s="1291"/>
      <c r="Q546" s="666" t="s">
        <v>1234</v>
      </c>
      <c r="R546" s="785"/>
      <c r="S546" s="796"/>
      <c r="T546" s="787" t="str">
        <f t="shared" si="341"/>
        <v>Provisoy (VN)A22.246247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25"/>
      <c r="B547" s="2110"/>
      <c r="C547" s="110" t="s">
        <v>2209</v>
      </c>
      <c r="D547" s="866" t="s">
        <v>10</v>
      </c>
      <c r="E547" s="933">
        <v>46248</v>
      </c>
      <c r="F547" s="1237">
        <f t="shared" si="342"/>
        <v>13</v>
      </c>
      <c r="G547" s="18">
        <v>40000</v>
      </c>
      <c r="H547" s="18"/>
      <c r="I547" s="18"/>
      <c r="J547" s="1338"/>
      <c r="K547" s="18"/>
      <c r="L547" s="1670">
        <f t="shared" si="340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41"/>
        <v>Provisoy (VN)C1246248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customHeight="1" x14ac:dyDescent="0.25">
      <c r="A548" s="2025"/>
      <c r="B548" s="2111"/>
      <c r="C548" s="110" t="s">
        <v>261</v>
      </c>
      <c r="D548" s="866" t="s">
        <v>10</v>
      </c>
      <c r="E548" s="933">
        <v>46251</v>
      </c>
      <c r="F548" s="1237">
        <f t="shared" si="342"/>
        <v>10</v>
      </c>
      <c r="G548" s="18">
        <v>20000</v>
      </c>
      <c r="H548" s="18"/>
      <c r="I548" s="18"/>
      <c r="J548" s="1338"/>
      <c r="K548" s="18"/>
      <c r="L548" s="1670">
        <f t="shared" si="340"/>
        <v>20000</v>
      </c>
      <c r="M548" s="48"/>
      <c r="N548" s="189"/>
      <c r="O548" s="48"/>
      <c r="P548" s="1291"/>
      <c r="Q548" s="808"/>
      <c r="R548" s="785"/>
      <c r="S548" s="796"/>
      <c r="T548" s="787" t="str">
        <f t="shared" si="341"/>
        <v>Provisoy (VN)A18.246251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customHeight="1" x14ac:dyDescent="0.25">
      <c r="A549" s="2025"/>
      <c r="B549" s="2111"/>
      <c r="C549" s="110" t="s">
        <v>1870</v>
      </c>
      <c r="D549" s="866" t="s">
        <v>10</v>
      </c>
      <c r="E549" s="933">
        <v>46255</v>
      </c>
      <c r="F549" s="1237">
        <f t="shared" si="342"/>
        <v>6</v>
      </c>
      <c r="G549" s="18">
        <v>40000</v>
      </c>
      <c r="H549" s="18"/>
      <c r="I549" s="18"/>
      <c r="J549" s="1338"/>
      <c r="K549" s="18"/>
      <c r="L549" s="1670">
        <f t="shared" ref="L549:L557" si="344">+G549+H549+I549-J549-K549</f>
        <v>40000</v>
      </c>
      <c r="M549" s="48"/>
      <c r="N549" s="189"/>
      <c r="O549" s="48"/>
      <c r="P549" s="1291"/>
      <c r="Q549" s="808"/>
      <c r="R549" s="785"/>
      <c r="S549" s="796"/>
      <c r="T549" s="787" t="str">
        <f t="shared" si="341"/>
        <v>Provisoy (VN)A346255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customHeight="1" x14ac:dyDescent="0.25">
      <c r="A550" s="2025"/>
      <c r="B550" s="2111"/>
      <c r="C550" s="110" t="s">
        <v>2243</v>
      </c>
      <c r="D550" s="866" t="s">
        <v>10</v>
      </c>
      <c r="E550" s="933">
        <v>46258</v>
      </c>
      <c r="F550" s="1237">
        <f t="shared" si="342"/>
        <v>3</v>
      </c>
      <c r="G550" s="18">
        <v>20000</v>
      </c>
      <c r="H550" s="18"/>
      <c r="I550" s="18"/>
      <c r="J550" s="1338"/>
      <c r="K550" s="18"/>
      <c r="L550" s="1670">
        <f t="shared" si="344"/>
        <v>20000</v>
      </c>
      <c r="M550" s="48"/>
      <c r="N550" s="189"/>
      <c r="O550" s="48"/>
      <c r="P550" s="1291"/>
      <c r="Q550" s="808"/>
      <c r="R550" s="785"/>
      <c r="S550" s="796"/>
      <c r="T550" s="787" t="str">
        <f t="shared" si="341"/>
        <v>Provisoy (VN)A546258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customHeight="1" x14ac:dyDescent="0.25">
      <c r="A551" s="2025"/>
      <c r="B551" s="2111"/>
      <c r="C551" s="110" t="s">
        <v>2243</v>
      </c>
      <c r="D551" s="866" t="s">
        <v>10</v>
      </c>
      <c r="E551" s="933">
        <v>46259</v>
      </c>
      <c r="F551" s="1237">
        <f t="shared" si="342"/>
        <v>2</v>
      </c>
      <c r="G551" s="18">
        <v>40000</v>
      </c>
      <c r="H551" s="18"/>
      <c r="I551" s="18"/>
      <c r="J551" s="1338"/>
      <c r="K551" s="18"/>
      <c r="L551" s="1670">
        <f t="shared" si="344"/>
        <v>40000</v>
      </c>
      <c r="M551" s="48"/>
      <c r="N551" s="189"/>
      <c r="O551" s="48"/>
      <c r="P551" s="1291"/>
      <c r="Q551" s="808"/>
      <c r="R551" s="785"/>
      <c r="S551" s="796"/>
      <c r="T551" s="797" t="str">
        <f t="shared" si="341"/>
        <v>Provisoy (VN)A546259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customHeight="1" x14ac:dyDescent="0.25">
      <c r="A552" s="2025"/>
      <c r="B552" s="2111"/>
      <c r="C552" s="110" t="s">
        <v>2109</v>
      </c>
      <c r="D552" s="866" t="s">
        <v>10</v>
      </c>
      <c r="E552" s="933">
        <v>46260</v>
      </c>
      <c r="F552" s="1237">
        <f t="shared" si="342"/>
        <v>1</v>
      </c>
      <c r="G552" s="18">
        <v>20000</v>
      </c>
      <c r="H552" s="18"/>
      <c r="I552" s="18"/>
      <c r="J552" s="1338"/>
      <c r="K552" s="18"/>
      <c r="L552" s="1670">
        <f t="shared" si="344"/>
        <v>20000</v>
      </c>
      <c r="M552" s="48"/>
      <c r="N552" s="189"/>
      <c r="O552" s="48"/>
      <c r="P552" s="1291"/>
      <c r="Q552" s="808"/>
      <c r="R552" s="785"/>
      <c r="S552" s="796"/>
      <c r="T552" s="797" t="str">
        <f t="shared" si="341"/>
        <v>Provisoy (VN)A18.346260</v>
      </c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customHeight="1" x14ac:dyDescent="0.25">
      <c r="A553" s="2025"/>
      <c r="B553" s="2111"/>
      <c r="C553" s="110" t="s">
        <v>2216</v>
      </c>
      <c r="D553" s="866" t="s">
        <v>10</v>
      </c>
      <c r="E553" s="933">
        <v>46261</v>
      </c>
      <c r="F553" s="1237">
        <f t="shared" si="339"/>
        <v>0</v>
      </c>
      <c r="G553" s="18"/>
      <c r="H553" s="18">
        <v>40000</v>
      </c>
      <c r="I553" s="18"/>
      <c r="J553" s="1338"/>
      <c r="K553" s="18"/>
      <c r="L553" s="1670">
        <f t="shared" ref="L553" si="345">+G553+H553+I553-J553-K553</f>
        <v>40000</v>
      </c>
      <c r="M553" s="48"/>
      <c r="N553" s="189"/>
      <c r="O553" s="48"/>
      <c r="P553" s="1291"/>
      <c r="Q553" s="808"/>
      <c r="R553" s="785"/>
      <c r="S553" s="796"/>
      <c r="T553" s="797" t="str">
        <f t="shared" si="341"/>
        <v>Provisoy (VN)B18.246261</v>
      </c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5"/>
      <c r="B554" s="2111"/>
      <c r="C554" s="110"/>
      <c r="D554" s="866" t="s">
        <v>10</v>
      </c>
      <c r="E554" s="933">
        <v>46171</v>
      </c>
      <c r="F554" s="1237">
        <f t="shared" ref="F554:F555" si="346">$L$7-E554</f>
        <v>90</v>
      </c>
      <c r="G554" s="18">
        <v>0</v>
      </c>
      <c r="H554" s="18"/>
      <c r="I554" s="18"/>
      <c r="J554" s="1338"/>
      <c r="K554" s="18"/>
      <c r="L554" s="1670">
        <f t="shared" si="344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5"/>
      <c r="B555" s="2111"/>
      <c r="C555" s="110"/>
      <c r="D555" s="866" t="s">
        <v>10</v>
      </c>
      <c r="E555" s="933">
        <v>45896</v>
      </c>
      <c r="F555" s="1237">
        <f t="shared" si="346"/>
        <v>365</v>
      </c>
      <c r="G555" s="18">
        <v>0</v>
      </c>
      <c r="H555" s="18"/>
      <c r="I555" s="18"/>
      <c r="J555" s="1338"/>
      <c r="K555" s="18"/>
      <c r="L555" s="1670">
        <f t="shared" si="344"/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0" customFormat="1" ht="30" hidden="1" customHeight="1" x14ac:dyDescent="0.25">
      <c r="A556" s="2025"/>
      <c r="B556" s="2111"/>
      <c r="C556" s="110"/>
      <c r="D556" s="866" t="s">
        <v>10</v>
      </c>
      <c r="E556" s="933">
        <v>45896</v>
      </c>
      <c r="F556" s="1237">
        <f t="shared" ref="F556" si="347">$L$7-E556</f>
        <v>365</v>
      </c>
      <c r="G556" s="18">
        <v>0</v>
      </c>
      <c r="H556" s="18"/>
      <c r="I556" s="18"/>
      <c r="J556" s="1338"/>
      <c r="K556" s="18"/>
      <c r="L556" s="1670">
        <f t="shared" si="344"/>
        <v>0</v>
      </c>
      <c r="M556" s="48"/>
      <c r="N556" s="189"/>
      <c r="O556" s="48"/>
      <c r="P556" s="1291"/>
      <c r="Q556" s="808"/>
      <c r="R556" s="785"/>
      <c r="S556" s="796"/>
      <c r="T556" s="797"/>
      <c r="U556" s="797"/>
      <c r="V556" s="797"/>
      <c r="W556" s="802"/>
      <c r="X556" s="799"/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400" customFormat="1" ht="30" hidden="1" customHeight="1" x14ac:dyDescent="0.25">
      <c r="A557" s="2025"/>
      <c r="B557" s="2111"/>
      <c r="C557" s="110"/>
      <c r="D557" s="866" t="s">
        <v>10</v>
      </c>
      <c r="E557" s="933">
        <v>45896</v>
      </c>
      <c r="F557" s="1237">
        <f t="shared" ref="F557" si="348">$L$7-E557</f>
        <v>365</v>
      </c>
      <c r="G557" s="18">
        <v>0</v>
      </c>
      <c r="H557" s="18"/>
      <c r="I557" s="18"/>
      <c r="J557" s="1338"/>
      <c r="K557" s="18"/>
      <c r="L557" s="1670">
        <f t="shared" si="344"/>
        <v>0</v>
      </c>
      <c r="M557" s="48"/>
      <c r="N557" s="189"/>
      <c r="O557" s="48"/>
      <c r="P557" s="1291"/>
      <c r="Q557" s="808"/>
      <c r="R557" s="785"/>
      <c r="S557" s="796"/>
      <c r="T557" s="797"/>
      <c r="U557" s="797"/>
      <c r="V557" s="797"/>
      <c r="W557" s="802"/>
      <c r="X557" s="799"/>
      <c r="Y557" s="797"/>
      <c r="Z557" s="785"/>
      <c r="AA557" s="797"/>
      <c r="AB557" s="797"/>
      <c r="AC557" s="681"/>
      <c r="AD557" s="681"/>
      <c r="AE557" s="681"/>
      <c r="AF557" s="681"/>
      <c r="AG557" s="681"/>
      <c r="AH557" s="681"/>
      <c r="AI557" s="703"/>
      <c r="AJ557" s="703"/>
      <c r="AK557" s="703"/>
      <c r="AL557" s="703"/>
      <c r="AM557" s="703"/>
      <c r="AN557" s="703"/>
      <c r="AO557" s="703"/>
      <c r="AP557" s="703"/>
      <c r="AQ557" s="703"/>
      <c r="AR557" s="703"/>
      <c r="AS557" s="703"/>
    </row>
    <row r="558" spans="1:45" s="400" customFormat="1" ht="30" hidden="1" customHeight="1" x14ac:dyDescent="0.25">
      <c r="A558" s="2025"/>
      <c r="B558" s="2111"/>
      <c r="C558" s="110"/>
      <c r="D558" s="866" t="s">
        <v>10</v>
      </c>
      <c r="E558" s="933">
        <v>45896</v>
      </c>
      <c r="F558" s="1237">
        <f t="shared" ref="F558" si="349">$L$7-E558</f>
        <v>365</v>
      </c>
      <c r="G558" s="18">
        <v>0</v>
      </c>
      <c r="H558" s="18"/>
      <c r="I558" s="18"/>
      <c r="J558" s="1338"/>
      <c r="K558" s="18"/>
      <c r="L558" s="1670">
        <f t="shared" ref="L558" si="350">+G558+H558+I558-J558-K558</f>
        <v>0</v>
      </c>
      <c r="M558" s="48"/>
      <c r="N558" s="189"/>
      <c r="O558" s="48"/>
      <c r="P558" s="1291"/>
      <c r="Q558" s="808"/>
      <c r="R558" s="785"/>
      <c r="S558" s="796"/>
      <c r="T558" s="797"/>
      <c r="U558" s="797"/>
      <c r="V558" s="797"/>
      <c r="W558" s="802"/>
      <c r="X558" s="799"/>
      <c r="Y558" s="797"/>
      <c r="Z558" s="785"/>
      <c r="AA558" s="797"/>
      <c r="AB558" s="797"/>
      <c r="AC558" s="681"/>
      <c r="AD558" s="681"/>
      <c r="AE558" s="681"/>
      <c r="AF558" s="681"/>
      <c r="AG558" s="681"/>
      <c r="AH558" s="681"/>
      <c r="AI558" s="703"/>
      <c r="AJ558" s="703"/>
      <c r="AK558" s="703"/>
      <c r="AL558" s="703"/>
      <c r="AM558" s="703"/>
      <c r="AN558" s="703"/>
      <c r="AO558" s="703"/>
      <c r="AP558" s="703"/>
      <c r="AQ558" s="703"/>
      <c r="AR558" s="703"/>
      <c r="AS558" s="703"/>
    </row>
    <row r="559" spans="1:45" s="401" customFormat="1" ht="30" customHeight="1" x14ac:dyDescent="0.25">
      <c r="A559" s="2025"/>
      <c r="B559" s="2028"/>
      <c r="C559" s="61" t="s">
        <v>1611</v>
      </c>
      <c r="D559" s="863" t="s">
        <v>10</v>
      </c>
      <c r="E559" s="934">
        <v>46231</v>
      </c>
      <c r="F559" s="75">
        <f t="shared" ref="F559" si="351">$L$7-E559</f>
        <v>30</v>
      </c>
      <c r="G559" s="28">
        <v>1</v>
      </c>
      <c r="H559" s="28"/>
      <c r="I559" s="28">
        <f>SUM(K542:K547)</f>
        <v>15000</v>
      </c>
      <c r="J559" s="1295">
        <f>usage!I50</f>
        <v>1456</v>
      </c>
      <c r="K559" s="28"/>
      <c r="L559" s="531">
        <f t="shared" si="340"/>
        <v>13545</v>
      </c>
      <c r="M559" s="31"/>
      <c r="N559" s="920"/>
      <c r="O559" s="31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ref="X559:X588" si="352">G559-W559</f>
        <v>1</v>
      </c>
      <c r="Y559" s="797"/>
      <c r="Z559" s="785"/>
      <c r="AA559" s="797"/>
      <c r="AB559" s="797"/>
      <c r="AC559" s="681"/>
      <c r="AD559" s="681"/>
      <c r="AE559" s="681"/>
      <c r="AF559" s="681"/>
      <c r="AG559" s="681"/>
      <c r="AH559" s="681"/>
      <c r="AI559" s="703"/>
      <c r="AJ559" s="703"/>
      <c r="AK559" s="703"/>
      <c r="AL559" s="703"/>
      <c r="AM559" s="703"/>
      <c r="AN559" s="703"/>
      <c r="AO559" s="703"/>
      <c r="AP559" s="703"/>
      <c r="AQ559" s="703"/>
      <c r="AR559" s="703"/>
      <c r="AS559" s="703"/>
    </row>
    <row r="560" spans="1:45" s="265" customFormat="1" ht="30" customHeight="1" x14ac:dyDescent="0.25">
      <c r="A560" s="2022" t="s">
        <v>1235</v>
      </c>
      <c r="B560" s="2023"/>
      <c r="C560" s="2130" t="s">
        <v>493</v>
      </c>
      <c r="D560" s="2130"/>
      <c r="E560" s="2130"/>
      <c r="F560" s="2131"/>
      <c r="G560" s="1296">
        <v>237501</v>
      </c>
      <c r="H560" s="1296">
        <f>+SUM(H542:H559)</f>
        <v>40000</v>
      </c>
      <c r="I560" s="1296">
        <f t="shared" ref="I560:L560" si="353">+SUM(I542:I559)</f>
        <v>15000</v>
      </c>
      <c r="J560" s="1296">
        <f t="shared" si="353"/>
        <v>1456</v>
      </c>
      <c r="K560" s="1296">
        <f t="shared" si="353"/>
        <v>15000</v>
      </c>
      <c r="L560" s="1296">
        <f t="shared" si="353"/>
        <v>276045</v>
      </c>
      <c r="M560" s="59">
        <f>IFERROR((R560/$S$2),"")</f>
        <v>9837.1666666666661</v>
      </c>
      <c r="N560" s="366">
        <f>IFERROR(L560/M560,0)</f>
        <v>28.061433678396558</v>
      </c>
      <c r="O560" s="59">
        <f>IFERROR(SUMIF(ETM!$A:$A,$Q560,ETM!$E:$E),"")</f>
        <v>9410</v>
      </c>
      <c r="P560" s="855">
        <f>IFERROR(L560/O560,0)</f>
        <v>29.335281615302868</v>
      </c>
      <c r="Q560" s="795" t="s">
        <v>1244</v>
      </c>
      <c r="R560" s="785">
        <f>IFERROR(VLOOKUP($Q560,'391'!$P:$W,8,0),"")</f>
        <v>59023</v>
      </c>
      <c r="S560" s="796"/>
      <c r="T560" s="797"/>
      <c r="U560" s="797"/>
      <c r="V560" s="797"/>
      <c r="W560" s="802">
        <f>IFERROR(VLOOKUP($Q560,'391'!$P:$AG,15,0),0)</f>
        <v>222731</v>
      </c>
      <c r="X560" s="799">
        <f t="shared" si="352"/>
        <v>14770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86" t="str">
        <f>IF(L563=0,"",MAX($A$16:A560)+1)</f>
        <v/>
      </c>
      <c r="B561" s="2116" t="s">
        <v>356</v>
      </c>
      <c r="C561" s="574" t="s">
        <v>194</v>
      </c>
      <c r="D561" s="881" t="s">
        <v>10</v>
      </c>
      <c r="E561" s="882"/>
      <c r="F561" s="71"/>
      <c r="G561" s="300">
        <v>0</v>
      </c>
      <c r="H561" s="300"/>
      <c r="I561" s="300"/>
      <c r="J561" s="1300"/>
      <c r="K561" s="300"/>
      <c r="L561" s="531">
        <f t="shared" ref="L561:L577" si="354">+G561+H561+I561-J561-K561</f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2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88"/>
      <c r="B562" s="2088"/>
      <c r="C562" s="138" t="s">
        <v>76</v>
      </c>
      <c r="D562" s="884" t="s">
        <v>10</v>
      </c>
      <c r="E562" s="885"/>
      <c r="F562" s="293"/>
      <c r="G562" s="313">
        <v>0</v>
      </c>
      <c r="H562" s="28"/>
      <c r="I562" s="28"/>
      <c r="J562" s="1295">
        <f>+usage!I64</f>
        <v>0</v>
      </c>
      <c r="K562" s="28"/>
      <c r="L562" s="531">
        <f t="shared" si="354"/>
        <v>0</v>
      </c>
      <c r="M562" s="35"/>
      <c r="N562" s="920"/>
      <c r="O562" s="35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2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265" customFormat="1" ht="30" hidden="1" customHeight="1" x14ac:dyDescent="0.25">
      <c r="A563" s="184"/>
      <c r="B563" s="184" t="s">
        <v>358</v>
      </c>
      <c r="C563" s="575"/>
      <c r="D563" s="900"/>
      <c r="E563" s="901"/>
      <c r="F563" s="902"/>
      <c r="G563" s="1336">
        <v>0</v>
      </c>
      <c r="H563" s="1336">
        <f>+SUM(H561:H562)</f>
        <v>0</v>
      </c>
      <c r="I563" s="1336">
        <f t="shared" ref="I563:J563" si="355">+SUM(I561:I562)</f>
        <v>0</v>
      </c>
      <c r="J563" s="1336">
        <f t="shared" si="355"/>
        <v>0</v>
      </c>
      <c r="K563" s="1336">
        <f t="shared" ref="K563" si="356">+SUM(K561:K562)</f>
        <v>0</v>
      </c>
      <c r="L563" s="531">
        <f t="shared" si="354"/>
        <v>0</v>
      </c>
      <c r="M563" s="59"/>
      <c r="N563" s="920">
        <f>IFERROR((L563/M563),0)</f>
        <v>0</v>
      </c>
      <c r="O563" s="59"/>
      <c r="P563" s="857">
        <f>IFERROR((L563/O563),0)</f>
        <v>0</v>
      </c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2"/>
        <v>0</v>
      </c>
      <c r="Y563" s="797"/>
      <c r="Z563" s="785"/>
      <c r="AA563" s="797"/>
      <c r="AB563" s="797"/>
      <c r="AC563" s="551"/>
      <c r="AD563" s="551"/>
      <c r="AE563" s="551"/>
      <c r="AF563" s="551"/>
      <c r="AG563" s="551"/>
      <c r="AH563" s="551"/>
      <c r="AI563" s="704"/>
      <c r="AJ563" s="704"/>
      <c r="AK563" s="704"/>
      <c r="AL563" s="704"/>
      <c r="AM563" s="704"/>
      <c r="AN563" s="704"/>
      <c r="AO563" s="704"/>
      <c r="AP563" s="704"/>
      <c r="AQ563" s="704"/>
      <c r="AR563" s="704"/>
      <c r="AS563" s="704"/>
    </row>
    <row r="564" spans="1:45" s="13" customFormat="1" ht="30" hidden="1" customHeight="1" x14ac:dyDescent="0.25">
      <c r="A564" s="2086" t="str">
        <f>IF(L567=0,"",MAX($A$16:A563)+1)</f>
        <v/>
      </c>
      <c r="B564" s="2078" t="s">
        <v>1325</v>
      </c>
      <c r="C564" s="574" t="s">
        <v>247</v>
      </c>
      <c r="D564" s="881" t="s">
        <v>10</v>
      </c>
      <c r="E564" s="882">
        <v>45135</v>
      </c>
      <c r="F564" s="75">
        <f>$L$7-E564</f>
        <v>1126</v>
      </c>
      <c r="G564" s="300">
        <v>0</v>
      </c>
      <c r="H564" s="300"/>
      <c r="I564" s="300"/>
      <c r="J564" s="1300"/>
      <c r="K564" s="300"/>
      <c r="L564" s="531">
        <f t="shared" si="354"/>
        <v>0</v>
      </c>
      <c r="M564" s="48"/>
      <c r="N564" s="163"/>
      <c r="O564" s="48"/>
      <c r="P564" s="857"/>
      <c r="Q564" s="795"/>
      <c r="R564" s="785">
        <f>IFERROR(VLOOKUP($Q564,'391'!$P:$W,8,0),"")</f>
        <v>0</v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2"/>
        <v>0</v>
      </c>
      <c r="Y564" s="797"/>
      <c r="Z564" s="785"/>
      <c r="AA564" s="797"/>
      <c r="AB564" s="797"/>
      <c r="AC564" s="683"/>
      <c r="AD564" s="683"/>
      <c r="AE564" s="683"/>
      <c r="AF564" s="683"/>
      <c r="AG564" s="683"/>
      <c r="AH564" s="683"/>
      <c r="AI564" s="705"/>
      <c r="AJ564" s="705"/>
      <c r="AK564" s="705"/>
      <c r="AL564" s="705"/>
      <c r="AM564" s="705"/>
      <c r="AN564" s="705"/>
      <c r="AO564" s="705"/>
      <c r="AP564" s="705"/>
      <c r="AQ564" s="705"/>
      <c r="AR564" s="705"/>
      <c r="AS564" s="705"/>
    </row>
    <row r="565" spans="1:45" s="13" customFormat="1" ht="30" hidden="1" customHeight="1" x14ac:dyDescent="0.25">
      <c r="A565" s="2124"/>
      <c r="B565" s="2085"/>
      <c r="C565" s="574"/>
      <c r="D565" s="881" t="s">
        <v>10</v>
      </c>
      <c r="E565" s="882">
        <v>45135</v>
      </c>
      <c r="F565" s="75">
        <f>$L$7-E565</f>
        <v>1126</v>
      </c>
      <c r="G565" s="300">
        <v>0</v>
      </c>
      <c r="H565" s="300"/>
      <c r="I565" s="300"/>
      <c r="J565" s="1300"/>
      <c r="K565" s="300"/>
      <c r="L565" s="531">
        <f t="shared" si="354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97"/>
      <c r="U565" s="797"/>
      <c r="V565" s="797"/>
      <c r="W565" s="802">
        <f>IFERROR(VLOOKUP($Q565,'391'!$P:$AG,15,0),0)</f>
        <v>0</v>
      </c>
      <c r="X565" s="799">
        <f t="shared" si="352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88"/>
      <c r="B566" s="2071"/>
      <c r="C566" s="138" t="s">
        <v>76</v>
      </c>
      <c r="D566" s="884" t="s">
        <v>10</v>
      </c>
      <c r="E566" s="882">
        <v>45135</v>
      </c>
      <c r="F566" s="75">
        <f>$L$7-E566</f>
        <v>1126</v>
      </c>
      <c r="G566" s="313">
        <v>0</v>
      </c>
      <c r="H566" s="28"/>
      <c r="I566" s="28">
        <f>+K564</f>
        <v>0</v>
      </c>
      <c r="J566" s="1295">
        <f>usage!I67</f>
        <v>0</v>
      </c>
      <c r="K566" s="28"/>
      <c r="L566" s="531">
        <f t="shared" si="354"/>
        <v>0</v>
      </c>
      <c r="M566" s="35"/>
      <c r="N566" s="920"/>
      <c r="O566" s="35"/>
      <c r="P566" s="1275"/>
      <c r="Q566" s="795"/>
      <c r="R566" s="785">
        <f>IFERROR(VLOOKUP($Q566,'391'!$P:$W,8,0),"")</f>
        <v>0</v>
      </c>
      <c r="S566" s="796"/>
      <c r="T566" s="797"/>
      <c r="U566" s="797"/>
      <c r="V566" s="797"/>
      <c r="W566" s="802">
        <f>IFERROR(VLOOKUP($Q566,'391'!$P:$AG,15,0),0)</f>
        <v>0</v>
      </c>
      <c r="X566" s="799">
        <f t="shared" si="352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265" customFormat="1" ht="30" hidden="1" customHeight="1" x14ac:dyDescent="0.25">
      <c r="A567" s="184"/>
      <c r="B567" s="184" t="s">
        <v>1326</v>
      </c>
      <c r="C567" s="575"/>
      <c r="D567" s="900"/>
      <c r="E567" s="901"/>
      <c r="F567" s="902"/>
      <c r="G567" s="1336">
        <v>0</v>
      </c>
      <c r="H567" s="1336">
        <f>+SUM(H564:H566)</f>
        <v>0</v>
      </c>
      <c r="I567" s="1336">
        <f t="shared" ref="I567:K567" si="357">+SUM(I564:I566)</f>
        <v>0</v>
      </c>
      <c r="J567" s="1336">
        <f t="shared" si="357"/>
        <v>0</v>
      </c>
      <c r="K567" s="1336">
        <f t="shared" si="357"/>
        <v>0</v>
      </c>
      <c r="L567" s="531">
        <f t="shared" si="354"/>
        <v>0</v>
      </c>
      <c r="M567" s="59"/>
      <c r="N567" s="366">
        <f>IFERROR(L567/M567,0)</f>
        <v>0</v>
      </c>
      <c r="O567" s="59">
        <f>IFERROR(SUMIF(ETM!$A:$A,$Q567,ETM!$E:$E),"")</f>
        <v>0</v>
      </c>
      <c r="P567" s="855">
        <f>IFERROR(L567/O567,0)</f>
        <v>0</v>
      </c>
      <c r="Q567" s="795" t="s">
        <v>1329</v>
      </c>
      <c r="R567" s="785" t="str">
        <f>IFERROR(VLOOKUP($Q567,'391'!$P:$W,8,0),"")</f>
        <v/>
      </c>
      <c r="S567" s="796"/>
      <c r="T567" s="797"/>
      <c r="U567" s="797"/>
      <c r="V567" s="797"/>
      <c r="W567" s="802">
        <f>IFERROR(VLOOKUP($Q567,'391'!$P:$AG,15,0),0)</f>
        <v>0</v>
      </c>
      <c r="X567" s="799">
        <f t="shared" si="352"/>
        <v>0</v>
      </c>
      <c r="Y567" s="797"/>
      <c r="Z567" s="785"/>
      <c r="AA567" s="797"/>
      <c r="AB567" s="797"/>
      <c r="AC567" s="551"/>
      <c r="AD567" s="551"/>
      <c r="AE567" s="551"/>
      <c r="AF567" s="551"/>
      <c r="AG567" s="551"/>
      <c r="AH567" s="551"/>
      <c r="AI567" s="704"/>
      <c r="AJ567" s="704"/>
      <c r="AK567" s="704"/>
      <c r="AL567" s="704"/>
      <c r="AM567" s="704"/>
      <c r="AN567" s="704"/>
      <c r="AO567" s="704"/>
      <c r="AP567" s="704"/>
      <c r="AQ567" s="704"/>
      <c r="AR567" s="704"/>
      <c r="AS567" s="704"/>
    </row>
    <row r="568" spans="1:45" s="13" customFormat="1" ht="30" customHeight="1" x14ac:dyDescent="0.25">
      <c r="A568" s="2086">
        <f>IF(L571=0,"",MAX($A$16:A567)+1)</f>
        <v>28</v>
      </c>
      <c r="B568" s="1994" t="s">
        <v>2246</v>
      </c>
      <c r="C568" s="574" t="s">
        <v>2245</v>
      </c>
      <c r="D568" s="881" t="s">
        <v>10</v>
      </c>
      <c r="E568" s="882">
        <v>46248</v>
      </c>
      <c r="F568" s="75">
        <f>$L$7-E568</f>
        <v>13</v>
      </c>
      <c r="G568" s="300">
        <v>30000</v>
      </c>
      <c r="H568" s="300"/>
      <c r="I568" s="300"/>
      <c r="J568" s="1300"/>
      <c r="K568" s="300"/>
      <c r="L568" s="1670">
        <f t="shared" si="354"/>
        <v>30000</v>
      </c>
      <c r="M568" s="48"/>
      <c r="N568" s="163"/>
      <c r="O568" s="48"/>
      <c r="P568" s="857"/>
      <c r="Q568" s="795"/>
      <c r="R568" s="785">
        <f>IFERROR(VLOOKUP($Q568,'391'!$P:$W,8,0),"")</f>
        <v>0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2"/>
        <v>30000</v>
      </c>
      <c r="Y568" s="797"/>
      <c r="Z568" s="785"/>
      <c r="AA568" s="797"/>
      <c r="AB568" s="797"/>
      <c r="AC568" s="683"/>
      <c r="AD568" s="683"/>
      <c r="AE568" s="683"/>
      <c r="AF568" s="683"/>
      <c r="AG568" s="683"/>
      <c r="AH568" s="683"/>
      <c r="AI568" s="705"/>
      <c r="AJ568" s="705"/>
      <c r="AK568" s="705"/>
      <c r="AL568" s="705"/>
      <c r="AM568" s="705"/>
      <c r="AN568" s="705"/>
      <c r="AO568" s="705"/>
      <c r="AP568" s="705"/>
      <c r="AQ568" s="705"/>
      <c r="AR568" s="705"/>
      <c r="AS568" s="705"/>
    </row>
    <row r="569" spans="1:45" s="13" customFormat="1" ht="30" customHeight="1" x14ac:dyDescent="0.25">
      <c r="A569" s="2124"/>
      <c r="B569" s="1864" t="s">
        <v>2210</v>
      </c>
      <c r="C569" s="574" t="s">
        <v>624</v>
      </c>
      <c r="D569" s="881" t="s">
        <v>10</v>
      </c>
      <c r="E569" s="882">
        <v>46259</v>
      </c>
      <c r="F569" s="75">
        <f>$L$7-E569</f>
        <v>2</v>
      </c>
      <c r="G569" s="300">
        <v>30000</v>
      </c>
      <c r="H569" s="300"/>
      <c r="I569" s="300"/>
      <c r="J569" s="1300"/>
      <c r="K569" s="300"/>
      <c r="L569" s="1670">
        <f t="shared" si="354"/>
        <v>30000</v>
      </c>
      <c r="M569" s="48"/>
      <c r="N569" s="163"/>
      <c r="O569" s="48"/>
      <c r="P569" s="857"/>
      <c r="Q569" s="795"/>
      <c r="R569" s="785">
        <f>IFERROR(VLOOKUP($Q569,'391'!$P:$W,8,0),"")</f>
        <v>0</v>
      </c>
      <c r="S569" s="796"/>
      <c r="T569" s="797"/>
      <c r="U569" s="797"/>
      <c r="V569" s="797"/>
      <c r="W569" s="802">
        <f>IFERROR(VLOOKUP($Q569,'391'!$P:$AG,15,0),0)</f>
        <v>0</v>
      </c>
      <c r="X569" s="799">
        <f t="shared" si="352"/>
        <v>30000</v>
      </c>
      <c r="Y569" s="797"/>
      <c r="Z569" s="785"/>
      <c r="AA569" s="797"/>
      <c r="AB569" s="797"/>
      <c r="AC569" s="683"/>
      <c r="AD569" s="683"/>
      <c r="AE569" s="683"/>
      <c r="AF569" s="683"/>
      <c r="AG569" s="683"/>
      <c r="AH569" s="683"/>
      <c r="AI569" s="705"/>
      <c r="AJ569" s="705"/>
      <c r="AK569" s="705"/>
      <c r="AL569" s="705"/>
      <c r="AM569" s="705"/>
      <c r="AN569" s="705"/>
      <c r="AO569" s="705"/>
      <c r="AP569" s="705"/>
      <c r="AQ569" s="705"/>
      <c r="AR569" s="705"/>
      <c r="AS569" s="705"/>
    </row>
    <row r="570" spans="1:45" s="13" customFormat="1" ht="30" customHeight="1" x14ac:dyDescent="0.25">
      <c r="A570" s="2088"/>
      <c r="B570" s="1995" t="s">
        <v>2210</v>
      </c>
      <c r="C570" s="138" t="s">
        <v>76</v>
      </c>
      <c r="D570" s="884" t="s">
        <v>10</v>
      </c>
      <c r="E570" s="882">
        <v>46248</v>
      </c>
      <c r="F570" s="75">
        <f>$L$7-E570</f>
        <v>13</v>
      </c>
      <c r="G570" s="313">
        <v>0</v>
      </c>
      <c r="H570" s="28"/>
      <c r="I570" s="28">
        <f>+K568</f>
        <v>0</v>
      </c>
      <c r="J570" s="1295"/>
      <c r="K570" s="28"/>
      <c r="L570" s="531">
        <f t="shared" si="354"/>
        <v>0</v>
      </c>
      <c r="M570" s="35"/>
      <c r="N570" s="920"/>
      <c r="O570" s="35"/>
      <c r="P570" s="1275"/>
      <c r="Q570" s="795"/>
      <c r="R570" s="785">
        <f>IFERROR(VLOOKUP($Q570,'391'!$P:$W,8,0),"")</f>
        <v>0</v>
      </c>
      <c r="S570" s="796"/>
      <c r="T570" s="797"/>
      <c r="U570" s="797"/>
      <c r="V570" s="797"/>
      <c r="W570" s="802">
        <f>IFERROR(VLOOKUP($Q570,'391'!$P:$AG,15,0),0)</f>
        <v>0</v>
      </c>
      <c r="X570" s="799">
        <f t="shared" si="352"/>
        <v>0</v>
      </c>
      <c r="Y570" s="797"/>
      <c r="Z570" s="785"/>
      <c r="AA570" s="797"/>
      <c r="AB570" s="797"/>
      <c r="AC570" s="683"/>
      <c r="AD570" s="683"/>
      <c r="AE570" s="683"/>
      <c r="AF570" s="683"/>
      <c r="AG570" s="683"/>
      <c r="AH570" s="683"/>
      <c r="AI570" s="705"/>
      <c r="AJ570" s="705"/>
      <c r="AK570" s="705"/>
      <c r="AL570" s="705"/>
      <c r="AM570" s="705"/>
      <c r="AN570" s="705"/>
      <c r="AO570" s="705"/>
      <c r="AP570" s="705"/>
      <c r="AQ570" s="705"/>
      <c r="AR570" s="705"/>
      <c r="AS570" s="705"/>
    </row>
    <row r="571" spans="1:45" s="265" customFormat="1" ht="30" customHeight="1" x14ac:dyDescent="0.25">
      <c r="A571" s="184"/>
      <c r="B571" s="184"/>
      <c r="C571" s="575"/>
      <c r="D571" s="900"/>
      <c r="E571" s="901"/>
      <c r="F571" s="902"/>
      <c r="G571" s="1336">
        <v>60000</v>
      </c>
      <c r="H571" s="1336">
        <f>+SUM(H568:H570)</f>
        <v>0</v>
      </c>
      <c r="I571" s="1336">
        <f t="shared" ref="I571:J571" si="358">+SUM(I568:I570)</f>
        <v>0</v>
      </c>
      <c r="J571" s="1336">
        <f t="shared" si="358"/>
        <v>0</v>
      </c>
      <c r="K571" s="1336">
        <f>+SUM(K568:K570)</f>
        <v>0</v>
      </c>
      <c r="L571" s="1336">
        <f>+SUM(L568:L570)</f>
        <v>60000</v>
      </c>
      <c r="M571" s="59"/>
      <c r="N571" s="366">
        <f>IFERROR(L571/M571,0)</f>
        <v>0</v>
      </c>
      <c r="O571" s="59">
        <f>IFERROR(SUMIF(ETM!$A:$A,$Q571,ETM!$E:$E),"")</f>
        <v>0</v>
      </c>
      <c r="P571" s="855">
        <f>IFERROR(L571/O571,0)</f>
        <v>0</v>
      </c>
      <c r="Q571" s="795" t="s">
        <v>2210</v>
      </c>
      <c r="R571" s="785" t="str">
        <f>IFERROR(VLOOKUP($Q571,'391'!$P:$W,8,0),"")</f>
        <v/>
      </c>
      <c r="S571" s="796"/>
      <c r="T571" s="797"/>
      <c r="U571" s="797"/>
      <c r="V571" s="797"/>
      <c r="W571" s="802">
        <f>IFERROR(VLOOKUP($Q571,'391'!$P:$AG,15,0),0)</f>
        <v>0</v>
      </c>
      <c r="X571" s="799">
        <f t="shared" si="352"/>
        <v>60000</v>
      </c>
      <c r="Y571" s="797"/>
      <c r="Z571" s="785"/>
      <c r="AA571" s="797"/>
      <c r="AB571" s="797"/>
      <c r="AC571" s="551"/>
      <c r="AD571" s="551"/>
      <c r="AE571" s="551"/>
      <c r="AF571" s="551"/>
      <c r="AG571" s="551"/>
      <c r="AH571" s="551"/>
      <c r="AI571" s="704"/>
      <c r="AJ571" s="704"/>
      <c r="AK571" s="704"/>
      <c r="AL571" s="704"/>
      <c r="AM571" s="704"/>
      <c r="AN571" s="704"/>
      <c r="AO571" s="704"/>
      <c r="AP571" s="704"/>
      <c r="AQ571" s="704"/>
      <c r="AR571" s="704"/>
      <c r="AS571" s="704"/>
    </row>
    <row r="572" spans="1:45" ht="30" hidden="1" customHeight="1" x14ac:dyDescent="0.25">
      <c r="A572" s="2076">
        <f>IF(L578=0,"",MAX($A$16:A571)+1)</f>
        <v>29</v>
      </c>
      <c r="B572" s="2046" t="s">
        <v>91</v>
      </c>
      <c r="C572" s="160"/>
      <c r="D572" s="936" t="s">
        <v>10</v>
      </c>
      <c r="E572" s="937">
        <v>45906</v>
      </c>
      <c r="F572" s="71">
        <f t="shared" ref="F572:F573" si="359">$L$7-E572</f>
        <v>355</v>
      </c>
      <c r="G572" s="311">
        <v>0</v>
      </c>
      <c r="H572" s="305"/>
      <c r="I572" s="305"/>
      <c r="J572" s="1335"/>
      <c r="K572" s="1846"/>
      <c r="L572" s="1670">
        <f>+G572+H572+I572-J572-K572</f>
        <v>0</v>
      </c>
      <c r="M572" s="50"/>
      <c r="N572" s="1468"/>
      <c r="O572" s="1452"/>
      <c r="P572" s="1479"/>
      <c r="Q572" s="795"/>
      <c r="R572" s="785">
        <f>IFERROR(VLOOKUP($Q572,'391'!$P:$W,8,0),"")</f>
        <v>0</v>
      </c>
      <c r="U572" s="787"/>
      <c r="V572" s="787"/>
      <c r="W572" s="802">
        <f>IFERROR(VLOOKUP($Q572,'391'!$P:$AG,15,0),0)</f>
        <v>0</v>
      </c>
      <c r="X572" s="799">
        <f t="shared" si="352"/>
        <v>0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3"/>
      <c r="B573" s="2068"/>
      <c r="C573" s="160"/>
      <c r="D573" s="936" t="s">
        <v>10</v>
      </c>
      <c r="E573" s="937">
        <v>45918</v>
      </c>
      <c r="F573" s="71">
        <f t="shared" si="359"/>
        <v>343</v>
      </c>
      <c r="G573" s="311">
        <v>0</v>
      </c>
      <c r="H573" s="305"/>
      <c r="I573" s="305"/>
      <c r="J573" s="1335"/>
      <c r="K573" s="1865"/>
      <c r="L573" s="1670">
        <f>+G573+H573+I573-J573-K573</f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U573" s="787"/>
      <c r="V573" s="787"/>
      <c r="W573" s="802">
        <f>IFERROR(VLOOKUP($Q573,'391'!$P:$AG,15,0),0)</f>
        <v>0</v>
      </c>
      <c r="X573" s="799">
        <f t="shared" si="352"/>
        <v>0</v>
      </c>
      <c r="Y573" s="787"/>
      <c r="Z573" s="791"/>
      <c r="AA573" s="787"/>
      <c r="AB573" s="787"/>
      <c r="AC573" s="679"/>
    </row>
    <row r="574" spans="1:45" ht="31.5" hidden="1" customHeight="1" x14ac:dyDescent="0.25">
      <c r="A574" s="2073"/>
      <c r="B574" s="2068"/>
      <c r="C574" s="160"/>
      <c r="D574" s="936" t="s">
        <v>10</v>
      </c>
      <c r="E574" s="937">
        <v>46112</v>
      </c>
      <c r="F574" s="71">
        <f t="shared" ref="F574:F575" si="360">$L$7-E574</f>
        <v>149</v>
      </c>
      <c r="G574" s="1882">
        <v>0</v>
      </c>
      <c r="H574" s="1883"/>
      <c r="I574" s="1884"/>
      <c r="J574" s="1885"/>
      <c r="K574" s="12">
        <f>IFERROR(SUMIF(INTAKE!$A:$A,$T574,INTAKE!$P:$P),0)</f>
        <v>0</v>
      </c>
      <c r="L574" s="1886">
        <f t="shared" ref="L574" si="361">+G574+H574+I574-J574-K574</f>
        <v>0</v>
      </c>
      <c r="M574" s="48"/>
      <c r="N574" s="249"/>
      <c r="O574" s="101"/>
      <c r="P574" s="1480"/>
      <c r="Q574" s="795"/>
      <c r="R574" s="785">
        <f>IFERROR(VLOOKUP($Q574,'391'!$P:$W,8,0),"")</f>
        <v>0</v>
      </c>
      <c r="T574" s="787" t="str">
        <f>$Q$577&amp;C574&amp;E574</f>
        <v>Salt46112</v>
      </c>
      <c r="U574" s="787"/>
      <c r="V574" s="787"/>
      <c r="W574" s="802">
        <f>IFERROR(VLOOKUP($Q574,'391'!$P:$AG,15,0),0)</f>
        <v>0</v>
      </c>
      <c r="X574" s="799">
        <f t="shared" si="352"/>
        <v>0</v>
      </c>
      <c r="Y574" s="787"/>
      <c r="Z574" s="791"/>
      <c r="AA574" s="787"/>
      <c r="AB574" s="787"/>
      <c r="AC574" s="679"/>
    </row>
    <row r="575" spans="1:45" ht="30" customHeight="1" x14ac:dyDescent="0.25">
      <c r="A575" s="2073"/>
      <c r="B575" s="2068"/>
      <c r="C575" s="160" t="s">
        <v>2122</v>
      </c>
      <c r="D575" s="936" t="s">
        <v>10</v>
      </c>
      <c r="E575" s="937">
        <v>46255</v>
      </c>
      <c r="F575" s="71">
        <f t="shared" si="360"/>
        <v>6</v>
      </c>
      <c r="G575" s="1882">
        <v>23680.199999999997</v>
      </c>
      <c r="H575" s="1883"/>
      <c r="I575" s="1884"/>
      <c r="J575" s="1885"/>
      <c r="K575" s="12">
        <f>IFERROR(SUMIF(INTAKE!$A:$A,$T575,INTAKE!$P:$P),0)</f>
        <v>6314.4000000000005</v>
      </c>
      <c r="L575" s="1886">
        <f t="shared" si="354"/>
        <v>17365.799999999996</v>
      </c>
      <c r="M575" s="48"/>
      <c r="N575" s="249"/>
      <c r="O575" s="101"/>
      <c r="P575" s="1480"/>
      <c r="Q575" s="795"/>
      <c r="R575" s="785">
        <f>IFERROR(VLOOKUP($Q575,'391'!$P:$W,8,0),"")</f>
        <v>0</v>
      </c>
      <c r="T575" s="787" t="str">
        <f>$Q$577&amp;C575&amp;E575</f>
        <v>SaltB12.246255</v>
      </c>
      <c r="U575" s="787"/>
      <c r="V575" s="787"/>
      <c r="W575" s="802">
        <f>IFERROR(VLOOKUP($Q575,'391'!$P:$AG,15,0),0)</f>
        <v>0</v>
      </c>
      <c r="X575" s="799">
        <f t="shared" si="352"/>
        <v>23680.199999999997</v>
      </c>
      <c r="Y575" s="787"/>
      <c r="Z575" s="791"/>
      <c r="AA575" s="787"/>
      <c r="AB575" s="787"/>
      <c r="AC575" s="679"/>
    </row>
    <row r="576" spans="1:45" ht="30" hidden="1" customHeight="1" x14ac:dyDescent="0.25">
      <c r="A576" s="2073"/>
      <c r="B576" s="2068"/>
      <c r="C576" s="160"/>
      <c r="D576" s="936" t="s">
        <v>10</v>
      </c>
      <c r="E576" s="937">
        <v>46255</v>
      </c>
      <c r="F576" s="71">
        <f t="shared" ref="F576:F577" si="362">$L$7-E576</f>
        <v>6</v>
      </c>
      <c r="G576" s="1882">
        <v>0</v>
      </c>
      <c r="H576" s="1883"/>
      <c r="I576" s="1884"/>
      <c r="J576" s="1885"/>
      <c r="K576" s="12">
        <f>IFERROR(SUMIF(INTAKE!$A:$A,$T576,INTAKE!$P:$P),0)</f>
        <v>0</v>
      </c>
      <c r="L576" s="1886">
        <f t="shared" si="354"/>
        <v>0</v>
      </c>
      <c r="M576" s="48"/>
      <c r="N576" s="249"/>
      <c r="O576" s="101"/>
      <c r="P576" s="1480"/>
      <c r="Q576" s="795"/>
      <c r="R576" s="785">
        <f>IFERROR(VLOOKUP($Q576,'391'!$P:$W,8,0),"")</f>
        <v>0</v>
      </c>
      <c r="T576" s="787" t="str">
        <f>$Q$577&amp;C576&amp;E576</f>
        <v>Salt46255</v>
      </c>
      <c r="U576" s="787"/>
      <c r="V576" s="787"/>
      <c r="W576" s="802">
        <f>IFERROR(VLOOKUP($Q576,'391'!$P:$AG,15,0),0)</f>
        <v>0</v>
      </c>
      <c r="X576" s="799">
        <f t="shared" si="352"/>
        <v>0</v>
      </c>
      <c r="Y576" s="787"/>
      <c r="Z576" s="791"/>
      <c r="AA576" s="787"/>
      <c r="AB576" s="787"/>
      <c r="AC576" s="679"/>
    </row>
    <row r="577" spans="1:45" ht="30" customHeight="1" x14ac:dyDescent="0.25">
      <c r="A577" s="2073"/>
      <c r="B577" s="2047"/>
      <c r="C577" s="97" t="s">
        <v>1860</v>
      </c>
      <c r="D577" s="884" t="s">
        <v>10</v>
      </c>
      <c r="E577" s="885">
        <v>46255</v>
      </c>
      <c r="F577" s="938">
        <f t="shared" si="362"/>
        <v>6</v>
      </c>
      <c r="G577" s="1888">
        <v>7084.8000000000138</v>
      </c>
      <c r="H577" s="1888"/>
      <c r="I577" s="1888">
        <f>+SUM(K572:K576)</f>
        <v>6314.4000000000005</v>
      </c>
      <c r="J577" s="1889">
        <f>usage!I53</f>
        <v>5768</v>
      </c>
      <c r="K577" s="1890"/>
      <c r="L577" s="1887">
        <f t="shared" si="354"/>
        <v>7631.2000000000153</v>
      </c>
      <c r="M577" s="48"/>
      <c r="N577" s="249"/>
      <c r="O577" s="48"/>
      <c r="P577" s="750"/>
      <c r="Q577" s="795" t="s">
        <v>1586</v>
      </c>
      <c r="R577" s="785" t="str">
        <f>IFERROR(VLOOKUP($Q577,'391'!$P:$W,8,0),"")</f>
        <v/>
      </c>
      <c r="U577" s="787"/>
      <c r="V577" s="787"/>
      <c r="W577" s="802">
        <f>IFERROR(VLOOKUP($Q577,'391'!$P:$AG,15,0),0)</f>
        <v>0</v>
      </c>
      <c r="X577" s="799">
        <f t="shared" si="352"/>
        <v>7084.8000000000138</v>
      </c>
      <c r="Y577" s="787"/>
      <c r="Z577" s="791"/>
      <c r="AA577" s="787"/>
      <c r="AB577" s="787"/>
      <c r="AC577" s="679"/>
    </row>
    <row r="578" spans="1:45" s="402" customFormat="1" ht="30" customHeight="1" x14ac:dyDescent="0.25">
      <c r="A578" s="2022" t="s">
        <v>115</v>
      </c>
      <c r="B578" s="2023"/>
      <c r="C578" s="88"/>
      <c r="D578" s="864"/>
      <c r="E578" s="939"/>
      <c r="F578" s="865"/>
      <c r="G578" s="1296">
        <v>30765.000000000011</v>
      </c>
      <c r="H578" s="1296">
        <f>SUM(H572:H577)</f>
        <v>0</v>
      </c>
      <c r="I578" s="1296">
        <f>SUM(I572:I577)</f>
        <v>6314.4000000000005</v>
      </c>
      <c r="J578" s="1296">
        <f>SUM(J572:J577)</f>
        <v>5768</v>
      </c>
      <c r="K578" s="1296">
        <f>SUM(K572:K577)</f>
        <v>6314.4000000000005</v>
      </c>
      <c r="L578" s="1296">
        <f>SUM(L572:L577)</f>
        <v>24997.000000000011</v>
      </c>
      <c r="M578" s="59">
        <f>IFERROR((R578/$S$2),"")</f>
        <v>5536.5</v>
      </c>
      <c r="N578" s="854">
        <f>(L578/M578)</f>
        <v>4.5149462656913233</v>
      </c>
      <c r="O578" s="59">
        <f>IFERROR(SUMIF(ETM!$A:$A,$Q578,ETM!$E:$E),"")</f>
        <v>6295.666666666667</v>
      </c>
      <c r="P578" s="880">
        <f>(L578/O578)</f>
        <v>3.9705088155874426</v>
      </c>
      <c r="Q578" s="795" t="s">
        <v>825</v>
      </c>
      <c r="R578" s="785">
        <f>IFERROR(VLOOKUP($Q578,'391'!$P:$W,8,0),"")</f>
        <v>33219</v>
      </c>
      <c r="S578" s="796"/>
      <c r="T578" s="797"/>
      <c r="U578" s="797"/>
      <c r="V578" s="797"/>
      <c r="W578" s="802">
        <f>IFERROR(VLOOKUP($Q578,'391'!$P:$AG,15,0),0)</f>
        <v>47272</v>
      </c>
      <c r="X578" s="799">
        <f t="shared" si="352"/>
        <v>-16506.999999999989</v>
      </c>
      <c r="Y578" s="797"/>
      <c r="Z578" s="785"/>
      <c r="AA578" s="797"/>
      <c r="AB578" s="797"/>
      <c r="AC578" s="551"/>
      <c r="AD578" s="551"/>
      <c r="AE578" s="551"/>
      <c r="AF578" s="551"/>
      <c r="AG578" s="551"/>
      <c r="AH578" s="551"/>
      <c r="AI578" s="704"/>
      <c r="AJ578" s="704"/>
      <c r="AK578" s="704"/>
      <c r="AL578" s="704"/>
      <c r="AM578" s="704"/>
      <c r="AN578" s="704"/>
      <c r="AO578" s="704"/>
      <c r="AP578" s="704"/>
      <c r="AQ578" s="704"/>
      <c r="AR578" s="704"/>
      <c r="AS578" s="704"/>
    </row>
    <row r="579" spans="1:45" ht="30" hidden="1" customHeight="1" x14ac:dyDescent="0.25">
      <c r="A579" s="2066" t="str">
        <f>IF(L582=0,"",MAX($A$16:A578)+1)</f>
        <v/>
      </c>
      <c r="B579" s="2027" t="s">
        <v>1230</v>
      </c>
      <c r="C579" s="117" t="s">
        <v>481</v>
      </c>
      <c r="D579" s="940" t="s">
        <v>10</v>
      </c>
      <c r="E579" s="941">
        <v>44916</v>
      </c>
      <c r="F579" s="942">
        <f>$L$7-E579</f>
        <v>1345</v>
      </c>
      <c r="G579" s="314">
        <v>0</v>
      </c>
      <c r="H579" s="314"/>
      <c r="I579" s="314"/>
      <c r="J579" s="1359">
        <f>usage!I54</f>
        <v>0</v>
      </c>
      <c r="K579" s="308"/>
      <c r="L579" s="531">
        <f t="shared" ref="L579:L601" si="363">+G579+H579+I579-J579-K579</f>
        <v>0</v>
      </c>
      <c r="M579" s="51"/>
      <c r="N579" s="95"/>
      <c r="O579" s="51"/>
      <c r="P579" s="857"/>
      <c r="Q579" s="795"/>
      <c r="R579" s="785">
        <f>IFERROR(VLOOKUP($Q579,'391'!$P:$W,8,0),"")</f>
        <v>0</v>
      </c>
      <c r="U579" s="787"/>
      <c r="V579" s="787"/>
      <c r="W579" s="802">
        <f>IFERROR(VLOOKUP($Q579,'391'!$P:$AG,15,0),0)</f>
        <v>0</v>
      </c>
      <c r="X579" s="799">
        <f t="shared" si="352"/>
        <v>0</v>
      </c>
      <c r="Y579" s="787"/>
      <c r="Z579" s="791"/>
      <c r="AA579" s="787"/>
      <c r="AB579" s="787"/>
      <c r="AC579" s="679"/>
    </row>
    <row r="580" spans="1:45" ht="30" hidden="1" customHeight="1" x14ac:dyDescent="0.25">
      <c r="A580" s="2081"/>
      <c r="B580" s="2110"/>
      <c r="C580" s="109"/>
      <c r="D580" s="850" t="s">
        <v>10</v>
      </c>
      <c r="E580" s="851"/>
      <c r="F580" s="942">
        <f>$L$7-E580</f>
        <v>46261</v>
      </c>
      <c r="G580" s="36">
        <v>0</v>
      </c>
      <c r="H580" s="36"/>
      <c r="I580" s="36"/>
      <c r="J580" s="1294"/>
      <c r="K580" s="36"/>
      <c r="L580" s="531">
        <f t="shared" si="363"/>
        <v>0</v>
      </c>
      <c r="M580" s="51"/>
      <c r="N580" s="953"/>
      <c r="O580" s="51"/>
      <c r="P580" s="954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2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67"/>
      <c r="B581" s="2029"/>
      <c r="C581" s="61" t="s">
        <v>158</v>
      </c>
      <c r="D581" s="850" t="s">
        <v>10</v>
      </c>
      <c r="E581" s="851">
        <v>44916</v>
      </c>
      <c r="F581" s="39">
        <f>$L$7-E581</f>
        <v>1345</v>
      </c>
      <c r="G581" s="28">
        <v>0</v>
      </c>
      <c r="H581" s="28"/>
      <c r="I581" s="28">
        <f>K579</f>
        <v>0</v>
      </c>
      <c r="J581" s="28">
        <f>usage!I52</f>
        <v>0</v>
      </c>
      <c r="K581" s="1360"/>
      <c r="L581" s="531">
        <f t="shared" si="363"/>
        <v>0</v>
      </c>
      <c r="M581" s="1234"/>
      <c r="N581" s="1469"/>
      <c r="O581" s="1235"/>
      <c r="P581" s="957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2"/>
        <v>0</v>
      </c>
      <c r="Y581" s="787"/>
      <c r="Z581" s="791"/>
      <c r="AA581" s="787"/>
      <c r="AB581" s="787"/>
      <c r="AC581" s="679"/>
    </row>
    <row r="582" spans="1:45" s="402" customFormat="1" ht="30" hidden="1" customHeight="1" x14ac:dyDescent="0.25">
      <c r="A582" s="2022" t="s">
        <v>1231</v>
      </c>
      <c r="B582" s="2023"/>
      <c r="C582" s="88"/>
      <c r="D582" s="864"/>
      <c r="E582" s="864"/>
      <c r="F582" s="865"/>
      <c r="G582" s="1296">
        <v>0</v>
      </c>
      <c r="H582" s="1296">
        <f t="shared" ref="H582:K582" si="364">+SUM(H579:H581)</f>
        <v>0</v>
      </c>
      <c r="I582" s="1296">
        <f t="shared" si="364"/>
        <v>0</v>
      </c>
      <c r="J582" s="1296">
        <f t="shared" si="364"/>
        <v>0</v>
      </c>
      <c r="K582" s="1296">
        <f t="shared" si="364"/>
        <v>0</v>
      </c>
      <c r="L582" s="531">
        <f t="shared" si="363"/>
        <v>0</v>
      </c>
      <c r="M582" s="59" t="str">
        <f>IFERROR((R582/$S$2),"")</f>
        <v/>
      </c>
      <c r="N582" s="854">
        <f>IFERROR(L582/M582,0)</f>
        <v>0</v>
      </c>
      <c r="O582" s="59">
        <f>IFERROR(SUMIF(ETM!$A:$A,$Q582,ETM!$E:$E),"")</f>
        <v>0</v>
      </c>
      <c r="P582" s="1236">
        <f>IFERROR(L582/O582,0)</f>
        <v>0</v>
      </c>
      <c r="Q582" s="795" t="s">
        <v>1233</v>
      </c>
      <c r="R582" s="785" t="str">
        <f>IFERROR(VLOOKUP($Q582,'391'!$P:$W,8,0),"")</f>
        <v/>
      </c>
      <c r="S582" s="796"/>
      <c r="T582" s="797"/>
      <c r="U582" s="797"/>
      <c r="V582" s="797"/>
      <c r="W582" s="802">
        <f>IFERROR(VLOOKUP($Q582,'391'!$P:$AG,15,0),0)</f>
        <v>0</v>
      </c>
      <c r="X582" s="799">
        <f t="shared" si="352"/>
        <v>0</v>
      </c>
      <c r="Y582" s="797"/>
      <c r="Z582" s="785"/>
      <c r="AA582" s="797"/>
      <c r="AB582" s="797"/>
      <c r="AC582" s="551"/>
      <c r="AD582" s="551"/>
      <c r="AE582" s="551"/>
      <c r="AF582" s="551"/>
      <c r="AG582" s="551"/>
      <c r="AH582" s="551"/>
      <c r="AI582" s="704"/>
      <c r="AJ582" s="704"/>
      <c r="AK582" s="704"/>
      <c r="AL582" s="704"/>
      <c r="AM582" s="704"/>
      <c r="AN582" s="704"/>
      <c r="AO582" s="704"/>
      <c r="AP582" s="704"/>
      <c r="AQ582" s="704"/>
      <c r="AR582" s="704"/>
      <c r="AS582" s="704"/>
    </row>
    <row r="583" spans="1:45" ht="30" hidden="1" customHeight="1" x14ac:dyDescent="0.25">
      <c r="A583" s="2066" t="str">
        <f>IF(L586=0,"",MAX($A$16:A582)+1)</f>
        <v/>
      </c>
      <c r="B583" s="2027" t="s">
        <v>1253</v>
      </c>
      <c r="C583" s="160" t="s">
        <v>1190</v>
      </c>
      <c r="D583" s="936" t="s">
        <v>10</v>
      </c>
      <c r="E583" s="937">
        <v>44959</v>
      </c>
      <c r="F583" s="71">
        <f>$L$7-E583</f>
        <v>1302</v>
      </c>
      <c r="G583" s="311">
        <v>0</v>
      </c>
      <c r="H583" s="314"/>
      <c r="I583" s="314"/>
      <c r="J583" s="1359"/>
      <c r="K583" s="308"/>
      <c r="L583" s="531">
        <f t="shared" si="363"/>
        <v>0</v>
      </c>
      <c r="M583" s="51"/>
      <c r="N583" s="95"/>
      <c r="O583" s="51"/>
      <c r="P583" s="857"/>
      <c r="Q583" s="795"/>
      <c r="R583" s="785">
        <f>IFERROR(VLOOKUP($Q583,'391'!$P:$W,8,0),"")</f>
        <v>0</v>
      </c>
      <c r="U583" s="787"/>
      <c r="V583" s="787"/>
      <c r="W583" s="802">
        <f>IFERROR(VLOOKUP($Q583,'391'!$P:$AG,15,0),0)</f>
        <v>0</v>
      </c>
      <c r="X583" s="799">
        <f t="shared" si="352"/>
        <v>0</v>
      </c>
      <c r="Y583" s="787"/>
      <c r="Z583" s="791"/>
      <c r="AA583" s="787"/>
      <c r="AB583" s="787"/>
      <c r="AC583" s="679"/>
    </row>
    <row r="584" spans="1:45" ht="30" hidden="1" customHeight="1" x14ac:dyDescent="0.25">
      <c r="A584" s="2081"/>
      <c r="B584" s="2110"/>
      <c r="C584" s="109"/>
      <c r="D584" s="850" t="s">
        <v>10</v>
      </c>
      <c r="E584" s="851"/>
      <c r="F584" s="942">
        <f>$L$7-E584</f>
        <v>46261</v>
      </c>
      <c r="G584" s="36">
        <v>0</v>
      </c>
      <c r="H584" s="36"/>
      <c r="I584" s="36"/>
      <c r="J584" s="1294"/>
      <c r="K584" s="36"/>
      <c r="L584" s="531">
        <f t="shared" si="363"/>
        <v>0</v>
      </c>
      <c r="M584" s="51"/>
      <c r="N584" s="953"/>
      <c r="O584" s="51"/>
      <c r="P584" s="954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2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67"/>
      <c r="B585" s="2029"/>
      <c r="C585" s="61" t="s">
        <v>158</v>
      </c>
      <c r="D585" s="850" t="s">
        <v>10</v>
      </c>
      <c r="E585" s="851">
        <v>44959</v>
      </c>
      <c r="F585" s="39">
        <f>$L$7-E585</f>
        <v>1302</v>
      </c>
      <c r="G585" s="28">
        <v>0</v>
      </c>
      <c r="H585" s="28"/>
      <c r="I585" s="28">
        <f>K583</f>
        <v>0</v>
      </c>
      <c r="J585" s="28">
        <f>usage!I62</f>
        <v>0</v>
      </c>
      <c r="K585" s="1360"/>
      <c r="L585" s="531">
        <f t="shared" si="363"/>
        <v>0</v>
      </c>
      <c r="M585" s="1234"/>
      <c r="N585" s="1469"/>
      <c r="O585" s="1235"/>
      <c r="P585" s="957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2"/>
        <v>0</v>
      </c>
      <c r="Y585" s="787"/>
      <c r="Z585" s="791"/>
      <c r="AA585" s="787"/>
      <c r="AB585" s="787"/>
      <c r="AC585" s="679"/>
    </row>
    <row r="586" spans="1:45" s="402" customFormat="1" ht="30" hidden="1" customHeight="1" x14ac:dyDescent="0.25">
      <c r="A586" s="2022" t="s">
        <v>1254</v>
      </c>
      <c r="B586" s="2023"/>
      <c r="C586" s="88"/>
      <c r="D586" s="864"/>
      <c r="E586" s="864"/>
      <c r="F586" s="865"/>
      <c r="G586" s="1296">
        <v>0</v>
      </c>
      <c r="H586" s="1296">
        <f t="shared" ref="H586:K586" si="365">+SUM(H583:H585)</f>
        <v>0</v>
      </c>
      <c r="I586" s="1296">
        <f t="shared" si="365"/>
        <v>0</v>
      </c>
      <c r="J586" s="1296">
        <f t="shared" si="365"/>
        <v>0</v>
      </c>
      <c r="K586" s="1296">
        <f t="shared" si="365"/>
        <v>0</v>
      </c>
      <c r="L586" s="531">
        <f t="shared" si="363"/>
        <v>0</v>
      </c>
      <c r="M586" s="59" t="str">
        <f>IFERROR((R586/$S$2),"")</f>
        <v/>
      </c>
      <c r="N586" s="854">
        <f>IFERROR(L586/M586,0)</f>
        <v>0</v>
      </c>
      <c r="O586" s="59">
        <f>IFERROR(SUMIF(ETM!$A:$A,$Q586,ETM!$E:$E),"")</f>
        <v>0</v>
      </c>
      <c r="P586" s="1236">
        <f>IFERROR(L586/O586,0)</f>
        <v>0</v>
      </c>
      <c r="Q586" s="795" t="s">
        <v>1259</v>
      </c>
      <c r="R586" s="785" t="str">
        <f>IFERROR(VLOOKUP($Q586,'391'!$P:$W,8,0),"")</f>
        <v/>
      </c>
      <c r="S586" s="796"/>
      <c r="T586" s="797"/>
      <c r="U586" s="797"/>
      <c r="V586" s="797"/>
      <c r="W586" s="802">
        <f>IFERROR(VLOOKUP($Q586,'391'!$P:$AG,15,0),0)</f>
        <v>0</v>
      </c>
      <c r="X586" s="799">
        <f t="shared" si="352"/>
        <v>0</v>
      </c>
      <c r="Y586" s="797"/>
      <c r="Z586" s="785"/>
      <c r="AA586" s="797"/>
      <c r="AB586" s="797"/>
      <c r="AC586" s="551"/>
      <c r="AD586" s="551"/>
      <c r="AE586" s="551"/>
      <c r="AF586" s="551"/>
      <c r="AG586" s="551"/>
      <c r="AH586" s="551"/>
      <c r="AI586" s="704"/>
      <c r="AJ586" s="704"/>
      <c r="AK586" s="704"/>
      <c r="AL586" s="704"/>
      <c r="AM586" s="704"/>
      <c r="AN586" s="704"/>
      <c r="AO586" s="704"/>
      <c r="AP586" s="704"/>
      <c r="AQ586" s="704"/>
      <c r="AR586" s="704"/>
      <c r="AS586" s="704"/>
    </row>
    <row r="587" spans="1:45" ht="30" hidden="1" customHeight="1" x14ac:dyDescent="0.25">
      <c r="A587" s="2066" t="str">
        <f>IF(L590=0,"",MAX($A$16:A586)+1)</f>
        <v/>
      </c>
      <c r="B587" s="2027" t="s">
        <v>1280</v>
      </c>
      <c r="C587" s="1249" t="s">
        <v>1303</v>
      </c>
      <c r="D587" s="1250" t="s">
        <v>10</v>
      </c>
      <c r="E587" s="1251">
        <v>45146</v>
      </c>
      <c r="F587" s="1252">
        <f>$L$7-E587</f>
        <v>1115</v>
      </c>
      <c r="G587" s="1253">
        <v>0</v>
      </c>
      <c r="H587" s="1253"/>
      <c r="I587" s="1253"/>
      <c r="J587" s="1361"/>
      <c r="K587" s="247"/>
      <c r="L587" s="531">
        <f t="shared" si="363"/>
        <v>0</v>
      </c>
      <c r="M587" s="51"/>
      <c r="N587" s="95"/>
      <c r="O587" s="51"/>
      <c r="P587" s="857"/>
      <c r="Q587" s="795"/>
      <c r="R587" s="785">
        <f>IFERROR(VLOOKUP($Q587,'391'!$P:$W,8,0),"")</f>
        <v>0</v>
      </c>
      <c r="U587" s="787"/>
      <c r="V587" s="787"/>
      <c r="W587" s="802">
        <f>IFERROR(VLOOKUP($Q587,'391'!$P:$AG,15,0),0)</f>
        <v>0</v>
      </c>
      <c r="X587" s="799">
        <f t="shared" si="352"/>
        <v>0</v>
      </c>
      <c r="Y587" s="787"/>
      <c r="Z587" s="791"/>
      <c r="AA587" s="787"/>
      <c r="AB587" s="787"/>
      <c r="AC587" s="679"/>
    </row>
    <row r="588" spans="1:45" ht="30" hidden="1" customHeight="1" x14ac:dyDescent="0.25">
      <c r="A588" s="2081"/>
      <c r="B588" s="2110"/>
      <c r="C588" s="109"/>
      <c r="D588" s="850" t="s">
        <v>10</v>
      </c>
      <c r="E588" s="851"/>
      <c r="F588" s="942">
        <f>$L$7-E588</f>
        <v>46261</v>
      </c>
      <c r="G588" s="36">
        <v>0</v>
      </c>
      <c r="H588" s="36"/>
      <c r="I588" s="36"/>
      <c r="J588" s="1294"/>
      <c r="K588" s="36"/>
      <c r="L588" s="531">
        <f t="shared" si="363"/>
        <v>0</v>
      </c>
      <c r="M588" s="51"/>
      <c r="N588" s="953"/>
      <c r="O588" s="51"/>
      <c r="P588" s="954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52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67"/>
      <c r="B589" s="2029"/>
      <c r="C589" s="61" t="s">
        <v>1300</v>
      </c>
      <c r="D589" s="850" t="s">
        <v>10</v>
      </c>
      <c r="E589" s="851">
        <v>45146</v>
      </c>
      <c r="F589" s="39">
        <f>$L$7-E589</f>
        <v>1115</v>
      </c>
      <c r="G589" s="28">
        <v>0</v>
      </c>
      <c r="H589" s="28"/>
      <c r="I589" s="28">
        <f>K587</f>
        <v>0</v>
      </c>
      <c r="J589" s="28">
        <f>usage!I61</f>
        <v>0</v>
      </c>
      <c r="K589" s="1360"/>
      <c r="L589" s="531">
        <f t="shared" si="363"/>
        <v>0</v>
      </c>
      <c r="M589" s="1234"/>
      <c r="N589" s="1469"/>
      <c r="O589" s="1235"/>
      <c r="P589" s="957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ref="X589:X620" si="366">G589-W589</f>
        <v>0</v>
      </c>
      <c r="Y589" s="787"/>
      <c r="Z589" s="791"/>
      <c r="AA589" s="787"/>
      <c r="AB589" s="787"/>
      <c r="AC589" s="679"/>
    </row>
    <row r="590" spans="1:45" s="402" customFormat="1" ht="30" hidden="1" customHeight="1" x14ac:dyDescent="0.25">
      <c r="A590" s="2022" t="s">
        <v>1281</v>
      </c>
      <c r="B590" s="2023"/>
      <c r="C590" s="88"/>
      <c r="D590" s="864"/>
      <c r="E590" s="864"/>
      <c r="F590" s="865"/>
      <c r="G590" s="1296">
        <v>0</v>
      </c>
      <c r="H590" s="1296">
        <f t="shared" ref="H590:K590" si="367">+SUM(H587:H589)</f>
        <v>0</v>
      </c>
      <c r="I590" s="1296">
        <f t="shared" si="367"/>
        <v>0</v>
      </c>
      <c r="J590" s="1296">
        <f t="shared" si="367"/>
        <v>0</v>
      </c>
      <c r="K590" s="1296">
        <f t="shared" si="367"/>
        <v>0</v>
      </c>
      <c r="L590" s="531">
        <f t="shared" si="363"/>
        <v>0</v>
      </c>
      <c r="M590" s="59" t="str">
        <f>IFERROR((R590/$S$2),"")</f>
        <v/>
      </c>
      <c r="N590" s="854">
        <f>IFERROR(L590/M590,0)</f>
        <v>0</v>
      </c>
      <c r="O590" s="59">
        <f>IFERROR(SUMIF(ETM!$A:$A,$Q590,ETM!$E:$E),"")</f>
        <v>0</v>
      </c>
      <c r="P590" s="1236">
        <f>IFERROR(L590/O590,0)</f>
        <v>0</v>
      </c>
      <c r="Q590" s="795" t="s">
        <v>1282</v>
      </c>
      <c r="R590" s="785" t="str">
        <f>IFERROR(VLOOKUP($Q590,'391'!$P:$W,8,0),"")</f>
        <v/>
      </c>
      <c r="S590" s="796"/>
      <c r="T590" s="797"/>
      <c r="U590" s="797"/>
      <c r="V590" s="797"/>
      <c r="W590" s="802">
        <f>IFERROR(VLOOKUP($Q590,'391'!$P:$AG,15,0),0)</f>
        <v>0</v>
      </c>
      <c r="X590" s="799">
        <f t="shared" si="366"/>
        <v>0</v>
      </c>
      <c r="Y590" s="797"/>
      <c r="Z590" s="785"/>
      <c r="AA590" s="797"/>
      <c r="AB590" s="797"/>
      <c r="AC590" s="551"/>
      <c r="AD590" s="551"/>
      <c r="AE590" s="551"/>
      <c r="AF590" s="551"/>
      <c r="AG590" s="551"/>
      <c r="AH590" s="551"/>
      <c r="AI590" s="704"/>
      <c r="AJ590" s="704"/>
      <c r="AK590" s="704"/>
      <c r="AL590" s="704"/>
      <c r="AM590" s="704"/>
      <c r="AN590" s="704"/>
      <c r="AO590" s="704"/>
      <c r="AP590" s="704"/>
      <c r="AQ590" s="704"/>
      <c r="AR590" s="704"/>
      <c r="AS590" s="704"/>
    </row>
    <row r="591" spans="1:45" ht="30" hidden="1" customHeight="1" x14ac:dyDescent="0.25">
      <c r="A591" s="2066" t="str">
        <f>IF(L594=0,"",MAX($A$16:A590)+1)</f>
        <v/>
      </c>
      <c r="B591" s="2027" t="s">
        <v>1284</v>
      </c>
      <c r="C591" s="160" t="s">
        <v>624</v>
      </c>
      <c r="D591" s="936" t="s">
        <v>10</v>
      </c>
      <c r="E591" s="937">
        <v>45009</v>
      </c>
      <c r="F591" s="71">
        <f>$L$7-E591</f>
        <v>1252</v>
      </c>
      <c r="G591" s="311">
        <v>0</v>
      </c>
      <c r="H591" s="314"/>
      <c r="I591" s="314"/>
      <c r="J591" s="1359"/>
      <c r="K591" s="308"/>
      <c r="L591" s="531">
        <f t="shared" si="363"/>
        <v>0</v>
      </c>
      <c r="M591" s="51"/>
      <c r="N591" s="95"/>
      <c r="O591" s="51"/>
      <c r="P591" s="857"/>
      <c r="Q591" s="795"/>
      <c r="R591" s="785">
        <f>IFERROR(VLOOKUP($Q591,'391'!$P:$W,8,0),"")</f>
        <v>0</v>
      </c>
      <c r="U591" s="787"/>
      <c r="V591" s="787"/>
      <c r="W591" s="802">
        <f>IFERROR(VLOOKUP($Q591,'391'!$P:$AG,15,0),0)</f>
        <v>0</v>
      </c>
      <c r="X591" s="799">
        <f t="shared" si="366"/>
        <v>0</v>
      </c>
      <c r="Y591" s="787"/>
      <c r="Z591" s="791"/>
      <c r="AA591" s="787"/>
      <c r="AB591" s="787"/>
      <c r="AC591" s="679"/>
    </row>
    <row r="592" spans="1:45" ht="30" hidden="1" customHeight="1" x14ac:dyDescent="0.25">
      <c r="A592" s="2081"/>
      <c r="B592" s="2110"/>
      <c r="C592" s="109"/>
      <c r="D592" s="850" t="s">
        <v>10</v>
      </c>
      <c r="E592" s="851"/>
      <c r="F592" s="942">
        <f>$L$7-E592</f>
        <v>46261</v>
      </c>
      <c r="G592" s="36">
        <v>0</v>
      </c>
      <c r="H592" s="36"/>
      <c r="I592" s="36"/>
      <c r="J592" s="1294"/>
      <c r="K592" s="36"/>
      <c r="L592" s="531">
        <f t="shared" si="363"/>
        <v>0</v>
      </c>
      <c r="M592" s="51"/>
      <c r="N592" s="953"/>
      <c r="O592" s="51"/>
      <c r="P592" s="954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6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67"/>
      <c r="B593" s="2029"/>
      <c r="C593" s="61" t="s">
        <v>158</v>
      </c>
      <c r="D593" s="850" t="s">
        <v>10</v>
      </c>
      <c r="E593" s="851">
        <v>45009</v>
      </c>
      <c r="F593" s="39">
        <f>$L$7-E593</f>
        <v>1252</v>
      </c>
      <c r="G593" s="28">
        <v>0</v>
      </c>
      <c r="H593" s="28"/>
      <c r="I593" s="28">
        <f>K591</f>
        <v>0</v>
      </c>
      <c r="J593" s="28">
        <f>usage!I60</f>
        <v>0</v>
      </c>
      <c r="K593" s="1360"/>
      <c r="L593" s="531">
        <f t="shared" si="363"/>
        <v>0</v>
      </c>
      <c r="M593" s="1234"/>
      <c r="N593" s="1469"/>
      <c r="O593" s="1235"/>
      <c r="P593" s="957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6"/>
        <v>0</v>
      </c>
      <c r="Y593" s="787"/>
      <c r="Z593" s="791"/>
      <c r="AA593" s="787"/>
      <c r="AB593" s="787"/>
      <c r="AC593" s="679"/>
    </row>
    <row r="594" spans="1:45" s="402" customFormat="1" ht="30" hidden="1" customHeight="1" x14ac:dyDescent="0.25">
      <c r="A594" s="2022" t="s">
        <v>1285</v>
      </c>
      <c r="B594" s="2023"/>
      <c r="C594" s="88"/>
      <c r="D594" s="864"/>
      <c r="E594" s="864"/>
      <c r="F594" s="865"/>
      <c r="G594" s="1296">
        <v>0</v>
      </c>
      <c r="H594" s="1296">
        <f t="shared" ref="H594:K594" si="368">+SUM(H591:H593)</f>
        <v>0</v>
      </c>
      <c r="I594" s="1296">
        <f t="shared" si="368"/>
        <v>0</v>
      </c>
      <c r="J594" s="1296">
        <f t="shared" si="368"/>
        <v>0</v>
      </c>
      <c r="K594" s="1296">
        <f t="shared" si="368"/>
        <v>0</v>
      </c>
      <c r="L594" s="531">
        <f t="shared" si="363"/>
        <v>0</v>
      </c>
      <c r="M594" s="59" t="str">
        <f>IFERROR((R594/$S$2),"")</f>
        <v/>
      </c>
      <c r="N594" s="854">
        <f>IFERROR(L594/M594,0)</f>
        <v>0</v>
      </c>
      <c r="O594" s="59">
        <f>IFERROR(SUMIF(ETM!$A:$A,$Q594,ETM!$E:$E),"")</f>
        <v>0</v>
      </c>
      <c r="P594" s="1236">
        <f>IFERROR(L594/O594,0)</f>
        <v>0</v>
      </c>
      <c r="Q594" s="795" t="s">
        <v>1288</v>
      </c>
      <c r="R594" s="785" t="str">
        <f>IFERROR(VLOOKUP($Q594,'391'!$P:$W,8,0),"")</f>
        <v/>
      </c>
      <c r="S594" s="796"/>
      <c r="T594" s="797"/>
      <c r="U594" s="797"/>
      <c r="V594" s="797"/>
      <c r="W594" s="802">
        <f>IFERROR(VLOOKUP($Q594,'391'!$P:$AG,15,0),0)</f>
        <v>0</v>
      </c>
      <c r="X594" s="1090">
        <f t="shared" si="366"/>
        <v>0</v>
      </c>
      <c r="Y594" s="797"/>
      <c r="Z594" s="785"/>
      <c r="AA594" s="797"/>
      <c r="AB594" s="797"/>
      <c r="AC594" s="551"/>
      <c r="AD594" s="551"/>
      <c r="AE594" s="551"/>
      <c r="AF594" s="551"/>
      <c r="AG594" s="551"/>
      <c r="AH594" s="551"/>
      <c r="AI594" s="704"/>
      <c r="AJ594" s="704"/>
      <c r="AK594" s="704"/>
      <c r="AL594" s="704"/>
      <c r="AM594" s="704"/>
      <c r="AN594" s="704"/>
      <c r="AO594" s="704"/>
      <c r="AP594" s="704"/>
      <c r="AQ594" s="704"/>
      <c r="AR594" s="704"/>
      <c r="AS594" s="704"/>
    </row>
    <row r="595" spans="1:45" ht="29.25" hidden="1" customHeight="1" x14ac:dyDescent="0.25">
      <c r="A595" s="2066" t="str">
        <f>IF(L598=0,"",MAX($A$16:A594)+1)</f>
        <v/>
      </c>
      <c r="B595" s="2027" t="s">
        <v>932</v>
      </c>
      <c r="C595" s="117" t="s">
        <v>286</v>
      </c>
      <c r="D595" s="940" t="s">
        <v>10</v>
      </c>
      <c r="E595" s="941">
        <v>44327</v>
      </c>
      <c r="F595" s="942">
        <f>$L$7-E595</f>
        <v>1934</v>
      </c>
      <c r="G595" s="314">
        <v>0</v>
      </c>
      <c r="H595" s="314"/>
      <c r="I595" s="314"/>
      <c r="J595" s="1359"/>
      <c r="K595" s="308"/>
      <c r="L595" s="531">
        <f t="shared" si="363"/>
        <v>0</v>
      </c>
      <c r="M595" s="51"/>
      <c r="N595" s="95"/>
      <c r="O595" s="51"/>
      <c r="P595" s="857"/>
      <c r="Q595" s="795"/>
      <c r="R595" s="785">
        <f>IFERROR(VLOOKUP($Q595,'391'!$P:$W,8,0),"")</f>
        <v>0</v>
      </c>
      <c r="U595" s="787"/>
      <c r="V595" s="787"/>
      <c r="W595" s="802">
        <f>IFERROR(VLOOKUP($Q595,'391'!$P:$AG,15,0),0)</f>
        <v>0</v>
      </c>
      <c r="X595" s="799">
        <f t="shared" si="366"/>
        <v>0</v>
      </c>
      <c r="Y595" s="787"/>
      <c r="Z595" s="791"/>
      <c r="AA595" s="787"/>
      <c r="AB595" s="787"/>
      <c r="AC595" s="679"/>
    </row>
    <row r="596" spans="1:45" ht="30" hidden="1" customHeight="1" x14ac:dyDescent="0.25">
      <c r="A596" s="2081"/>
      <c r="B596" s="2110"/>
      <c r="C596" s="109"/>
      <c r="D596" s="850" t="s">
        <v>10</v>
      </c>
      <c r="E596" s="851"/>
      <c r="F596" s="942">
        <f>$L$7-E596</f>
        <v>46261</v>
      </c>
      <c r="G596" s="36">
        <v>0</v>
      </c>
      <c r="H596" s="36"/>
      <c r="I596" s="36"/>
      <c r="J596" s="1294"/>
      <c r="K596" s="36"/>
      <c r="L596" s="531">
        <f t="shared" si="363"/>
        <v>0</v>
      </c>
      <c r="M596" s="51"/>
      <c r="N596" s="953"/>
      <c r="O596" s="51"/>
      <c r="P596" s="954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6"/>
        <v>0</v>
      </c>
      <c r="Y596" s="787"/>
      <c r="Z596" s="791"/>
      <c r="AA596" s="787"/>
      <c r="AB596" s="787"/>
      <c r="AC596" s="679"/>
    </row>
    <row r="597" spans="1:45" ht="30" hidden="1" customHeight="1" x14ac:dyDescent="0.25">
      <c r="A597" s="2067"/>
      <c r="B597" s="2029"/>
      <c r="C597" s="61" t="s">
        <v>158</v>
      </c>
      <c r="D597" s="850" t="s">
        <v>10</v>
      </c>
      <c r="E597" s="886">
        <v>44327</v>
      </c>
      <c r="F597" s="39">
        <f>$L$7-E597</f>
        <v>1934</v>
      </c>
      <c r="G597" s="28">
        <v>0</v>
      </c>
      <c r="H597" s="28"/>
      <c r="I597" s="1350"/>
      <c r="J597" s="1351">
        <f>usage!I59</f>
        <v>0</v>
      </c>
      <c r="K597" s="1360"/>
      <c r="L597" s="531">
        <f t="shared" si="363"/>
        <v>0</v>
      </c>
      <c r="M597" s="955"/>
      <c r="N597" s="1469"/>
      <c r="O597" s="956"/>
      <c r="P597" s="9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6"/>
        <v>0</v>
      </c>
      <c r="Y597" s="787"/>
      <c r="Z597" s="791"/>
      <c r="AA597" s="787"/>
      <c r="AB597" s="787"/>
      <c r="AC597" s="679"/>
    </row>
    <row r="598" spans="1:45" s="402" customFormat="1" ht="30" hidden="1" customHeight="1" x14ac:dyDescent="0.25">
      <c r="A598" s="2022" t="s">
        <v>933</v>
      </c>
      <c r="B598" s="2023"/>
      <c r="C598" s="88"/>
      <c r="D598" s="864"/>
      <c r="E598" s="864"/>
      <c r="F598" s="865"/>
      <c r="G598" s="1296">
        <v>0</v>
      </c>
      <c r="H598" s="1296">
        <f t="shared" ref="H598:K598" si="369">+H597+H595</f>
        <v>0</v>
      </c>
      <c r="I598" s="1296">
        <f t="shared" si="369"/>
        <v>0</v>
      </c>
      <c r="J598" s="1296">
        <f t="shared" si="369"/>
        <v>0</v>
      </c>
      <c r="K598" s="1296">
        <f t="shared" si="369"/>
        <v>0</v>
      </c>
      <c r="L598" s="531">
        <f t="shared" si="363"/>
        <v>0</v>
      </c>
      <c r="M598" s="59" t="str">
        <f>IFERROR((R598/$S$2),"")</f>
        <v/>
      </c>
      <c r="N598" s="854">
        <f>IFERROR(L598/M598,0)</f>
        <v>0</v>
      </c>
      <c r="O598" s="59">
        <f>IFERROR(SUMIF(ETM!$A:$A,$Q598,ETM!$E:$E),"")</f>
        <v>0</v>
      </c>
      <c r="P598" s="855">
        <f>IFERROR(L598/O598,0)</f>
        <v>0</v>
      </c>
      <c r="Q598" s="795" t="s">
        <v>944</v>
      </c>
      <c r="R598" s="785" t="str">
        <f>IFERROR(VLOOKUP($Q598,'391'!$P:$W,8,0),"")</f>
        <v/>
      </c>
      <c r="S598" s="796"/>
      <c r="T598" s="797"/>
      <c r="U598" s="797"/>
      <c r="V598" s="797"/>
      <c r="W598" s="802">
        <f>IFERROR(VLOOKUP($Q598,'391'!$P:$AG,15,0),0)</f>
        <v>0</v>
      </c>
      <c r="X598" s="799">
        <f t="shared" si="366"/>
        <v>0</v>
      </c>
      <c r="Y598" s="797"/>
      <c r="Z598" s="785"/>
      <c r="AA598" s="797"/>
      <c r="AB598" s="797"/>
      <c r="AC598" s="551"/>
      <c r="AD598" s="551"/>
      <c r="AE598" s="551"/>
      <c r="AF598" s="551"/>
      <c r="AG598" s="551"/>
      <c r="AH598" s="551"/>
      <c r="AI598" s="704"/>
      <c r="AJ598" s="704"/>
      <c r="AK598" s="704"/>
      <c r="AL598" s="704"/>
      <c r="AM598" s="704"/>
      <c r="AN598" s="704"/>
      <c r="AO598" s="704"/>
      <c r="AP598" s="704"/>
      <c r="AQ598" s="704"/>
      <c r="AR598" s="704"/>
      <c r="AS598" s="704"/>
    </row>
    <row r="599" spans="1:45" ht="30" hidden="1" customHeight="1" x14ac:dyDescent="0.25">
      <c r="A599" s="2066">
        <f>IF(L602=0,"",MAX($A$16:A598)+1)</f>
        <v>30</v>
      </c>
      <c r="B599" s="2046" t="s">
        <v>44</v>
      </c>
      <c r="C599" s="117"/>
      <c r="D599" s="940"/>
      <c r="E599" s="941"/>
      <c r="F599" s="942"/>
      <c r="G599" s="314">
        <v>0</v>
      </c>
      <c r="H599" s="314"/>
      <c r="I599" s="314"/>
      <c r="J599" s="1359"/>
      <c r="K599" s="308"/>
      <c r="L599" s="531">
        <f t="shared" si="363"/>
        <v>0</v>
      </c>
      <c r="M599" s="51"/>
      <c r="N599" s="95"/>
      <c r="O599" s="51"/>
      <c r="P599" s="857"/>
      <c r="Q599" s="795"/>
      <c r="R599" s="785">
        <f>IFERROR(VLOOKUP($Q599,'391'!$P:$W,8,0),"")</f>
        <v>0</v>
      </c>
      <c r="U599" s="787"/>
      <c r="V599" s="787"/>
      <c r="W599" s="802">
        <f>IFERROR(VLOOKUP($Q599,'391'!$P:$AG,15,0),0)</f>
        <v>0</v>
      </c>
      <c r="X599" s="799">
        <f t="shared" si="366"/>
        <v>0</v>
      </c>
      <c r="Y599" s="787"/>
      <c r="Z599" s="791"/>
      <c r="AA599" s="787"/>
      <c r="AB599" s="787"/>
      <c r="AC599" s="679"/>
    </row>
    <row r="600" spans="1:45" ht="30" customHeight="1" x14ac:dyDescent="0.25">
      <c r="A600" s="2081"/>
      <c r="B600" s="2068"/>
      <c r="C600" s="109" t="s">
        <v>124</v>
      </c>
      <c r="D600" s="850" t="s">
        <v>10</v>
      </c>
      <c r="E600" s="851">
        <v>46191</v>
      </c>
      <c r="F600" s="41">
        <f>$L$7-E600</f>
        <v>70</v>
      </c>
      <c r="G600" s="36">
        <v>239509</v>
      </c>
      <c r="H600" s="314"/>
      <c r="I600" s="36"/>
      <c r="J600" s="1294">
        <f>usage!I55</f>
        <v>5461</v>
      </c>
      <c r="K600" s="36"/>
      <c r="L600" s="531">
        <f t="shared" si="363"/>
        <v>234048</v>
      </c>
      <c r="M600" s="560"/>
      <c r="N600" s="606"/>
      <c r="O600" s="607"/>
      <c r="P600" s="857"/>
      <c r="Q600" s="795"/>
      <c r="R600" s="785">
        <f>IFERROR(VLOOKUP($Q600,'391'!$P:$W,8,0),"")</f>
        <v>0</v>
      </c>
      <c r="U600" s="787"/>
      <c r="V600" s="787"/>
      <c r="W600" s="802">
        <f>IFERROR(VLOOKUP($Q600,'391'!$P:$AG,15,0),0)</f>
        <v>0</v>
      </c>
      <c r="X600" s="799">
        <f t="shared" si="366"/>
        <v>239509</v>
      </c>
      <c r="Y600" s="787"/>
      <c r="Z600" s="791"/>
      <c r="AA600" s="787"/>
      <c r="AB600" s="787"/>
      <c r="AC600" s="679"/>
    </row>
    <row r="601" spans="1:45" ht="30" hidden="1" customHeight="1" x14ac:dyDescent="0.25">
      <c r="A601" s="2067"/>
      <c r="B601" s="2047"/>
      <c r="C601" s="61" t="s">
        <v>178</v>
      </c>
      <c r="D601" s="863" t="s">
        <v>10</v>
      </c>
      <c r="E601" s="886"/>
      <c r="F601" s="38"/>
      <c r="G601" s="28">
        <v>0</v>
      </c>
      <c r="H601" s="28"/>
      <c r="I601" s="28"/>
      <c r="J601" s="1295"/>
      <c r="K601" s="28"/>
      <c r="L601" s="531">
        <f t="shared" si="363"/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U601" s="787"/>
      <c r="V601" s="787"/>
      <c r="W601" s="802">
        <f>IFERROR(VLOOKUP($Q601,'391'!$P:$AG,15,0),0)</f>
        <v>0</v>
      </c>
      <c r="X601" s="799">
        <f t="shared" si="366"/>
        <v>0</v>
      </c>
      <c r="Y601" s="787"/>
      <c r="Z601" s="791"/>
      <c r="AA601" s="787"/>
      <c r="AB601" s="787"/>
      <c r="AC601" s="679"/>
    </row>
    <row r="602" spans="1:45" s="402" customFormat="1" ht="30" customHeight="1" x14ac:dyDescent="0.25">
      <c r="A602" s="2022" t="s">
        <v>116</v>
      </c>
      <c r="B602" s="2023"/>
      <c r="C602" s="88"/>
      <c r="D602" s="864"/>
      <c r="E602" s="864"/>
      <c r="F602" s="865"/>
      <c r="G602" s="1296">
        <v>239509</v>
      </c>
      <c r="H602" s="1296">
        <f t="shared" ref="H602:I602" si="370">H600</f>
        <v>0</v>
      </c>
      <c r="I602" s="1296">
        <f t="shared" si="370"/>
        <v>0</v>
      </c>
      <c r="J602" s="1296">
        <f t="shared" ref="J602:L602" si="371">J600</f>
        <v>5461</v>
      </c>
      <c r="K602" s="1296">
        <f t="shared" si="371"/>
        <v>0</v>
      </c>
      <c r="L602" s="1296">
        <f t="shared" si="371"/>
        <v>234048</v>
      </c>
      <c r="M602" s="59">
        <f>IFERROR((R602/$S$2),"")</f>
        <v>6108.333333333333</v>
      </c>
      <c r="N602" s="854">
        <f>IFERROR(L602/M602,0)</f>
        <v>38.316180081855393</v>
      </c>
      <c r="O602" s="59">
        <f>IFERROR(SUMIF(ETM!$A:$A,$Q602,ETM!$E:$E),"")</f>
        <v>8873.6666666666661</v>
      </c>
      <c r="P602" s="855">
        <f>IFERROR(L602/O602,0)</f>
        <v>26.375568160474813</v>
      </c>
      <c r="Q602" s="666" t="s">
        <v>1692</v>
      </c>
      <c r="R602" s="785">
        <f>IFERROR(VLOOKUP($Q602,'391'!$P:$W,8,0),"")</f>
        <v>36650</v>
      </c>
      <c r="S602" s="796"/>
      <c r="T602" s="797"/>
      <c r="U602" s="797"/>
      <c r="V602" s="797"/>
      <c r="W602" s="802">
        <f>IFERROR(VLOOKUP($Q602,'391'!$P:$AG,15,0),0)</f>
        <v>229795</v>
      </c>
      <c r="X602" s="799">
        <f t="shared" si="366"/>
        <v>9714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00" customFormat="1" ht="30" customHeight="1" x14ac:dyDescent="0.25">
      <c r="A603" s="2126">
        <f>IF(L605=0,"",MAX($A$16:A602)+1)</f>
        <v>31</v>
      </c>
      <c r="B603" s="2046" t="s">
        <v>55</v>
      </c>
      <c r="C603" s="197" t="s">
        <v>56</v>
      </c>
      <c r="D603" s="943" t="s">
        <v>10</v>
      </c>
      <c r="E603" s="944">
        <v>46133</v>
      </c>
      <c r="F603" s="945">
        <f>$L$7-E603</f>
        <v>128</v>
      </c>
      <c r="G603" s="345">
        <v>18000</v>
      </c>
      <c r="H603" s="1257"/>
      <c r="I603" s="345"/>
      <c r="J603" s="1309">
        <f>usage!I56</f>
        <v>158</v>
      </c>
      <c r="K603" s="345"/>
      <c r="L603" s="531">
        <f>+G603+H603+I603-J603-K603</f>
        <v>17842</v>
      </c>
      <c r="M603" s="50"/>
      <c r="N603" s="167"/>
      <c r="O603" s="50"/>
      <c r="P603" s="857"/>
      <c r="Q603" s="795"/>
      <c r="R603" s="785">
        <f>IFERROR(VLOOKUP($Q603,'391'!$P:$W,8,0),"")</f>
        <v>0</v>
      </c>
      <c r="S603" s="796"/>
      <c r="T603" s="797"/>
      <c r="U603" s="797"/>
      <c r="V603" s="797"/>
      <c r="W603" s="802">
        <f>IFERROR(VLOOKUP($Q603,'391'!$P:$AG,15,0),0)</f>
        <v>0</v>
      </c>
      <c r="X603" s="799">
        <f t="shared" si="366"/>
        <v>18000</v>
      </c>
      <c r="Y603" s="797"/>
      <c r="Z603" s="785"/>
      <c r="AA603" s="797"/>
      <c r="AB603" s="797"/>
      <c r="AC603" s="681"/>
      <c r="AD603" s="681"/>
      <c r="AE603" s="681"/>
      <c r="AF603" s="681"/>
      <c r="AG603" s="681"/>
      <c r="AH603" s="681"/>
      <c r="AI603" s="703"/>
      <c r="AJ603" s="703"/>
      <c r="AK603" s="703"/>
      <c r="AL603" s="703"/>
      <c r="AM603" s="703"/>
      <c r="AN603" s="703"/>
      <c r="AO603" s="703"/>
      <c r="AP603" s="703"/>
      <c r="AQ603" s="703"/>
      <c r="AR603" s="703"/>
      <c r="AS603" s="703"/>
    </row>
    <row r="604" spans="1:45" s="400" customFormat="1" ht="30" hidden="1" customHeight="1" x14ac:dyDescent="0.25">
      <c r="A604" s="2127"/>
      <c r="B604" s="2047"/>
      <c r="C604" s="138"/>
      <c r="D604" s="946" t="s">
        <v>10</v>
      </c>
      <c r="E604" s="947">
        <v>41844</v>
      </c>
      <c r="F604" s="39">
        <f>$L$7-E604</f>
        <v>4417</v>
      </c>
      <c r="G604" s="28">
        <v>0</v>
      </c>
      <c r="H604" s="28"/>
      <c r="I604" s="28"/>
      <c r="J604" s="1295"/>
      <c r="K604" s="28"/>
      <c r="L604" s="531">
        <f>+G604+H604+I604-J604-K604</f>
        <v>0</v>
      </c>
      <c r="M604" s="47"/>
      <c r="N604" s="920"/>
      <c r="O604" s="47"/>
      <c r="P604" s="857"/>
      <c r="Q604" s="795"/>
      <c r="R604" s="785">
        <f>IFERROR(VLOOKUP($Q604,'391'!$P:$W,8,0),"")</f>
        <v>0</v>
      </c>
      <c r="S604" s="796"/>
      <c r="T604" s="797"/>
      <c r="U604" s="797"/>
      <c r="V604" s="797"/>
      <c r="W604" s="802">
        <f>IFERROR(VLOOKUP($Q604,'391'!$P:$AG,15,0),0)</f>
        <v>0</v>
      </c>
      <c r="X604" s="799">
        <f t="shared" si="366"/>
        <v>0</v>
      </c>
      <c r="Y604" s="797"/>
      <c r="Z604" s="785"/>
      <c r="AA604" s="797"/>
      <c r="AB604" s="797"/>
      <c r="AC604" s="681"/>
      <c r="AD604" s="681"/>
      <c r="AE604" s="681"/>
      <c r="AF604" s="681"/>
      <c r="AG604" s="681"/>
      <c r="AH604" s="681"/>
      <c r="AI604" s="703"/>
      <c r="AJ604" s="703"/>
      <c r="AK604" s="703"/>
      <c r="AL604" s="703"/>
      <c r="AM604" s="703"/>
      <c r="AN604" s="703"/>
      <c r="AO604" s="703"/>
      <c r="AP604" s="703"/>
      <c r="AQ604" s="703"/>
      <c r="AR604" s="703"/>
      <c r="AS604" s="703"/>
    </row>
    <row r="605" spans="1:45" s="402" customFormat="1" ht="30" customHeight="1" x14ac:dyDescent="0.25">
      <c r="A605" s="2022" t="s">
        <v>1130</v>
      </c>
      <c r="B605" s="2023"/>
      <c r="C605" s="88"/>
      <c r="D605" s="864"/>
      <c r="E605" s="864"/>
      <c r="F605" s="865"/>
      <c r="G605" s="1296">
        <v>18000</v>
      </c>
      <c r="H605" s="1296">
        <f t="shared" ref="H605:I605" si="372">H603</f>
        <v>0</v>
      </c>
      <c r="I605" s="1296">
        <f t="shared" si="372"/>
        <v>0</v>
      </c>
      <c r="J605" s="1296">
        <f t="shared" ref="J605:L605" si="373">J603</f>
        <v>158</v>
      </c>
      <c r="K605" s="1296">
        <f t="shared" si="373"/>
        <v>0</v>
      </c>
      <c r="L605" s="1296">
        <f t="shared" si="373"/>
        <v>17842</v>
      </c>
      <c r="M605" s="59">
        <f>IFERROR((R605/$S$2),"")</f>
        <v>1501.5</v>
      </c>
      <c r="N605" s="366">
        <f>(L605/M605)</f>
        <v>11.882783882783883</v>
      </c>
      <c r="O605" s="59">
        <f>IFERROR(SUMIF(ETM!$A:$A,$Q605,ETM!$E:$E),"")</f>
        <v>1526.6666666666665</v>
      </c>
      <c r="P605" s="880">
        <f>(L605/O605)</f>
        <v>11.686899563318779</v>
      </c>
      <c r="Q605" s="795" t="s">
        <v>830</v>
      </c>
      <c r="R605" s="785">
        <f>IFERROR(VLOOKUP($Q605,'391'!$P:$W,8,0),"")</f>
        <v>9009</v>
      </c>
      <c r="S605" s="796"/>
      <c r="T605" s="797"/>
      <c r="U605" s="797"/>
      <c r="V605" s="797"/>
      <c r="W605" s="802">
        <f>IFERROR(VLOOKUP($Q605,'391'!$P:$AG,15,0),0)</f>
        <v>22636</v>
      </c>
      <c r="X605" s="799">
        <f t="shared" si="366"/>
        <v>-4636</v>
      </c>
      <c r="Y605" s="797"/>
      <c r="Z605" s="785"/>
      <c r="AA605" s="797"/>
      <c r="AB605" s="797"/>
      <c r="AC605" s="551"/>
      <c r="AD605" s="551"/>
      <c r="AE605" s="551"/>
      <c r="AF605" s="551"/>
      <c r="AG605" s="551"/>
      <c r="AH605" s="551"/>
      <c r="AI605" s="704"/>
      <c r="AJ605" s="704"/>
      <c r="AK605" s="704"/>
      <c r="AL605" s="704"/>
      <c r="AM605" s="704"/>
      <c r="AN605" s="704"/>
      <c r="AO605" s="704"/>
      <c r="AP605" s="704"/>
      <c r="AQ605" s="704"/>
      <c r="AR605" s="704"/>
      <c r="AS605" s="704"/>
    </row>
    <row r="606" spans="1:45" s="412" customFormat="1" ht="30" customHeight="1" x14ac:dyDescent="0.25">
      <c r="A606" s="2024">
        <f>IF(L611=0,"",MAX($A$16:A605)+1)</f>
        <v>32</v>
      </c>
      <c r="B606" s="2069" t="s">
        <v>92</v>
      </c>
      <c r="C606" s="118" t="s">
        <v>77</v>
      </c>
      <c r="D606" s="910" t="s">
        <v>10</v>
      </c>
      <c r="E606" s="890">
        <v>46105</v>
      </c>
      <c r="F606" s="948">
        <f>$L$7-E606</f>
        <v>156</v>
      </c>
      <c r="G606" s="315">
        <v>234518</v>
      </c>
      <c r="H606" s="314"/>
      <c r="I606" s="315"/>
      <c r="J606" s="1726">
        <f>usage!I57</f>
        <v>12581</v>
      </c>
      <c r="K606" s="1326"/>
      <c r="L606" s="531">
        <f>+G606+H606+I606-J606-K606</f>
        <v>221937</v>
      </c>
      <c r="M606" s="46"/>
      <c r="N606" s="167"/>
      <c r="O606" s="50"/>
      <c r="P606" s="74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6"/>
        <v>234518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customHeight="1" x14ac:dyDescent="0.25">
      <c r="A607" s="2025"/>
      <c r="B607" s="2070"/>
      <c r="C607" s="118" t="s">
        <v>78</v>
      </c>
      <c r="D607" s="852" t="s">
        <v>10</v>
      </c>
      <c r="E607" s="853">
        <v>46129</v>
      </c>
      <c r="F607" s="948">
        <f>$L$7-E607</f>
        <v>132</v>
      </c>
      <c r="G607" s="296">
        <v>2537</v>
      </c>
      <c r="H607" s="1862"/>
      <c r="I607" s="315"/>
      <c r="J607" s="1726"/>
      <c r="K607" s="1257"/>
      <c r="L607" s="531">
        <f>+G607+H607+I607-J607-K607</f>
        <v>2537</v>
      </c>
      <c r="M607" s="44"/>
      <c r="N607" s="1466"/>
      <c r="O607" s="1456"/>
      <c r="P607" s="1478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6"/>
        <v>2537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12" customFormat="1" ht="30" hidden="1" customHeight="1" x14ac:dyDescent="0.25">
      <c r="A608" s="2025"/>
      <c r="B608" s="2070"/>
      <c r="C608" s="118" t="s">
        <v>127</v>
      </c>
      <c r="D608" s="852" t="s">
        <v>10</v>
      </c>
      <c r="E608" s="853">
        <v>43183</v>
      </c>
      <c r="F608" s="856">
        <f>$L$7-E608</f>
        <v>3078</v>
      </c>
      <c r="G608" s="296">
        <v>0</v>
      </c>
      <c r="H608" s="296"/>
      <c r="I608" s="296"/>
      <c r="J608" s="1310"/>
      <c r="K608" s="296"/>
      <c r="L608" s="531">
        <f>+G608+H608+I608-J608-K608</f>
        <v>0</v>
      </c>
      <c r="M608" s="48"/>
      <c r="N608" s="920"/>
      <c r="O608" s="48"/>
      <c r="P608" s="857"/>
      <c r="Q608" s="795"/>
      <c r="R608" s="785">
        <f>IFERROR(VLOOKUP($Q608,'391'!$P:$W,8,0),"")</f>
        <v>0</v>
      </c>
      <c r="S608" s="786"/>
      <c r="T608" s="810"/>
      <c r="U608" s="810"/>
      <c r="V608" s="810"/>
      <c r="W608" s="802">
        <f>IFERROR(VLOOKUP($Q608,'391'!$P:$AG,15,0),0)</f>
        <v>0</v>
      </c>
      <c r="X608" s="799">
        <f t="shared" si="366"/>
        <v>0</v>
      </c>
      <c r="Y608" s="810"/>
      <c r="Z608" s="786"/>
      <c r="AA608" s="810"/>
      <c r="AB608" s="810"/>
      <c r="AC608" s="685"/>
      <c r="AD608" s="685"/>
      <c r="AE608" s="685"/>
      <c r="AF608" s="685"/>
      <c r="AG608" s="685"/>
      <c r="AH608" s="685"/>
      <c r="AI608" s="707"/>
      <c r="AJ608" s="707"/>
      <c r="AK608" s="707"/>
      <c r="AL608" s="707"/>
      <c r="AM608" s="707"/>
      <c r="AN608" s="707"/>
      <c r="AO608" s="707"/>
      <c r="AP608" s="707"/>
      <c r="AQ608" s="707"/>
      <c r="AR608" s="707"/>
      <c r="AS608" s="707"/>
    </row>
    <row r="609" spans="1:45" s="412" customFormat="1" ht="30" hidden="1" customHeight="1" x14ac:dyDescent="0.25">
      <c r="A609" s="2025"/>
      <c r="B609" s="2070"/>
      <c r="C609" s="118" t="s">
        <v>209</v>
      </c>
      <c r="D609" s="852" t="s">
        <v>10</v>
      </c>
      <c r="E609" s="853">
        <v>43183</v>
      </c>
      <c r="F609" s="856">
        <f>$L$7-E609</f>
        <v>3078</v>
      </c>
      <c r="G609" s="296">
        <v>0</v>
      </c>
      <c r="H609" s="296"/>
      <c r="I609" s="296"/>
      <c r="J609" s="1310"/>
      <c r="K609" s="296"/>
      <c r="L609" s="531">
        <f>+G609+H609+I609-J609-K609</f>
        <v>0</v>
      </c>
      <c r="M609" s="45"/>
      <c r="N609" s="920"/>
      <c r="O609" s="45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6"/>
        <v>0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hidden="1" customHeight="1" x14ac:dyDescent="0.25">
      <c r="A610" s="2026"/>
      <c r="B610" s="2071"/>
      <c r="C610" s="118"/>
      <c r="D610" s="852" t="s">
        <v>10</v>
      </c>
      <c r="E610" s="853">
        <v>43047</v>
      </c>
      <c r="F610" s="856">
        <f>$L$7-E610</f>
        <v>3214</v>
      </c>
      <c r="G610" s="296">
        <v>0</v>
      </c>
      <c r="H610" s="296"/>
      <c r="I610" s="296"/>
      <c r="J610" s="1310"/>
      <c r="K610" s="296"/>
      <c r="L610" s="531">
        <f>+G610+H610+I610-J610-K610</f>
        <v>0</v>
      </c>
      <c r="M610" s="47"/>
      <c r="N610" s="920"/>
      <c r="O610" s="47"/>
      <c r="P610" s="857"/>
      <c r="Q610" s="795"/>
      <c r="R610" s="785">
        <f>IFERROR(VLOOKUP($Q610,'391'!$P:$W,8,0),"")</f>
        <v>0</v>
      </c>
      <c r="S610" s="786"/>
      <c r="T610" s="810"/>
      <c r="U610" s="810"/>
      <c r="V610" s="810"/>
      <c r="W610" s="802">
        <f>IFERROR(VLOOKUP($Q610,'391'!$P:$AG,15,0),0)</f>
        <v>0</v>
      </c>
      <c r="X610" s="799">
        <f t="shared" si="366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402" customFormat="1" ht="30" customHeight="1" x14ac:dyDescent="0.25">
      <c r="A611" s="2022" t="s">
        <v>950</v>
      </c>
      <c r="B611" s="2023"/>
      <c r="C611" s="88"/>
      <c r="D611" s="864"/>
      <c r="E611" s="864"/>
      <c r="F611" s="865"/>
      <c r="G611" s="1296">
        <v>237055</v>
      </c>
      <c r="H611" s="1296">
        <f>+SUM(H606:H610)</f>
        <v>0</v>
      </c>
      <c r="I611" s="1296">
        <f t="shared" ref="I611:L611" si="374">+SUM(I606:I610)</f>
        <v>0</v>
      </c>
      <c r="J611" s="1296">
        <f t="shared" si="374"/>
        <v>12581</v>
      </c>
      <c r="K611" s="1296">
        <f t="shared" si="374"/>
        <v>0</v>
      </c>
      <c r="L611" s="1296">
        <f t="shared" si="374"/>
        <v>224474</v>
      </c>
      <c r="M611" s="59">
        <f>IFERROR((R611/$S$2),"")</f>
        <v>16043.833333333334</v>
      </c>
      <c r="N611" s="366">
        <f>(L611/M611)</f>
        <v>13.991294682276679</v>
      </c>
      <c r="O611" s="59">
        <f>IFERROR(SUMIF(ETM!$A:$A,$Q611,ETM!$E:$E),"")</f>
        <v>17060.333333333332</v>
      </c>
      <c r="P611" s="855">
        <f>(L611/O611)</f>
        <v>13.15765616146617</v>
      </c>
      <c r="Q611" s="795" t="s">
        <v>810</v>
      </c>
      <c r="R611" s="785">
        <f>IFERROR(VLOOKUP($Q611,'391'!$P:$W,8,0),"")</f>
        <v>96263</v>
      </c>
      <c r="S611" s="796"/>
      <c r="T611" s="797"/>
      <c r="U611" s="797"/>
      <c r="V611" s="797"/>
      <c r="W611" s="802">
        <f>IFERROR(VLOOKUP($Q611,'391'!$P:$AG,15,0),0)</f>
        <v>287434</v>
      </c>
      <c r="X611" s="799">
        <f t="shared" si="366"/>
        <v>-50379</v>
      </c>
      <c r="Y611" s="797"/>
      <c r="Z611" s="785"/>
      <c r="AA611" s="797"/>
      <c r="AB611" s="797"/>
      <c r="AC611" s="551"/>
      <c r="AD611" s="551"/>
      <c r="AE611" s="551"/>
      <c r="AF611" s="551"/>
      <c r="AG611" s="551"/>
      <c r="AH611" s="551"/>
      <c r="AI611" s="704"/>
      <c r="AJ611" s="704"/>
      <c r="AK611" s="704"/>
      <c r="AL611" s="704"/>
      <c r="AM611" s="704"/>
      <c r="AN611" s="704"/>
      <c r="AO611" s="704"/>
      <c r="AP611" s="704"/>
      <c r="AQ611" s="704"/>
      <c r="AR611" s="704"/>
      <c r="AS611" s="704"/>
    </row>
    <row r="612" spans="1:45" s="412" customFormat="1" ht="30" customHeight="1" x14ac:dyDescent="0.25">
      <c r="A612" s="290">
        <f>IF(L613=0,"",MAX($A$16:A611)+1)</f>
        <v>33</v>
      </c>
      <c r="B612" s="349" t="s">
        <v>240</v>
      </c>
      <c r="C612" s="256" t="s">
        <v>65</v>
      </c>
      <c r="D612" s="940" t="s">
        <v>10</v>
      </c>
      <c r="E612" s="941">
        <v>46228</v>
      </c>
      <c r="F612" s="41">
        <f>$L$7-E612</f>
        <v>33</v>
      </c>
      <c r="G612" s="314">
        <v>398172.9</v>
      </c>
      <c r="H612" s="314">
        <v>32310</v>
      </c>
      <c r="I612" s="314"/>
      <c r="J612" s="1359">
        <f>usage!I58</f>
        <v>31138.87</v>
      </c>
      <c r="K612" s="308"/>
      <c r="L612" s="531">
        <f>+G612+H612+I612-J612-K612</f>
        <v>399344.03</v>
      </c>
      <c r="M612" s="51"/>
      <c r="N612" s="1470"/>
      <c r="O612" s="51"/>
      <c r="P612" s="857"/>
      <c r="Q612" s="795"/>
      <c r="R612" s="785">
        <f>IFERROR(VLOOKUP($Q612,'391'!$P:$W,8,0),"")</f>
        <v>0</v>
      </c>
      <c r="S612" s="786"/>
      <c r="T612" s="810"/>
      <c r="U612" s="810"/>
      <c r="V612" s="810"/>
      <c r="W612" s="802">
        <f>IFERROR(VLOOKUP($Q612,'391'!$P:$AG,15,0),0)</f>
        <v>0</v>
      </c>
      <c r="X612" s="799">
        <f t="shared" si="366"/>
        <v>398172.9</v>
      </c>
      <c r="Y612" s="810"/>
      <c r="Z612" s="786"/>
      <c r="AA612" s="810"/>
      <c r="AB612" s="810"/>
      <c r="AC612" s="685"/>
      <c r="AD612" s="685"/>
      <c r="AE612" s="685"/>
      <c r="AF612" s="685"/>
      <c r="AG612" s="685"/>
      <c r="AH612" s="685"/>
      <c r="AI612" s="707"/>
      <c r="AJ612" s="707"/>
      <c r="AK612" s="707"/>
      <c r="AL612" s="707"/>
      <c r="AM612" s="707"/>
      <c r="AN612" s="707"/>
      <c r="AO612" s="707"/>
      <c r="AP612" s="707"/>
      <c r="AQ612" s="707"/>
      <c r="AR612" s="707"/>
      <c r="AS612" s="707"/>
    </row>
    <row r="613" spans="1:45" s="412" customFormat="1" ht="30" customHeight="1" x14ac:dyDescent="0.25">
      <c r="A613" s="2117" t="s">
        <v>118</v>
      </c>
      <c r="B613" s="2118"/>
      <c r="C613" s="949"/>
      <c r="D613" s="950"/>
      <c r="E613" s="951"/>
      <c r="F613" s="952"/>
      <c r="G613" s="1296">
        <v>398172.9</v>
      </c>
      <c r="H613" s="1296">
        <f>+H612</f>
        <v>32310</v>
      </c>
      <c r="I613" s="1296">
        <f t="shared" ref="I613:L613" si="375">+I612</f>
        <v>0</v>
      </c>
      <c r="J613" s="1296">
        <f t="shared" si="375"/>
        <v>31138.87</v>
      </c>
      <c r="K613" s="1296">
        <f t="shared" si="375"/>
        <v>0</v>
      </c>
      <c r="L613" s="1296">
        <f t="shared" si="375"/>
        <v>399344.03</v>
      </c>
      <c r="M613" s="59">
        <f>IFERROR((R613/$S$2),"")</f>
        <v>29772.166666666668</v>
      </c>
      <c r="N613" s="854">
        <f>(L613/M613)</f>
        <v>13.413334490267756</v>
      </c>
      <c r="O613" s="59">
        <f>IFERROR(SUMIF(ETM!$A:$A,$Q613,ETM!$E:$E),"")</f>
        <v>34496.166666666664</v>
      </c>
      <c r="P613" s="855">
        <f>(L613/O613)</f>
        <v>11.576475550423478</v>
      </c>
      <c r="Q613" s="795" t="s">
        <v>816</v>
      </c>
      <c r="R613" s="785">
        <f>IFERROR(VLOOKUP($Q613,'391'!$P:$W,8,0),"")</f>
        <v>178633</v>
      </c>
      <c r="S613" s="786"/>
      <c r="T613" s="810"/>
      <c r="U613" s="810"/>
      <c r="V613" s="810"/>
      <c r="W613" s="802">
        <f>IFERROR(VLOOKUP($Q613,'391'!$P:$AG,15,0),0)</f>
        <v>390485</v>
      </c>
      <c r="X613" s="799">
        <f t="shared" si="366"/>
        <v>7687.9000000000233</v>
      </c>
      <c r="Y613" s="810"/>
      <c r="Z613" s="786"/>
      <c r="AA613" s="810"/>
      <c r="AB613" s="810"/>
      <c r="AC613" s="685"/>
      <c r="AD613" s="685"/>
      <c r="AE613" s="685"/>
      <c r="AF613" s="685"/>
      <c r="AG613" s="685"/>
      <c r="AH613" s="685"/>
      <c r="AI613" s="707"/>
      <c r="AJ613" s="707"/>
      <c r="AK613" s="707"/>
      <c r="AL613" s="707"/>
      <c r="AM613" s="707"/>
      <c r="AN613" s="707"/>
      <c r="AO613" s="707"/>
      <c r="AP613" s="707"/>
      <c r="AQ613" s="707"/>
      <c r="AR613" s="707"/>
      <c r="AS613" s="707"/>
    </row>
    <row r="614" spans="1:45" s="13" customFormat="1" ht="39.950000000000003" customHeight="1" thickBot="1" x14ac:dyDescent="0.3">
      <c r="A614" s="2128" t="s">
        <v>9</v>
      </c>
      <c r="B614" s="2129"/>
      <c r="C614" s="2129"/>
      <c r="D614" s="2129"/>
      <c r="E614" s="2129"/>
      <c r="F614" s="636"/>
      <c r="G614" s="1363">
        <f>G391+G401+G423+G442+G448+G457+G468+G492+G512+G520+G525+G541+G560+G563+G578+G582+G598+G602+G605+G611+G613+G586+G590+G594+G567+G571</f>
        <v>2186081.9</v>
      </c>
      <c r="H614" s="1363">
        <f>H391+H401+H423+H442+H448+H457+H468+H492+H512+H520+H525+H541+H560+H563+H578+H582+H598+H602+H605+H611+H613+H586+H590+H594+H567+H571</f>
        <v>72310</v>
      </c>
      <c r="I614" s="1363">
        <f t="shared" ref="I614:L614" si="376">I391+I401+I423+I442+I448+I457+I468+I492+I512+I520+I525+I541+I560+I563+I578+I582+I598+I602+I605+I611+I613+I586+I590+I594+I567+I571</f>
        <v>89584.4</v>
      </c>
      <c r="J614" s="1363">
        <f>J391+J401+J423+J442+J448+J457+J468+J492+J512+J520+J525+J541+J560+J563+J578+J582+J598+J602+J605+J611+J613+J586+J590+J594+J567+J571</f>
        <v>102581.87</v>
      </c>
      <c r="K614" s="1363">
        <f t="shared" si="376"/>
        <v>89584.4</v>
      </c>
      <c r="L614" s="1363">
        <f t="shared" si="376"/>
        <v>2155810.0300000003</v>
      </c>
      <c r="M614" s="1049"/>
      <c r="N614" s="1041"/>
      <c r="O614" s="1041"/>
      <c r="P614" s="1042"/>
      <c r="Q614" s="795"/>
      <c r="R614" s="812">
        <f>+SUM(R38:R613)-R209-R87-R92-R512-R233-R50-R202-R60-R49-R39-R40-R224-R184-R207-R218-R80-R61</f>
        <v>12156340</v>
      </c>
      <c r="S614" s="796">
        <v>10737806</v>
      </c>
      <c r="T614" s="799">
        <f>+R614-S614</f>
        <v>1418534</v>
      </c>
      <c r="U614" s="797"/>
      <c r="V614" s="797"/>
      <c r="W614" s="785">
        <f>IFERROR(VLOOKUP($Q614,'391'!$S:$AG,15,0),0)</f>
        <v>0</v>
      </c>
      <c r="X614" s="799">
        <f t="shared" si="366"/>
        <v>2186081.9</v>
      </c>
      <c r="Y614" s="797"/>
      <c r="Z614" s="785"/>
      <c r="AA614" s="797"/>
      <c r="AB614" s="797"/>
      <c r="AC614" s="683"/>
      <c r="AD614" s="683"/>
      <c r="AE614" s="683"/>
      <c r="AF614" s="683"/>
      <c r="AG614" s="683"/>
      <c r="AH614" s="683"/>
      <c r="AI614" s="705"/>
      <c r="AJ614" s="705"/>
      <c r="AK614" s="705"/>
      <c r="AL614" s="705"/>
      <c r="AM614" s="705"/>
      <c r="AN614" s="705"/>
      <c r="AO614" s="705"/>
      <c r="AP614" s="705"/>
      <c r="AQ614" s="705"/>
      <c r="AR614" s="705"/>
      <c r="AS614" s="705"/>
    </row>
    <row r="615" spans="1:45" s="13" customFormat="1" ht="39.950000000000003" customHeight="1" thickBot="1" x14ac:dyDescent="0.3">
      <c r="A615" s="2107" t="s">
        <v>1478</v>
      </c>
      <c r="B615" s="2108"/>
      <c r="C615" s="2108"/>
      <c r="D615" s="2108"/>
      <c r="E615" s="2108"/>
      <c r="F615" s="2109"/>
      <c r="G615" s="1364">
        <f t="shared" ref="G615:L615" si="377">G614+G378+G194</f>
        <v>40168224.189999998</v>
      </c>
      <c r="H615" s="1364">
        <f t="shared" si="377"/>
        <v>1126620</v>
      </c>
      <c r="I615" s="1364">
        <f t="shared" si="377"/>
        <v>2974784.4</v>
      </c>
      <c r="J615" s="1364">
        <f t="shared" si="377"/>
        <v>2149023.77</v>
      </c>
      <c r="K615" s="1364">
        <f t="shared" si="377"/>
        <v>2940684.4</v>
      </c>
      <c r="L615" s="1364">
        <f t="shared" si="377"/>
        <v>39179920.420000002</v>
      </c>
      <c r="M615" s="1050"/>
      <c r="N615" s="1043"/>
      <c r="O615" s="1043"/>
      <c r="P615" s="1044"/>
      <c r="Q615" s="795"/>
      <c r="R615" s="785">
        <f>IFERROR(VLOOKUP($Q615,'391'!$P:$W,8,0),"")</f>
        <v>0</v>
      </c>
      <c r="S615" s="796"/>
      <c r="T615" s="797"/>
      <c r="U615" s="797"/>
      <c r="V615" s="797"/>
      <c r="W615" s="813"/>
      <c r="X615" s="799">
        <f t="shared" si="366"/>
        <v>40168224.189999998</v>
      </c>
      <c r="Y615" s="797"/>
      <c r="Z615" s="785"/>
      <c r="AA615" s="797"/>
      <c r="AB615" s="797"/>
      <c r="AC615" s="683"/>
      <c r="AD615" s="683"/>
      <c r="AE615" s="683"/>
      <c r="AF615" s="683"/>
      <c r="AG615" s="683"/>
      <c r="AH615" s="683"/>
      <c r="AI615" s="705"/>
      <c r="AJ615" s="705"/>
      <c r="AK615" s="705"/>
      <c r="AL615" s="705"/>
      <c r="AM615" s="705"/>
      <c r="AN615" s="705"/>
      <c r="AO615" s="705"/>
      <c r="AP615" s="705"/>
      <c r="AQ615" s="705"/>
      <c r="AR615" s="705"/>
      <c r="AS615" s="705"/>
    </row>
    <row r="616" spans="1:45" s="6" customFormat="1" ht="30" customHeight="1" x14ac:dyDescent="0.25">
      <c r="A616" s="2080">
        <f>IF(L625=0,"",MAX($A$16:A613)+1)</f>
        <v>34</v>
      </c>
      <c r="B616" s="2074" t="s">
        <v>93</v>
      </c>
      <c r="C616" s="135" t="s">
        <v>59</v>
      </c>
      <c r="D616" s="852" t="s">
        <v>10</v>
      </c>
      <c r="E616" s="853">
        <v>46240</v>
      </c>
      <c r="F616" s="73">
        <f t="shared" ref="F616:F617" si="378">$L$7-E616</f>
        <v>21</v>
      </c>
      <c r="G616" s="58">
        <v>5361.4599999999973</v>
      </c>
      <c r="H616" s="1246"/>
      <c r="I616" s="58"/>
      <c r="J616" s="1365">
        <f>usage!I75-J617</f>
        <v>766.82999999999993</v>
      </c>
      <c r="K616" s="12"/>
      <c r="L616" s="58">
        <f t="shared" ref="L616:L624" si="379">+G616+H616+I616-J616-K616</f>
        <v>4594.6299999999974</v>
      </c>
      <c r="M616" s="1205"/>
      <c r="N616" s="249"/>
      <c r="O616" s="101"/>
      <c r="P616" s="738"/>
      <c r="Q616" s="795"/>
      <c r="R616" s="785">
        <f>IFERROR(VLOOKUP($Q616,'391'!$S:$Z,8,0),"")</f>
        <v>0</v>
      </c>
      <c r="S616" s="786"/>
      <c r="T616" s="787" t="str">
        <f>$Q$625&amp;C616&amp;E616</f>
        <v>DL-Methionine (Singapore)Bồn DL46240</v>
      </c>
      <c r="U616" s="787"/>
      <c r="V616" s="787"/>
      <c r="W616" s="785">
        <f>IFERROR(VLOOKUP($Q616,'391'!$S:$AG,15,0),0)</f>
        <v>0</v>
      </c>
      <c r="X616" s="1090">
        <f t="shared" si="366"/>
        <v>5361.4599999999973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customHeight="1" x14ac:dyDescent="0.25">
      <c r="A617" s="2073"/>
      <c r="B617" s="2070"/>
      <c r="C617" s="135" t="s">
        <v>59</v>
      </c>
      <c r="D617" s="852" t="s">
        <v>10</v>
      </c>
      <c r="E617" s="853">
        <v>46248</v>
      </c>
      <c r="F617" s="73">
        <f t="shared" si="378"/>
        <v>13</v>
      </c>
      <c r="G617" s="58">
        <v>22270</v>
      </c>
      <c r="H617" s="1770"/>
      <c r="I617" s="58"/>
      <c r="J617" s="1365"/>
      <c r="K617" s="12"/>
      <c r="L617" s="1534">
        <f t="shared" si="379"/>
        <v>22270</v>
      </c>
      <c r="M617" s="101"/>
      <c r="N617" s="249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Bồn DL46248</v>
      </c>
      <c r="U617" s="787"/>
      <c r="V617" s="787"/>
      <c r="W617" s="785">
        <f>IFERROR(VLOOKUP($Q617,'391'!$S:$AG,15,0),0)</f>
        <v>0</v>
      </c>
      <c r="X617" s="1090">
        <f t="shared" si="366"/>
        <v>22270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3"/>
      <c r="B618" s="2070"/>
      <c r="C618" s="135"/>
      <c r="D618" s="852" t="s">
        <v>10</v>
      </c>
      <c r="E618" s="853">
        <v>46248</v>
      </c>
      <c r="F618" s="73">
        <f t="shared" ref="F618:F624" si="380">$L$7-E618</f>
        <v>13</v>
      </c>
      <c r="G618" s="58">
        <v>0</v>
      </c>
      <c r="H618" s="296"/>
      <c r="I618" s="58"/>
      <c r="J618" s="1366"/>
      <c r="K618" s="12"/>
      <c r="L618" s="1534">
        <f t="shared" si="379"/>
        <v>0</v>
      </c>
      <c r="M618" s="101"/>
      <c r="N618" s="101"/>
      <c r="O618" s="101"/>
      <c r="P618" s="738"/>
      <c r="Q618" s="795"/>
      <c r="R618" s="785">
        <f>IFERROR(VLOOKUP($Q618,'391'!$S:$Z,8,0),"")</f>
        <v>0</v>
      </c>
      <c r="S618" s="786"/>
      <c r="T618" s="787" t="str">
        <f>$Q$621&amp;C618&amp;E618</f>
        <v>46248</v>
      </c>
      <c r="U618" s="787"/>
      <c r="V618" s="787"/>
      <c r="W618" s="785">
        <f>IFERROR(VLOOKUP($Q618,'391'!$S:$AG,15,0),0)</f>
        <v>0</v>
      </c>
      <c r="X618" s="1090">
        <f t="shared" si="366"/>
        <v>0</v>
      </c>
      <c r="Y618" s="787"/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3"/>
      <c r="B619" s="2075"/>
      <c r="C619" s="135" t="s">
        <v>59</v>
      </c>
      <c r="D619" s="852" t="s">
        <v>10</v>
      </c>
      <c r="E619" s="853">
        <v>44827</v>
      </c>
      <c r="F619" s="73">
        <f t="shared" si="380"/>
        <v>1434</v>
      </c>
      <c r="G619" s="58">
        <v>0</v>
      </c>
      <c r="H619" s="58"/>
      <c r="I619" s="56"/>
      <c r="J619" s="1366"/>
      <c r="K619" s="12"/>
      <c r="L619" s="1534">
        <f t="shared" si="379"/>
        <v>0</v>
      </c>
      <c r="M619" s="101"/>
      <c r="N619" s="101"/>
      <c r="O619" s="101"/>
      <c r="P619" s="738">
        <f>+P618-P617</f>
        <v>0</v>
      </c>
      <c r="Q619" s="795"/>
      <c r="R619" s="785">
        <f>IFERROR(VLOOKUP($Q619,'391'!$S:$Z,8,0),"")</f>
        <v>0</v>
      </c>
      <c r="S619" s="786"/>
      <c r="T619" s="787" t="str">
        <f>$Q$621&amp;C619&amp;E619</f>
        <v>Bồn DL44827</v>
      </c>
      <c r="U619" s="787"/>
      <c r="V619" s="787"/>
      <c r="W619" s="785">
        <f>IFERROR(VLOOKUP($Q619,'391'!$S:$AG,15,0),0)</f>
        <v>0</v>
      </c>
      <c r="X619" s="1090">
        <f t="shared" si="366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6" customFormat="1" ht="30" hidden="1" customHeight="1" x14ac:dyDescent="0.25">
      <c r="A620" s="2073"/>
      <c r="B620" s="2070"/>
      <c r="C620" s="129"/>
      <c r="D620" s="866" t="s">
        <v>10</v>
      </c>
      <c r="E620" s="867">
        <v>45476</v>
      </c>
      <c r="F620" s="75">
        <f t="shared" si="380"/>
        <v>785</v>
      </c>
      <c r="G620" s="64">
        <v>0</v>
      </c>
      <c r="H620" s="11"/>
      <c r="I620" s="11"/>
      <c r="J620" s="1365"/>
      <c r="K620" s="12">
        <f>IFERROR(SUMIF(INTAKE!$A:$A,$T620,INTAKE!$P:$P),0)</f>
        <v>0</v>
      </c>
      <c r="L620" s="1703">
        <f t="shared" si="379"/>
        <v>0</v>
      </c>
      <c r="M620" s="101"/>
      <c r="N620" s="101"/>
      <c r="O620" s="101"/>
      <c r="P620" s="738"/>
      <c r="Q620" s="795"/>
      <c r="R620" s="785">
        <f>IFERROR(VLOOKUP($Q620,'391'!$S:$Z,8,0),"")</f>
        <v>0</v>
      </c>
      <c r="S620" s="786"/>
      <c r="T620" s="787" t="str">
        <f>$Q$624&amp;C620&amp;E620</f>
        <v>DL- Methionine 99% Feed Grade45476</v>
      </c>
      <c r="U620" s="787"/>
      <c r="V620" s="787"/>
      <c r="W620" s="785">
        <f>IFERROR(VLOOKUP($Q620,'391'!$S:$AG,15,0),0)</f>
        <v>0</v>
      </c>
      <c r="X620" s="1090">
        <f t="shared" si="366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6" customFormat="1" ht="30" hidden="1" customHeight="1" x14ac:dyDescent="0.25">
      <c r="A621" s="2073"/>
      <c r="B621" s="2070"/>
      <c r="C621" s="129"/>
      <c r="D621" s="866" t="s">
        <v>10</v>
      </c>
      <c r="E621" s="867">
        <v>45464</v>
      </c>
      <c r="F621" s="75">
        <f t="shared" si="380"/>
        <v>797</v>
      </c>
      <c r="G621" s="64">
        <v>0</v>
      </c>
      <c r="H621" s="11"/>
      <c r="I621" s="11"/>
      <c r="J621" s="1365"/>
      <c r="K621" s="12">
        <f>IFERROR(SUMIF(INTAKE!$A:$A,$T621,INTAKE!$P:$P),0)</f>
        <v>0</v>
      </c>
      <c r="L621" s="1534">
        <f t="shared" si="379"/>
        <v>0</v>
      </c>
      <c r="M621" s="101"/>
      <c r="N621" s="101"/>
      <c r="O621" s="101"/>
      <c r="P621" s="738"/>
      <c r="Q621" s="666"/>
      <c r="R621" s="785">
        <f>IFERROR(VLOOKUP($Q621,'391'!$S:$Z,8,0),"")</f>
        <v>0</v>
      </c>
      <c r="S621" s="786"/>
      <c r="T621" s="787" t="str">
        <f>$Q$624&amp;C621&amp;E621</f>
        <v>DL- Methionine 99% Feed Grade45464</v>
      </c>
      <c r="U621" s="787"/>
      <c r="V621" s="787"/>
      <c r="W621" s="785">
        <f>IFERROR(VLOOKUP($Q621,'391'!$S:$AG,15,0),0)</f>
        <v>0</v>
      </c>
      <c r="X621" s="1090">
        <f t="shared" ref="X621:X624" si="381">G621-W621</f>
        <v>0</v>
      </c>
      <c r="Y621" s="1057">
        <f>+G621+G624-W624</f>
        <v>4985.8999999999996</v>
      </c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6" customFormat="1" ht="30" customHeight="1" x14ac:dyDescent="0.25">
      <c r="A622" s="2073"/>
      <c r="B622" s="2070"/>
      <c r="C622" s="129" t="s">
        <v>2138</v>
      </c>
      <c r="D622" s="866" t="s">
        <v>10</v>
      </c>
      <c r="E622" s="867">
        <v>46112</v>
      </c>
      <c r="F622" s="75">
        <f t="shared" si="380"/>
        <v>149</v>
      </c>
      <c r="G622" s="64">
        <v>13000</v>
      </c>
      <c r="H622" s="64"/>
      <c r="I622" s="64"/>
      <c r="J622" s="1367"/>
      <c r="K622" s="12">
        <f>IFERROR(SUMIF(INTAKE!$A:$A,$T622,INTAKE!$P:$P),0)</f>
        <v>3000</v>
      </c>
      <c r="L622" s="1703">
        <f t="shared" si="379"/>
        <v>10000</v>
      </c>
      <c r="M622" s="101"/>
      <c r="N622" s="101"/>
      <c r="O622" s="101"/>
      <c r="P622" s="738"/>
      <c r="Q622" s="795"/>
      <c r="R622" s="785">
        <f>IFERROR(VLOOKUP($Q622,'391'!$S:$Z,8,0),"")</f>
        <v>0</v>
      </c>
      <c r="S622" s="786"/>
      <c r="T622" s="787" t="str">
        <f>$Q$625&amp;C622&amp;E622</f>
        <v>DL-Methionine (Singapore)B13.146112</v>
      </c>
      <c r="U622" s="787"/>
      <c r="V622" s="787"/>
      <c r="W622" s="785">
        <f>IFERROR(VLOOKUP($Q622,'391'!$S:$AG,15,0),0)</f>
        <v>0</v>
      </c>
      <c r="X622" s="1090">
        <f t="shared" si="381"/>
        <v>13000</v>
      </c>
      <c r="Y622" s="787"/>
      <c r="Z622" s="785" t="str">
        <f>IFERROR(VLOOKUP($Q622,'391'!$S:$Z,33,0),"")</f>
        <v/>
      </c>
      <c r="AA622" s="787"/>
      <c r="AB622" s="787"/>
      <c r="AC622" s="679"/>
      <c r="AD622" s="679"/>
      <c r="AE622" s="679"/>
      <c r="AF622" s="679"/>
      <c r="AG622" s="679"/>
      <c r="AH622" s="679"/>
      <c r="AI622" s="682"/>
      <c r="AJ622" s="682"/>
      <c r="AK622" s="682"/>
      <c r="AL622" s="682"/>
      <c r="AM622" s="682"/>
      <c r="AN622" s="682"/>
      <c r="AO622" s="682"/>
      <c r="AP622" s="682"/>
      <c r="AQ622" s="682"/>
      <c r="AR622" s="682"/>
      <c r="AS622" s="682"/>
    </row>
    <row r="623" spans="1:45" s="411" customFormat="1" ht="30" hidden="1" customHeight="1" x14ac:dyDescent="0.25">
      <c r="A623" s="2073"/>
      <c r="B623" s="2070"/>
      <c r="C623" s="129"/>
      <c r="D623" s="866" t="s">
        <v>10</v>
      </c>
      <c r="E623" s="867">
        <v>43846</v>
      </c>
      <c r="F623" s="75">
        <f t="shared" si="380"/>
        <v>2415</v>
      </c>
      <c r="G623" s="64">
        <v>0</v>
      </c>
      <c r="H623" s="64"/>
      <c r="I623" s="64"/>
      <c r="J623" s="1367"/>
      <c r="K623" s="12">
        <f>IFERROR(SUMIF(INTAKE!$A:$A,$T623,INTAKE!$P:$P),0)</f>
        <v>0</v>
      </c>
      <c r="L623" s="1534">
        <f t="shared" si="379"/>
        <v>0</v>
      </c>
      <c r="M623" s="48"/>
      <c r="N623" s="48"/>
      <c r="O623" s="48"/>
      <c r="P623" s="738"/>
      <c r="Q623" s="795"/>
      <c r="R623" s="785">
        <f>IFERROR(VLOOKUP($Q623,'391'!$S:$Z,8,0),"")</f>
        <v>0</v>
      </c>
      <c r="S623" s="786"/>
      <c r="T623" s="787" t="str">
        <f>$Q$625&amp;C623&amp;E623</f>
        <v>DL-Methionine (Singapore)43846</v>
      </c>
      <c r="U623" s="787"/>
      <c r="V623" s="787"/>
      <c r="W623" s="785">
        <f>IFERROR(VLOOKUP($Q623,'391'!$S:$AG,15,0),0)</f>
        <v>0</v>
      </c>
      <c r="X623" s="1090">
        <f t="shared" si="381"/>
        <v>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411" customFormat="1" ht="30" customHeight="1" x14ac:dyDescent="0.25">
      <c r="A624" s="2077"/>
      <c r="B624" s="2071"/>
      <c r="C624" s="135" t="s">
        <v>158</v>
      </c>
      <c r="D624" s="852" t="s">
        <v>10</v>
      </c>
      <c r="E624" s="853">
        <v>46112</v>
      </c>
      <c r="F624" s="73">
        <f t="shared" si="380"/>
        <v>149</v>
      </c>
      <c r="G624" s="58">
        <v>4985.8999999999996</v>
      </c>
      <c r="H624" s="58"/>
      <c r="I624" s="56">
        <f>+K622</f>
        <v>3000</v>
      </c>
      <c r="J624" s="1366">
        <f>+usage!I76</f>
        <v>2235</v>
      </c>
      <c r="K624" s="12">
        <f>IFERROR(SUMIF(INTAKE!$A:$A,$T624,INTAKE!$P:$P),0)</f>
        <v>0</v>
      </c>
      <c r="L624" s="1534">
        <f t="shared" si="379"/>
        <v>5750.9</v>
      </c>
      <c r="M624" s="309"/>
      <c r="N624" s="67"/>
      <c r="O624" s="1457"/>
      <c r="P624" s="752"/>
      <c r="Q624" s="795" t="s">
        <v>1225</v>
      </c>
      <c r="R624" s="785" t="str">
        <f>IFERROR(VLOOKUP($Q624,'391'!$S:$Z,8,0),"")</f>
        <v/>
      </c>
      <c r="S624" s="786"/>
      <c r="T624" s="787" t="str">
        <f>$Q$625&amp;C624&amp;E624</f>
        <v>DL-Methionine (Singapore)FM46112</v>
      </c>
      <c r="U624" s="787"/>
      <c r="V624" s="787"/>
      <c r="W624" s="785">
        <f>IFERROR(VLOOKUP($Q624,'391'!$S:$AG,15,0),0)</f>
        <v>0</v>
      </c>
      <c r="X624" s="1090">
        <f t="shared" si="381"/>
        <v>4985.8999999999996</v>
      </c>
      <c r="Y624" s="1247"/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265" customFormat="1" ht="30" customHeight="1" x14ac:dyDescent="0.25">
      <c r="A625" s="2051" t="s">
        <v>14</v>
      </c>
      <c r="B625" s="2052"/>
      <c r="C625" s="88"/>
      <c r="D625" s="864"/>
      <c r="E625" s="864"/>
      <c r="F625" s="865"/>
      <c r="G625" s="1297">
        <v>45617.36</v>
      </c>
      <c r="H625" s="1297">
        <f>SUM(H616:H624)</f>
        <v>0</v>
      </c>
      <c r="I625" s="1297">
        <f>SUM(I616:I624)</f>
        <v>3000</v>
      </c>
      <c r="J625" s="1297">
        <f t="shared" ref="J625:L625" si="382">SUM(J616:J624)</f>
        <v>3001.83</v>
      </c>
      <c r="K625" s="1297">
        <f t="shared" si="382"/>
        <v>3000</v>
      </c>
      <c r="L625" s="1297">
        <f t="shared" si="382"/>
        <v>42615.53</v>
      </c>
      <c r="M625" s="59">
        <f>IFERROR((R625/$S$2),"")</f>
        <v>2318.855</v>
      </c>
      <c r="N625" s="366">
        <f>(L625/M625)</f>
        <v>18.377833025350874</v>
      </c>
      <c r="O625" s="59">
        <f>IFERROR(SUMIF(ETM!$A:$A,$Q625,ETM!$E:$E),"")</f>
        <v>2587.333333333333</v>
      </c>
      <c r="P625" s="880">
        <f>(L625/O625)</f>
        <v>16.470830971399124</v>
      </c>
      <c r="Q625" s="814" t="s">
        <v>652</v>
      </c>
      <c r="R625" s="785">
        <f>IFERROR(VLOOKUP($Q625,'391'!$S:$Z,8,0),"")</f>
        <v>13913.130000000001</v>
      </c>
      <c r="S625" s="796"/>
      <c r="T625" s="797"/>
      <c r="U625" s="797"/>
      <c r="V625" s="797"/>
      <c r="W625" s="785">
        <f>IFERROR(VLOOKUP($Q625,'391'!$S:$AG,15,0),0)</f>
        <v>52424.24</v>
      </c>
      <c r="X625" s="1231">
        <f>G625-W625-W624</f>
        <v>-6806.8799999999974</v>
      </c>
      <c r="Y625" s="785"/>
      <c r="Z625" s="785"/>
      <c r="AA625" s="797"/>
      <c r="AB625" s="797"/>
      <c r="AC625" s="551"/>
      <c r="AD625" s="551"/>
      <c r="AE625" s="551"/>
      <c r="AF625" s="551"/>
      <c r="AG625" s="551"/>
      <c r="AH625" s="551"/>
      <c r="AI625" s="704"/>
      <c r="AJ625" s="704"/>
      <c r="AK625" s="704"/>
      <c r="AL625" s="704"/>
      <c r="AM625" s="704"/>
      <c r="AN625" s="704"/>
      <c r="AO625" s="704"/>
      <c r="AP625" s="704"/>
      <c r="AQ625" s="704"/>
      <c r="AR625" s="704"/>
      <c r="AS625" s="704"/>
    </row>
    <row r="626" spans="1:45" s="6" customFormat="1" ht="30" customHeight="1" x14ac:dyDescent="0.25">
      <c r="A626" s="2073">
        <f>IF(L629=0,"",MAX($A$16:A623)+1)</f>
        <v>35</v>
      </c>
      <c r="B626" s="2075" t="s">
        <v>1824</v>
      </c>
      <c r="C626" s="129" t="s">
        <v>1747</v>
      </c>
      <c r="D626" s="866" t="s">
        <v>10</v>
      </c>
      <c r="E626" s="867">
        <v>46153</v>
      </c>
      <c r="F626" s="75">
        <f t="shared" ref="F626" si="383">$L$7-E626</f>
        <v>108</v>
      </c>
      <c r="G626" s="11">
        <v>24000</v>
      </c>
      <c r="H626" s="11"/>
      <c r="I626" s="11"/>
      <c r="J626" s="1388"/>
      <c r="K626" s="12">
        <f>IFERROR(SUMIF(INTAKE!$A:$A,$T626,INTAKE!$P:$P),0)</f>
        <v>0</v>
      </c>
      <c r="L626" s="11">
        <f t="shared" ref="L626:L628" si="384">+G626+H626+I626-J626-K626</f>
        <v>24000</v>
      </c>
      <c r="M626" s="1205"/>
      <c r="N626" s="249"/>
      <c r="O626" s="101"/>
      <c r="P626" s="738"/>
      <c r="Q626" s="795"/>
      <c r="R626" s="785">
        <f>IFERROR(VLOOKUP($Q626,'391'!$S:$Z,8,0),"")</f>
        <v>0</v>
      </c>
      <c r="S626" s="786"/>
      <c r="T626" s="787" t="str">
        <f>$Q$629&amp;C626&amp;E626</f>
        <v>Rhodimet AT88 (China)A16.2B46153</v>
      </c>
      <c r="U626" s="787"/>
      <c r="V626" s="787"/>
      <c r="W626" s="785">
        <f>IFERROR(VLOOKUP($Q626,'391'!$S:$AG,15,0),0)</f>
        <v>0</v>
      </c>
      <c r="X626" s="1090">
        <f t="shared" ref="X626:X628" si="385">G626-W626</f>
        <v>24000</v>
      </c>
      <c r="Y626" s="787"/>
      <c r="Z626" s="785" t="str">
        <f>IFERROR(VLOOKUP($Q626,'391'!$S:$Z,33,0),"")</f>
        <v/>
      </c>
      <c r="AA626" s="787"/>
      <c r="AB626" s="787"/>
      <c r="AC626" s="679"/>
      <c r="AD626" s="679"/>
      <c r="AE626" s="679"/>
      <c r="AF626" s="679"/>
      <c r="AG626" s="679"/>
      <c r="AH626" s="679"/>
      <c r="AI626" s="682"/>
      <c r="AJ626" s="682"/>
      <c r="AK626" s="682"/>
      <c r="AL626" s="682"/>
      <c r="AM626" s="682"/>
      <c r="AN626" s="682"/>
      <c r="AO626" s="682"/>
      <c r="AP626" s="682"/>
      <c r="AQ626" s="682"/>
      <c r="AR626" s="682"/>
      <c r="AS626" s="682"/>
    </row>
    <row r="627" spans="1:45" s="6" customFormat="1" ht="30" hidden="1" customHeight="1" x14ac:dyDescent="0.25">
      <c r="A627" s="2073"/>
      <c r="B627" s="2070"/>
      <c r="C627" s="129"/>
      <c r="D627" s="866" t="s">
        <v>10</v>
      </c>
      <c r="E627" s="867">
        <v>46153</v>
      </c>
      <c r="F627" s="75">
        <f t="shared" ref="F627:F628" si="386">$L$7-E627</f>
        <v>108</v>
      </c>
      <c r="G627" s="11">
        <v>0</v>
      </c>
      <c r="H627" s="11"/>
      <c r="I627" s="11"/>
      <c r="J627" s="1388"/>
      <c r="K627" s="12">
        <f>IFERROR(SUMIF(INTAKE!$A:$A,$T627,INTAKE!$P:$P),0)</f>
        <v>0</v>
      </c>
      <c r="L627" s="1703">
        <f t="shared" si="384"/>
        <v>0</v>
      </c>
      <c r="M627" s="101"/>
      <c r="N627" s="101"/>
      <c r="O627" s="101"/>
      <c r="P627" s="738"/>
      <c r="Q627" s="666"/>
      <c r="R627" s="785">
        <f>IFERROR(VLOOKUP($Q627,'391'!$S:$Z,8,0),"")</f>
        <v>0</v>
      </c>
      <c r="S627" s="786"/>
      <c r="T627" s="787" t="str">
        <f>$Q$629&amp;C627&amp;E627</f>
        <v>Rhodimet AT88 (China)46153</v>
      </c>
      <c r="U627" s="787"/>
      <c r="V627" s="787"/>
      <c r="W627" s="785">
        <f>IFERROR(VLOOKUP($Q627,'391'!$S:$AG,15,0),0)</f>
        <v>0</v>
      </c>
      <c r="X627" s="1090">
        <f t="shared" si="385"/>
        <v>0</v>
      </c>
      <c r="Y627" s="1057">
        <f>+G627+G628-W628</f>
        <v>2410.4999999999995</v>
      </c>
      <c r="Z627" s="785" t="str">
        <f>IFERROR(VLOOKUP($Q627,'391'!$S:$Z,33,0),"")</f>
        <v/>
      </c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411" customFormat="1" ht="30" customHeight="1" x14ac:dyDescent="0.25">
      <c r="A628" s="2077"/>
      <c r="B628" s="2071"/>
      <c r="C628" s="135" t="s">
        <v>158</v>
      </c>
      <c r="D628" s="852" t="s">
        <v>10</v>
      </c>
      <c r="E628" s="853">
        <v>46153</v>
      </c>
      <c r="F628" s="73">
        <f t="shared" si="386"/>
        <v>108</v>
      </c>
      <c r="G628" s="58">
        <v>2410.4999999999995</v>
      </c>
      <c r="H628" s="58"/>
      <c r="I628" s="56">
        <f>+K626+K627</f>
        <v>0</v>
      </c>
      <c r="J628" s="1366">
        <f>usage!I216</f>
        <v>78.5</v>
      </c>
      <c r="K628" s="12">
        <f>IFERROR(SUMIF(INTAKE!$A:$A,$T628,INTAKE!$P:$P),0)</f>
        <v>0</v>
      </c>
      <c r="L628" s="1534">
        <f t="shared" si="384"/>
        <v>2331.9999999999995</v>
      </c>
      <c r="M628" s="309"/>
      <c r="N628" s="67"/>
      <c r="O628" s="1457"/>
      <c r="P628" s="752"/>
      <c r="Q628" s="795"/>
      <c r="R628" s="785">
        <f>IFERROR(VLOOKUP($Q628,'391'!$S:$Z,8,0),"")</f>
        <v>0</v>
      </c>
      <c r="S628" s="786"/>
      <c r="T628" s="787" t="str">
        <f>$Q$629&amp;C628&amp;E628</f>
        <v>Rhodimet AT88 (China)FM46153</v>
      </c>
      <c r="U628" s="787"/>
      <c r="V628" s="787"/>
      <c r="W628" s="785">
        <f>IFERROR(VLOOKUP($Q628,'391'!$S:$AG,15,0),0)</f>
        <v>0</v>
      </c>
      <c r="X628" s="1090">
        <f t="shared" si="385"/>
        <v>2410.4999999999995</v>
      </c>
      <c r="Y628" s="1247"/>
      <c r="Z628" s="785" t="str">
        <f>IFERROR(VLOOKUP($Q628,'391'!$S:$Z,33,0),"")</f>
        <v/>
      </c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265" customFormat="1" ht="30" customHeight="1" x14ac:dyDescent="0.25">
      <c r="A629" s="2022" t="s">
        <v>1825</v>
      </c>
      <c r="B629" s="2023"/>
      <c r="C629" s="88"/>
      <c r="D629" s="864"/>
      <c r="E629" s="864"/>
      <c r="F629" s="865"/>
      <c r="G629" s="1297">
        <v>26410.5</v>
      </c>
      <c r="H629" s="1297">
        <f>SUM(H626:H628)</f>
        <v>0</v>
      </c>
      <c r="I629" s="1297">
        <f>SUM(I626:I628)</f>
        <v>0</v>
      </c>
      <c r="J629" s="1297">
        <f>SUM(J626:J628)</f>
        <v>78.5</v>
      </c>
      <c r="K629" s="1297">
        <f>SUM(K626:K628)</f>
        <v>0</v>
      </c>
      <c r="L629" s="1297">
        <f>SUM(L626:L628)</f>
        <v>26332</v>
      </c>
      <c r="M629" s="59">
        <f>IFERROR((R629/$S$2),"")</f>
        <v>241.95000000000002</v>
      </c>
      <c r="N629" s="366">
        <f>IFERROR(L629/M629,0)</f>
        <v>108.83240338912998</v>
      </c>
      <c r="O629" s="59">
        <f>IFERROR(SUMIF(ETM!$A:$A,$Q629,ETM!$E:$E),"")</f>
        <v>358.66666666666669</v>
      </c>
      <c r="P629" s="880">
        <f>IFERROR(L629/O629,0)</f>
        <v>73.416356877323423</v>
      </c>
      <c r="Q629" s="814" t="s">
        <v>1824</v>
      </c>
      <c r="R629" s="785">
        <f>IFERROR(VLOOKUP($Q629,'391'!$S:$Z,8,0),"")</f>
        <v>1451.7</v>
      </c>
      <c r="S629" s="796"/>
      <c r="T629" s="797"/>
      <c r="U629" s="797"/>
      <c r="V629" s="797"/>
      <c r="W629" s="785">
        <f>IFERROR(VLOOKUP($Q629,'391'!$S:$AG,15,0),0)</f>
        <v>27172.7</v>
      </c>
      <c r="X629" s="1231">
        <f>G629-W629-W628</f>
        <v>-762.20000000000073</v>
      </c>
      <c r="Y629" s="785"/>
      <c r="Z629" s="785"/>
      <c r="AA629" s="797"/>
      <c r="AB629" s="797"/>
      <c r="AC629" s="551"/>
      <c r="AD629" s="551"/>
      <c r="AE629" s="551"/>
      <c r="AF629" s="551"/>
      <c r="AG629" s="551"/>
      <c r="AH629" s="551"/>
      <c r="AI629" s="704"/>
      <c r="AJ629" s="704"/>
      <c r="AK629" s="704"/>
      <c r="AL629" s="704"/>
      <c r="AM629" s="704"/>
      <c r="AN629" s="704"/>
      <c r="AO629" s="704"/>
      <c r="AP629" s="704"/>
      <c r="AQ629" s="704"/>
      <c r="AR629" s="704"/>
      <c r="AS629" s="704"/>
    </row>
    <row r="630" spans="1:45" s="6" customFormat="1" ht="30" customHeight="1" x14ac:dyDescent="0.25">
      <c r="A630" s="2000">
        <f>IF(L640=0,"",MAX($A$16:A625)+1)</f>
        <v>35</v>
      </c>
      <c r="B630" s="2069" t="s">
        <v>49</v>
      </c>
      <c r="C630" s="120" t="s">
        <v>2146</v>
      </c>
      <c r="D630" s="866" t="s">
        <v>10</v>
      </c>
      <c r="E630" s="867">
        <v>46240</v>
      </c>
      <c r="F630" s="75">
        <f t="shared" ref="F630" si="387">$L$7-E630</f>
        <v>21</v>
      </c>
      <c r="G630" s="64">
        <v>17500</v>
      </c>
      <c r="H630" s="12"/>
      <c r="I630" s="12"/>
      <c r="J630" s="1368"/>
      <c r="K630" s="1379">
        <f>IFERROR(SUMIF(INTAKE!$A:$A,$T630,INTAKE!$P:$P),0)</f>
        <v>5000</v>
      </c>
      <c r="L630" s="1703">
        <f t="shared" ref="L630:L639" si="388">+G630+H630+I630-J630-K630</f>
        <v>12500</v>
      </c>
      <c r="M630" s="66"/>
      <c r="N630" s="66"/>
      <c r="O630" s="66"/>
      <c r="P630" s="744"/>
      <c r="Q630" s="795"/>
      <c r="R630" s="785">
        <f>IFERROR(VLOOKUP($Q630,'391'!$S:$Z,8,0),"")</f>
        <v>0</v>
      </c>
      <c r="S630" s="786"/>
      <c r="T630" s="787" t="str">
        <f t="shared" ref="T630:T637" si="389">$Q$639&amp;C630&amp;E630</f>
        <v>L-lysine Monohydrochloride (China)B17.246240</v>
      </c>
      <c r="U630" s="787"/>
      <c r="V630" s="787"/>
      <c r="W630" s="785">
        <f>IFERROR(VLOOKUP($Q630,'391'!$S:$AG,15,0),0)</f>
        <v>0</v>
      </c>
      <c r="X630" s="1090">
        <f t="shared" ref="X630:X639" si="390">G630-W630</f>
        <v>17500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30" customHeight="1" x14ac:dyDescent="0.25">
      <c r="A631" s="2001"/>
      <c r="B631" s="2070"/>
      <c r="C631" s="120" t="s">
        <v>123</v>
      </c>
      <c r="D631" s="866" t="s">
        <v>10</v>
      </c>
      <c r="E631" s="867">
        <v>46253</v>
      </c>
      <c r="F631" s="75">
        <f t="shared" ref="F631" si="391">$L$7-E631</f>
        <v>8</v>
      </c>
      <c r="G631" s="64">
        <v>17500</v>
      </c>
      <c r="H631" s="12"/>
      <c r="I631" s="12"/>
      <c r="J631" s="1368"/>
      <c r="K631" s="12">
        <f>IFERROR(SUMIF(INTAKE!$A:$A,$T631,INTAKE!$P:$P),0)</f>
        <v>0</v>
      </c>
      <c r="L631" s="1703">
        <f t="shared" si="388"/>
        <v>17500</v>
      </c>
      <c r="M631" s="147"/>
      <c r="N631" s="147"/>
      <c r="O631" s="147"/>
      <c r="P631" s="734"/>
      <c r="Q631" s="795"/>
      <c r="R631" s="785">
        <f>IFERROR(VLOOKUP($Q631,'391'!$S:$Z,8,0),"")</f>
        <v>0</v>
      </c>
      <c r="S631" s="786"/>
      <c r="T631" s="787" t="str">
        <f t="shared" si="389"/>
        <v>L-lysine Monohydrochloride (China)A22.146253</v>
      </c>
      <c r="U631" s="787"/>
      <c r="V631" s="787"/>
      <c r="W631" s="785">
        <f>IFERROR(VLOOKUP($Q631,'391'!$S:$AG,15,0),0)</f>
        <v>0</v>
      </c>
      <c r="X631" s="1090">
        <f t="shared" si="390"/>
        <v>17500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customHeight="1" x14ac:dyDescent="0.25">
      <c r="A632" s="2001"/>
      <c r="B632" s="2070"/>
      <c r="C632" s="120" t="s">
        <v>261</v>
      </c>
      <c r="D632" s="866" t="s">
        <v>10</v>
      </c>
      <c r="E632" s="867">
        <v>46255</v>
      </c>
      <c r="F632" s="75">
        <f t="shared" ref="F632" si="392">$L$7-E632</f>
        <v>6</v>
      </c>
      <c r="G632" s="64">
        <v>17500</v>
      </c>
      <c r="H632" s="12"/>
      <c r="I632" s="12"/>
      <c r="J632" s="1368"/>
      <c r="K632" s="1379">
        <f>IFERROR(SUMIF(INTAKE!$A:$A,$T632,INTAKE!$P:$P),0)</f>
        <v>0</v>
      </c>
      <c r="L632" s="1703">
        <f t="shared" si="388"/>
        <v>17500</v>
      </c>
      <c r="M632" s="101"/>
      <c r="N632" s="101"/>
      <c r="O632" s="101"/>
      <c r="P632" s="738"/>
      <c r="Q632" s="795"/>
      <c r="R632" s="785">
        <f>IFERROR(VLOOKUP($Q632,'391'!$S:$Z,8,0),"")</f>
        <v>0</v>
      </c>
      <c r="S632" s="786"/>
      <c r="T632" s="787" t="str">
        <f t="shared" si="389"/>
        <v>L-lysine Monohydrochloride (China)A18.246255</v>
      </c>
      <c r="U632" s="787"/>
      <c r="V632" s="787"/>
      <c r="W632" s="785">
        <f>IFERROR(VLOOKUP($Q632,'391'!$S:$AG,15,0),0)</f>
        <v>0</v>
      </c>
      <c r="X632" s="1090">
        <f t="shared" si="390"/>
        <v>17500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1"/>
      <c r="B633" s="2070"/>
      <c r="C633" s="120"/>
      <c r="D633" s="866" t="s">
        <v>10</v>
      </c>
      <c r="E633" s="867">
        <v>46217</v>
      </c>
      <c r="F633" s="75">
        <f t="shared" ref="F633" si="393">$L$7-E633</f>
        <v>44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88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89"/>
        <v>L-lysine Monohydrochloride (China)46217</v>
      </c>
      <c r="U633" s="787"/>
      <c r="V633" s="787"/>
      <c r="W633" s="785">
        <f>IFERROR(VLOOKUP($Q633,'391'!$S:$AG,15,0),0)</f>
        <v>0</v>
      </c>
      <c r="X633" s="1090">
        <f t="shared" si="390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28.5" hidden="1" customHeight="1" x14ac:dyDescent="0.25">
      <c r="A634" s="2001"/>
      <c r="B634" s="2070"/>
      <c r="C634" s="120"/>
      <c r="D634" s="866" t="s">
        <v>10</v>
      </c>
      <c r="E634" s="867">
        <v>46218</v>
      </c>
      <c r="F634" s="75">
        <f t="shared" ref="F634" si="394">$L$7-E634</f>
        <v>43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703">
        <f t="shared" si="388"/>
        <v>0</v>
      </c>
      <c r="M634" s="101"/>
      <c r="N634" s="101"/>
      <c r="O634" s="101"/>
      <c r="P634" s="738"/>
      <c r="Q634" s="666"/>
      <c r="R634" s="785">
        <f>IFERROR(VLOOKUP($Q634,'391'!$S:$Z,8,0),"")</f>
        <v>0</v>
      </c>
      <c r="S634" s="786"/>
      <c r="T634" s="787" t="str">
        <f t="shared" si="389"/>
        <v>L-lysine Monohydrochloride (China)46218</v>
      </c>
      <c r="U634" s="787"/>
      <c r="V634" s="787"/>
      <c r="W634" s="785">
        <f>IFERROR(VLOOKUP($Q634,'391'!$S:$AG,15,0),0)</f>
        <v>0</v>
      </c>
      <c r="X634" s="1090">
        <f t="shared" si="390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30" hidden="1" customHeight="1" x14ac:dyDescent="0.25">
      <c r="A635" s="2001"/>
      <c r="B635" s="2070"/>
      <c r="C635" s="120"/>
      <c r="D635" s="866" t="s">
        <v>10</v>
      </c>
      <c r="E635" s="867">
        <v>46063</v>
      </c>
      <c r="F635" s="75">
        <f t="shared" ref="F635" si="395">$L$7-E635</f>
        <v>198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703">
        <f t="shared" si="388"/>
        <v>0</v>
      </c>
      <c r="M635" s="101"/>
      <c r="N635" s="101"/>
      <c r="O635" s="101"/>
      <c r="P635" s="738"/>
      <c r="Q635" s="666"/>
      <c r="R635" s="785">
        <f>IFERROR(VLOOKUP($Q635,'391'!$S:$Z,8,0),"")</f>
        <v>0</v>
      </c>
      <c r="S635" s="786"/>
      <c r="T635" s="787" t="str">
        <f t="shared" si="389"/>
        <v>L-lysine Monohydrochloride (China)46063</v>
      </c>
      <c r="U635" s="787"/>
      <c r="V635" s="787"/>
      <c r="W635" s="785">
        <f>IFERROR(VLOOKUP($Q635,'391'!$S:$AG,15,0),0)</f>
        <v>0</v>
      </c>
      <c r="X635" s="1090">
        <f t="shared" si="390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6" customFormat="1" ht="30" hidden="1" customHeight="1" x14ac:dyDescent="0.25">
      <c r="A636" s="2001"/>
      <c r="B636" s="2070"/>
      <c r="C636" s="120"/>
      <c r="D636" s="866" t="s">
        <v>10</v>
      </c>
      <c r="E636" s="867">
        <v>46063</v>
      </c>
      <c r="F636" s="75">
        <f t="shared" ref="F636:F639" si="396">$L$7-E636</f>
        <v>198</v>
      </c>
      <c r="G636" s="64">
        <v>0</v>
      </c>
      <c r="H636" s="12"/>
      <c r="I636" s="12"/>
      <c r="J636" s="1368"/>
      <c r="K636" s="12">
        <f>IFERROR(SUMIF(INTAKE!$A:$A,$T636,INTAKE!$P:$P),0)</f>
        <v>0</v>
      </c>
      <c r="L636" s="1703">
        <f t="shared" si="388"/>
        <v>0</v>
      </c>
      <c r="M636" s="101"/>
      <c r="N636" s="101"/>
      <c r="O636" s="101"/>
      <c r="P636" s="738"/>
      <c r="Q636" s="795"/>
      <c r="R636" s="785">
        <f>IFERROR(VLOOKUP($Q636,'391'!$S:$Z,8,0),"")</f>
        <v>0</v>
      </c>
      <c r="S636" s="786"/>
      <c r="T636" s="787" t="str">
        <f t="shared" si="389"/>
        <v>L-lysine Monohydrochloride (China)46063</v>
      </c>
      <c r="U636" s="787"/>
      <c r="V636" s="787"/>
      <c r="W636" s="785">
        <f>IFERROR(VLOOKUP($Q636,'391'!$S:$AG,15,0),0)</f>
        <v>0</v>
      </c>
      <c r="X636" s="1090">
        <f t="shared" si="390"/>
        <v>0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6" customFormat="1" ht="30" hidden="1" customHeight="1" x14ac:dyDescent="0.25">
      <c r="A637" s="2001"/>
      <c r="B637" s="2070"/>
      <c r="C637" s="120"/>
      <c r="D637" s="866" t="s">
        <v>10</v>
      </c>
      <c r="E637" s="867">
        <v>45366</v>
      </c>
      <c r="F637" s="75">
        <f t="shared" si="396"/>
        <v>895</v>
      </c>
      <c r="G637" s="64">
        <v>0</v>
      </c>
      <c r="H637" s="12"/>
      <c r="I637" s="12"/>
      <c r="J637" s="1368"/>
      <c r="K637" s="12">
        <f>IFERROR(SUMIF(INTAKE!$A:$A,$T637,INTAKE!$P:$P),0)</f>
        <v>0</v>
      </c>
      <c r="L637" s="1534">
        <f t="shared" si="388"/>
        <v>0</v>
      </c>
      <c r="M637" s="101"/>
      <c r="N637" s="101"/>
      <c r="O637" s="101"/>
      <c r="P637" s="738"/>
      <c r="Q637" s="795"/>
      <c r="R637" s="785">
        <f>IFERROR(VLOOKUP($Q637,'391'!$S:$Z,8,0),"")</f>
        <v>0</v>
      </c>
      <c r="S637" s="786"/>
      <c r="T637" s="787" t="str">
        <f t="shared" si="389"/>
        <v>L-lysine Monohydrochloride (China)45366</v>
      </c>
      <c r="U637" s="787"/>
      <c r="V637" s="787"/>
      <c r="W637" s="785">
        <f>IFERROR(VLOOKUP($Q637,'391'!$S:$AG,15,0),0)</f>
        <v>0</v>
      </c>
      <c r="X637" s="1090">
        <f t="shared" si="390"/>
        <v>0</v>
      </c>
      <c r="Y637" s="785"/>
      <c r="Z637" s="785"/>
      <c r="AA637" s="787"/>
      <c r="AB637" s="787"/>
      <c r="AC637" s="679"/>
      <c r="AD637" s="679"/>
      <c r="AE637" s="679"/>
      <c r="AF637" s="679"/>
      <c r="AG637" s="679"/>
      <c r="AH637" s="679"/>
      <c r="AI637" s="682"/>
      <c r="AJ637" s="682"/>
      <c r="AK637" s="682"/>
      <c r="AL637" s="682"/>
      <c r="AM637" s="682"/>
      <c r="AN637" s="682"/>
      <c r="AO637" s="682"/>
      <c r="AP637" s="682"/>
      <c r="AQ637" s="682"/>
      <c r="AR637" s="682"/>
      <c r="AS637" s="682"/>
    </row>
    <row r="638" spans="1:45" s="6" customFormat="1" ht="29.1" hidden="1" customHeight="1" x14ac:dyDescent="0.25">
      <c r="A638" s="2001"/>
      <c r="B638" s="2070"/>
      <c r="C638" s="120"/>
      <c r="D638" s="866" t="s">
        <v>10</v>
      </c>
      <c r="E638" s="867">
        <v>45366</v>
      </c>
      <c r="F638" s="75">
        <f t="shared" si="396"/>
        <v>895</v>
      </c>
      <c r="G638" s="64">
        <v>0</v>
      </c>
      <c r="H638" s="12"/>
      <c r="I638" s="12"/>
      <c r="J638" s="1368"/>
      <c r="K638" s="12">
        <f>IFERROR(SUMIF(INTAKE!$A:$A,$T638,INTAKE!$P:$P),0)</f>
        <v>0</v>
      </c>
      <c r="L638" s="1534">
        <f t="shared" si="388"/>
        <v>0</v>
      </c>
      <c r="M638" s="101"/>
      <c r="N638" s="101"/>
      <c r="O638" s="101"/>
      <c r="P638" s="738"/>
      <c r="Q638" s="795"/>
      <c r="R638" s="785">
        <f>IFERROR(VLOOKUP($Q638,'391'!$S:$Z,8,0),"")</f>
        <v>0</v>
      </c>
      <c r="S638" s="786"/>
      <c r="T638" s="787" t="str">
        <f>$Q$640&amp;C638&amp;E638</f>
        <v>L-Lysine45366</v>
      </c>
      <c r="U638" s="787"/>
      <c r="V638" s="787"/>
      <c r="W638" s="785">
        <f>IFERROR(VLOOKUP($Q638,'391'!$S:$AG,15,0),0)</f>
        <v>0</v>
      </c>
      <c r="X638" s="1090">
        <f t="shared" si="390"/>
        <v>0</v>
      </c>
      <c r="Y638" s="785"/>
      <c r="Z638" s="785"/>
      <c r="AA638" s="787"/>
      <c r="AB638" s="787"/>
      <c r="AC638" s="679"/>
      <c r="AD638" s="679"/>
      <c r="AE638" s="679"/>
      <c r="AF638" s="679"/>
      <c r="AG638" s="679"/>
      <c r="AH638" s="679"/>
      <c r="AI638" s="682"/>
      <c r="AJ638" s="682"/>
      <c r="AK638" s="682"/>
      <c r="AL638" s="682"/>
      <c r="AM638" s="682"/>
      <c r="AN638" s="682"/>
      <c r="AO638" s="682"/>
      <c r="AP638" s="682"/>
      <c r="AQ638" s="682"/>
      <c r="AR638" s="682"/>
      <c r="AS638" s="682"/>
    </row>
    <row r="639" spans="1:45" s="406" customFormat="1" ht="30" customHeight="1" x14ac:dyDescent="0.25">
      <c r="A639" s="2001"/>
      <c r="B639" s="2070"/>
      <c r="C639" s="107" t="s">
        <v>46</v>
      </c>
      <c r="D639" s="852" t="s">
        <v>10</v>
      </c>
      <c r="E639" s="853">
        <v>46240</v>
      </c>
      <c r="F639" s="73">
        <f t="shared" si="396"/>
        <v>21</v>
      </c>
      <c r="G639" s="58">
        <v>7492.0500000000056</v>
      </c>
      <c r="H639" s="56"/>
      <c r="I639" s="56">
        <f>+SUM(K630:K637)</f>
        <v>5000</v>
      </c>
      <c r="J639" s="1369">
        <f>+usage!I77</f>
        <v>3688.25</v>
      </c>
      <c r="K639" s="12">
        <f>IFERROR(SUMIF(INTAKE!$A:$A,$T639,INTAKE!$P:$P),0)</f>
        <v>0</v>
      </c>
      <c r="L639" s="1534">
        <f t="shared" si="388"/>
        <v>8803.8000000000065</v>
      </c>
      <c r="M639" s="172"/>
      <c r="N639" s="172"/>
      <c r="O639" s="172"/>
      <c r="P639" s="738"/>
      <c r="Q639" s="814" t="s">
        <v>1317</v>
      </c>
      <c r="R639" s="785">
        <f>IFERROR(VLOOKUP($Q639,'391'!$S:$Z,8,0),"")</f>
        <v>23468.5</v>
      </c>
      <c r="S639" s="786"/>
      <c r="T639" s="787" t="str">
        <f>$Q$640&amp;C639&amp;E639</f>
        <v>L-LysineFeedmill46240</v>
      </c>
      <c r="U639" s="787"/>
      <c r="V639" s="787"/>
      <c r="W639" s="785">
        <f>IFERROR(VLOOKUP($Q639,'391'!$S:$AG,15,0),0)</f>
        <v>71833.7</v>
      </c>
      <c r="X639" s="1090">
        <f t="shared" si="390"/>
        <v>-64341.649999999994</v>
      </c>
      <c r="Y639" s="785"/>
      <c r="Z639" s="785"/>
      <c r="AA639" s="787"/>
      <c r="AB639" s="787"/>
      <c r="AC639" s="679"/>
      <c r="AD639" s="679"/>
      <c r="AE639" s="679"/>
      <c r="AF639" s="679"/>
      <c r="AG639" s="679"/>
      <c r="AH639" s="679"/>
      <c r="AI639" s="682"/>
      <c r="AJ639" s="682"/>
      <c r="AK639" s="682"/>
      <c r="AL639" s="682"/>
      <c r="AM639" s="682"/>
      <c r="AN639" s="682"/>
      <c r="AO639" s="682"/>
      <c r="AP639" s="682"/>
      <c r="AQ639" s="682"/>
      <c r="AR639" s="682"/>
      <c r="AS639" s="682"/>
    </row>
    <row r="640" spans="1:45" s="265" customFormat="1" ht="30" customHeight="1" x14ac:dyDescent="0.25">
      <c r="A640" s="2022" t="s">
        <v>50</v>
      </c>
      <c r="B640" s="2023"/>
      <c r="C640" s="88"/>
      <c r="D640" s="864"/>
      <c r="E640" s="864"/>
      <c r="F640" s="865"/>
      <c r="G640" s="1297">
        <v>59992.05</v>
      </c>
      <c r="H640" s="1297">
        <f t="shared" ref="H640:L640" si="397">+SUM(H630:H639)</f>
        <v>0</v>
      </c>
      <c r="I640" s="1297">
        <f t="shared" si="397"/>
        <v>5000</v>
      </c>
      <c r="J640" s="1297">
        <f t="shared" si="397"/>
        <v>3688.25</v>
      </c>
      <c r="K640" s="1297">
        <f t="shared" si="397"/>
        <v>5000</v>
      </c>
      <c r="L640" s="1297">
        <f t="shared" si="397"/>
        <v>56303.8</v>
      </c>
      <c r="M640" s="59">
        <f>IFERROR((S640/$S$2),"")</f>
        <v>3911.4166666666665</v>
      </c>
      <c r="N640" s="366">
        <f>(L640/M640)</f>
        <v>14.394733366001237</v>
      </c>
      <c r="O640" s="59">
        <f>IFERROR(SUMIF(ETM!$A:$A,$Q640,ETM!$E:$E),"")</f>
        <v>4189.666666666667</v>
      </c>
      <c r="P640" s="855">
        <f>(L640/O640)</f>
        <v>13.438730209244968</v>
      </c>
      <c r="Q640" s="814" t="s">
        <v>653</v>
      </c>
      <c r="R640" s="785" t="str">
        <f>IFERROR(VLOOKUP($Q640,'391'!$S:$Z,8,0),"0")</f>
        <v>0</v>
      </c>
      <c r="S640" s="800">
        <f>+R640+R639</f>
        <v>23468.5</v>
      </c>
      <c r="T640" s="797"/>
      <c r="U640" s="797"/>
      <c r="V640" s="797"/>
      <c r="W640" s="785">
        <f>IFERROR(VLOOKUP($Q640,'391'!$S:$AG,15,0),0)</f>
        <v>0</v>
      </c>
      <c r="X640" s="1090">
        <f>G640-W640-W639</f>
        <v>-11841.649999999994</v>
      </c>
      <c r="Y640" s="785"/>
      <c r="Z640" s="785"/>
      <c r="AA640" s="797"/>
      <c r="AB640" s="797"/>
      <c r="AC640" s="551"/>
      <c r="AD640" s="551"/>
      <c r="AE640" s="551"/>
      <c r="AF640" s="551"/>
      <c r="AG640" s="551"/>
      <c r="AH640" s="551"/>
      <c r="AI640" s="704"/>
      <c r="AJ640" s="704"/>
      <c r="AK640" s="704"/>
      <c r="AL640" s="704"/>
      <c r="AM640" s="704"/>
      <c r="AN640" s="704"/>
      <c r="AO640" s="704"/>
      <c r="AP640" s="704"/>
      <c r="AQ640" s="704"/>
      <c r="AR640" s="704"/>
      <c r="AS640" s="704"/>
    </row>
    <row r="641" spans="1:45" s="14" customFormat="1" ht="30" hidden="1" customHeight="1" x14ac:dyDescent="0.25">
      <c r="A641" s="2053" t="str">
        <f>IF(L645=0,"",MAX($A$16:A640)+1)</f>
        <v/>
      </c>
      <c r="B641" s="2055" t="s">
        <v>214</v>
      </c>
      <c r="C641" s="121" t="s">
        <v>128</v>
      </c>
      <c r="D641" s="881" t="s">
        <v>10</v>
      </c>
      <c r="E641" s="882">
        <v>42559</v>
      </c>
      <c r="F641" s="71">
        <f>$L$7-E641</f>
        <v>3702</v>
      </c>
      <c r="G641" s="1370">
        <v>0</v>
      </c>
      <c r="H641" s="1370"/>
      <c r="I641" s="1370"/>
      <c r="J641" s="1371"/>
      <c r="K641" s="1370"/>
      <c r="L641" s="1534">
        <f t="shared" ref="L641:L662" si="398">+G641+H641+I641-J641-K641</f>
        <v>0</v>
      </c>
      <c r="M641" s="195"/>
      <c r="N641" s="920"/>
      <c r="O641" s="195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ref="X641:X666" si="399">G641-W641</f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14" customFormat="1" ht="30" hidden="1" customHeight="1" x14ac:dyDescent="0.25">
      <c r="A642" s="2054"/>
      <c r="B642" s="2056"/>
      <c r="C642" s="121" t="s">
        <v>128</v>
      </c>
      <c r="D642" s="881" t="s">
        <v>10</v>
      </c>
      <c r="E642" s="882">
        <v>42559</v>
      </c>
      <c r="F642" s="71">
        <f>$L$7-E642</f>
        <v>3702</v>
      </c>
      <c r="G642" s="1370">
        <v>0</v>
      </c>
      <c r="H642" s="1370"/>
      <c r="I642" s="1370"/>
      <c r="J642" s="1371"/>
      <c r="K642" s="1370"/>
      <c r="L642" s="1534">
        <f t="shared" si="398"/>
        <v>0</v>
      </c>
      <c r="M642" s="173"/>
      <c r="N642" s="920"/>
      <c r="O642" s="173"/>
      <c r="P642" s="857"/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399"/>
        <v>0</v>
      </c>
      <c r="Y642" s="785"/>
      <c r="Z642" s="785"/>
      <c r="AA642" s="797"/>
      <c r="AB642" s="797"/>
      <c r="AC642" s="683"/>
      <c r="AD642" s="683"/>
      <c r="AE642" s="683"/>
      <c r="AF642" s="683"/>
      <c r="AG642" s="683"/>
      <c r="AH642" s="683"/>
      <c r="AI642" s="705"/>
      <c r="AJ642" s="705"/>
      <c r="AK642" s="705"/>
      <c r="AL642" s="705"/>
      <c r="AM642" s="705"/>
      <c r="AN642" s="705"/>
      <c r="AO642" s="705"/>
      <c r="AP642" s="705"/>
      <c r="AQ642" s="705"/>
      <c r="AR642" s="705"/>
      <c r="AS642" s="705"/>
    </row>
    <row r="643" spans="1:45" s="14" customFormat="1" ht="30" hidden="1" customHeight="1" x14ac:dyDescent="0.25">
      <c r="A643" s="2054"/>
      <c r="B643" s="2056"/>
      <c r="C643" s="121" t="s">
        <v>151</v>
      </c>
      <c r="D643" s="881" t="s">
        <v>10</v>
      </c>
      <c r="E643" s="882">
        <v>42472</v>
      </c>
      <c r="F643" s="71">
        <f>$L$7-E643</f>
        <v>3789</v>
      </c>
      <c r="G643" s="1370">
        <v>0</v>
      </c>
      <c r="H643" s="1370"/>
      <c r="I643" s="1370"/>
      <c r="J643" s="1371"/>
      <c r="K643" s="1370"/>
      <c r="L643" s="1534">
        <f t="shared" si="398"/>
        <v>0</v>
      </c>
      <c r="M643" s="173"/>
      <c r="N643" s="920"/>
      <c r="O643" s="173"/>
      <c r="P643" s="857"/>
      <c r="Q643" s="795"/>
      <c r="R643" s="785">
        <f>IFERROR(VLOOKUP($Q643,'391'!$S:$Z,8,0),"")</f>
        <v>0</v>
      </c>
      <c r="S643" s="796"/>
      <c r="T643" s="797"/>
      <c r="U643" s="797"/>
      <c r="V643" s="797"/>
      <c r="W643" s="785">
        <f>IFERROR(VLOOKUP($Q643,'391'!$S:$AG,15,0),0)</f>
        <v>0</v>
      </c>
      <c r="X643" s="1090">
        <f t="shared" si="399"/>
        <v>0</v>
      </c>
      <c r="Y643" s="785"/>
      <c r="Z643" s="785"/>
      <c r="AA643" s="797"/>
      <c r="AB643" s="797"/>
      <c r="AC643" s="683"/>
      <c r="AD643" s="683"/>
      <c r="AE643" s="683"/>
      <c r="AF643" s="683"/>
      <c r="AG643" s="683"/>
      <c r="AH643" s="683"/>
      <c r="AI643" s="705"/>
      <c r="AJ643" s="705"/>
      <c r="AK643" s="705"/>
      <c r="AL643" s="705"/>
      <c r="AM643" s="705"/>
      <c r="AN643" s="705"/>
      <c r="AO643" s="705"/>
      <c r="AP643" s="705"/>
      <c r="AQ643" s="705"/>
      <c r="AR643" s="705"/>
      <c r="AS643" s="705"/>
    </row>
    <row r="644" spans="1:45" s="13" customFormat="1" ht="30" hidden="1" customHeight="1" x14ac:dyDescent="0.25">
      <c r="A644" s="268"/>
      <c r="B644" s="267"/>
      <c r="C644" s="108" t="s">
        <v>46</v>
      </c>
      <c r="D644" s="863" t="s">
        <v>10</v>
      </c>
      <c r="E644" s="886">
        <v>42317</v>
      </c>
      <c r="F644" s="361">
        <f>$L$7-E644</f>
        <v>3944</v>
      </c>
      <c r="G644" s="1372">
        <v>0</v>
      </c>
      <c r="H644" s="1372"/>
      <c r="I644" s="1372"/>
      <c r="J644" s="1373"/>
      <c r="K644" s="1372"/>
      <c r="L644" s="1534">
        <f t="shared" si="398"/>
        <v>0</v>
      </c>
      <c r="M644" s="62"/>
      <c r="N644" s="920"/>
      <c r="O644" s="62"/>
      <c r="P644" s="857"/>
      <c r="Q644" s="795"/>
      <c r="R644" s="785">
        <f>IFERROR(VLOOKUP($Q644,'391'!$S:$Z,8,0),"")</f>
        <v>0</v>
      </c>
      <c r="S644" s="796"/>
      <c r="T644" s="797"/>
      <c r="U644" s="797"/>
      <c r="V644" s="797"/>
      <c r="W644" s="785">
        <f>IFERROR(VLOOKUP($Q644,'391'!$S:$AG,15,0),0)</f>
        <v>0</v>
      </c>
      <c r="X644" s="1090">
        <f t="shared" si="399"/>
        <v>0</v>
      </c>
      <c r="Y644" s="785"/>
      <c r="Z644" s="785"/>
      <c r="AA644" s="797"/>
      <c r="AB644" s="797"/>
      <c r="AC644" s="683"/>
      <c r="AD644" s="683"/>
      <c r="AE644" s="683"/>
      <c r="AF644" s="683"/>
      <c r="AG644" s="683"/>
      <c r="AH644" s="683"/>
      <c r="AI644" s="705"/>
      <c r="AJ644" s="705"/>
      <c r="AK644" s="705"/>
      <c r="AL644" s="705"/>
      <c r="AM644" s="705"/>
      <c r="AN644" s="705"/>
      <c r="AO644" s="705"/>
      <c r="AP644" s="705"/>
      <c r="AQ644" s="705"/>
      <c r="AR644" s="705"/>
      <c r="AS644" s="705"/>
    </row>
    <row r="645" spans="1:45" s="265" customFormat="1" ht="30" hidden="1" customHeight="1" x14ac:dyDescent="0.25">
      <c r="A645" s="2022" t="s">
        <v>1386</v>
      </c>
      <c r="B645" s="2023"/>
      <c r="C645" s="88"/>
      <c r="D645" s="900"/>
      <c r="E645" s="901"/>
      <c r="F645" s="902"/>
      <c r="G645" s="1297">
        <v>0</v>
      </c>
      <c r="H645" s="1344">
        <f>SUM(H641:H644)</f>
        <v>0</v>
      </c>
      <c r="I645" s="1337">
        <f>SUM(I641:I644)</f>
        <v>0</v>
      </c>
      <c r="J645" s="1374">
        <f>SUM(J641:J644)</f>
        <v>0</v>
      </c>
      <c r="K645" s="1337"/>
      <c r="L645" s="1534">
        <f t="shared" si="398"/>
        <v>0</v>
      </c>
      <c r="M645" s="59"/>
      <c r="N645" s="366" t="e">
        <f>(L645/M645)/1000</f>
        <v>#DIV/0!</v>
      </c>
      <c r="O645" s="59"/>
      <c r="P645" s="857" t="e">
        <f>(L645/O645)/1000</f>
        <v>#DIV/0!</v>
      </c>
      <c r="Q645" s="795"/>
      <c r="R645" s="785">
        <f>IFERROR(VLOOKUP($Q645,'391'!$S:$Z,8,0),"")</f>
        <v>0</v>
      </c>
      <c r="S645" s="796"/>
      <c r="T645" s="797"/>
      <c r="U645" s="797"/>
      <c r="V645" s="797"/>
      <c r="W645" s="785">
        <f>IFERROR(VLOOKUP($Q645,'391'!$S:$AG,15,0),0)</f>
        <v>0</v>
      </c>
      <c r="X645" s="1090">
        <f t="shared" si="399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8">
        <f>IF(L653=0,"",MAX($A$16:A645)+1)</f>
        <v>36</v>
      </c>
      <c r="B646" s="2057" t="s">
        <v>865</v>
      </c>
      <c r="C646" s="259"/>
      <c r="D646" s="881" t="s">
        <v>10</v>
      </c>
      <c r="E646" s="882">
        <v>45807</v>
      </c>
      <c r="F646" s="71">
        <f t="shared" ref="F646:F652" si="400">$L$7-E646</f>
        <v>454</v>
      </c>
      <c r="G646" s="1370">
        <v>0</v>
      </c>
      <c r="H646" s="1370"/>
      <c r="I646" s="1375"/>
      <c r="J646" s="1371"/>
      <c r="K646" s="12">
        <f>IFERROR(SUMIF(INTAKE!$A:$A,$T646,INTAKE!$P:$P),0)</f>
        <v>0</v>
      </c>
      <c r="L646" s="1703">
        <f t="shared" si="398"/>
        <v>0</v>
      </c>
      <c r="M646" s="195"/>
      <c r="N646" s="195"/>
      <c r="O646" s="195"/>
      <c r="P646" s="753"/>
      <c r="Q646" s="795"/>
      <c r="R646" s="785">
        <f>IFERROR(VLOOKUP($Q646,'391'!$S:$Z,8,0),"")</f>
        <v>0</v>
      </c>
      <c r="S646" s="796"/>
      <c r="T646" s="797" t="str">
        <f t="shared" ref="T646:T652" si="401">$Q$653&amp;C646&amp;E646</f>
        <v>Chlortetracyline45807</v>
      </c>
      <c r="U646" s="797"/>
      <c r="V646" s="797"/>
      <c r="W646" s="785">
        <f>IFERROR(VLOOKUP($Q646,'391'!$S:$AG,15,0),0)</f>
        <v>0</v>
      </c>
      <c r="X646" s="1090">
        <f t="shared" si="399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hidden="1" customHeight="1" x14ac:dyDescent="0.25">
      <c r="A647" s="2049"/>
      <c r="B647" s="2058"/>
      <c r="C647" s="259"/>
      <c r="D647" s="881" t="s">
        <v>10</v>
      </c>
      <c r="E647" s="882">
        <v>45868</v>
      </c>
      <c r="F647" s="71">
        <f t="shared" si="400"/>
        <v>393</v>
      </c>
      <c r="G647" s="1370">
        <v>0</v>
      </c>
      <c r="H647" s="1370"/>
      <c r="I647" s="1375"/>
      <c r="J647" s="1371"/>
      <c r="K647" s="12">
        <f>IFERROR(SUMIF(INTAKE!$A:$A,$T647,INTAKE!$P:$P),0)</f>
        <v>0</v>
      </c>
      <c r="L647" s="1703">
        <f t="shared" si="398"/>
        <v>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1"/>
        <v>Chlortetracyline45868</v>
      </c>
      <c r="U647" s="797"/>
      <c r="V647" s="797"/>
      <c r="W647" s="785">
        <f>IFERROR(VLOOKUP($Q647,'391'!$S:$AG,15,0),0)</f>
        <v>0</v>
      </c>
      <c r="X647" s="1090">
        <f t="shared" si="399"/>
        <v>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9"/>
      <c r="B648" s="2059"/>
      <c r="C648" s="259"/>
      <c r="D648" s="881" t="s">
        <v>10</v>
      </c>
      <c r="E648" s="882">
        <v>45908</v>
      </c>
      <c r="F648" s="71">
        <f t="shared" si="400"/>
        <v>353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03">
        <f t="shared" si="398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1"/>
        <v>Chlortetracyline45908</v>
      </c>
      <c r="U648" s="797"/>
      <c r="V648" s="797"/>
      <c r="W648" s="785">
        <f>IFERROR(VLOOKUP($Q648,'391'!$S:$AG,15,0),0)</f>
        <v>0</v>
      </c>
      <c r="X648" s="1090">
        <f t="shared" si="399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hidden="1" customHeight="1" x14ac:dyDescent="0.25">
      <c r="A649" s="2049"/>
      <c r="B649" s="2059"/>
      <c r="C649" s="259"/>
      <c r="D649" s="881" t="s">
        <v>10</v>
      </c>
      <c r="E649" s="882">
        <v>45996</v>
      </c>
      <c r="F649" s="71">
        <f t="shared" ref="F649:F650" si="402">$L$7-E649</f>
        <v>265</v>
      </c>
      <c r="G649" s="1370">
        <v>0</v>
      </c>
      <c r="H649" s="1370"/>
      <c r="I649" s="1375"/>
      <c r="J649" s="1371"/>
      <c r="K649" s="64">
        <f>IFERROR(SUMIF(INTAKE!$A:$A,$T649,INTAKE!$P:$P),0)</f>
        <v>0</v>
      </c>
      <c r="L649" s="1703">
        <f t="shared" si="398"/>
        <v>0</v>
      </c>
      <c r="M649" s="173"/>
      <c r="N649" s="1460"/>
      <c r="O649" s="173"/>
      <c r="P649" s="924"/>
      <c r="Q649" s="795"/>
      <c r="R649" s="785">
        <f>IFERROR(VLOOKUP($Q649,'391'!$S:$Z,8,0),"")</f>
        <v>0</v>
      </c>
      <c r="S649" s="796"/>
      <c r="T649" s="797" t="str">
        <f t="shared" si="401"/>
        <v>Chlortetracyline45996</v>
      </c>
      <c r="U649" s="797"/>
      <c r="V649" s="797"/>
      <c r="W649" s="785">
        <f>IFERROR(VLOOKUP($Q649,'391'!$S:$AG,15,0),0)</f>
        <v>0</v>
      </c>
      <c r="X649" s="1090">
        <f t="shared" si="399"/>
        <v>0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49"/>
      <c r="B650" s="2059"/>
      <c r="C650" s="259" t="s">
        <v>1213</v>
      </c>
      <c r="D650" s="881" t="s">
        <v>10</v>
      </c>
      <c r="E650" s="882">
        <v>46216</v>
      </c>
      <c r="F650" s="71">
        <f t="shared" si="402"/>
        <v>45</v>
      </c>
      <c r="G650" s="1370">
        <v>125</v>
      </c>
      <c r="H650" s="1370"/>
      <c r="I650" s="1375"/>
      <c r="J650" s="1371"/>
      <c r="K650" s="12">
        <f>IFERROR(SUMIF(INTAKE!$A:$A,$T650,INTAKE!$P:$P),0)</f>
        <v>0</v>
      </c>
      <c r="L650" s="1703">
        <f t="shared" si="398"/>
        <v>125</v>
      </c>
      <c r="M650" s="173"/>
      <c r="N650" s="1460"/>
      <c r="O650" s="173"/>
      <c r="P650" s="924"/>
      <c r="Q650" s="795"/>
      <c r="R650" s="785">
        <f>IFERROR(VLOOKUP($Q650,'391'!$S:$Z,8,0),"")</f>
        <v>0</v>
      </c>
      <c r="S650" s="796"/>
      <c r="T650" s="797" t="str">
        <f t="shared" si="401"/>
        <v>ChlortetracylineE346216</v>
      </c>
      <c r="U650" s="797"/>
      <c r="V650" s="797"/>
      <c r="W650" s="785">
        <f>IFERROR(VLOOKUP($Q650,'391'!$S:$AG,15,0),0)</f>
        <v>0</v>
      </c>
      <c r="X650" s="1090">
        <f t="shared" si="399"/>
        <v>125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265" customFormat="1" ht="30" hidden="1" customHeight="1" x14ac:dyDescent="0.25">
      <c r="A651" s="2049"/>
      <c r="B651" s="2059"/>
      <c r="C651" s="259"/>
      <c r="D651" s="881" t="s">
        <v>10</v>
      </c>
      <c r="E651" s="882">
        <v>46216</v>
      </c>
      <c r="F651" s="71">
        <f t="shared" si="400"/>
        <v>45</v>
      </c>
      <c r="G651" s="1370">
        <v>0</v>
      </c>
      <c r="H651" s="1370"/>
      <c r="I651" s="1375"/>
      <c r="J651" s="1371"/>
      <c r="K651" s="12">
        <f>IFERROR(SUMIF(INTAKE!$A:$A,$T651,INTAKE!$P:$P),0)</f>
        <v>0</v>
      </c>
      <c r="L651" s="1712">
        <f t="shared" si="398"/>
        <v>0</v>
      </c>
      <c r="M651" s="173"/>
      <c r="N651" s="1460"/>
      <c r="O651" s="173"/>
      <c r="P651" s="924"/>
      <c r="Q651" s="795"/>
      <c r="R651" s="785">
        <f>IFERROR(VLOOKUP($Q651,'391'!$S:$Z,8,0),"")</f>
        <v>0</v>
      </c>
      <c r="S651" s="796"/>
      <c r="T651" s="797" t="str">
        <f t="shared" si="401"/>
        <v>Chlortetracyline46216</v>
      </c>
      <c r="U651" s="797"/>
      <c r="V651" s="797"/>
      <c r="W651" s="785">
        <f>IFERROR(VLOOKUP($Q651,'391'!$S:$AG,15,0),0)</f>
        <v>0</v>
      </c>
      <c r="X651" s="1090">
        <f t="shared" si="399"/>
        <v>0</v>
      </c>
      <c r="Y651" s="785"/>
      <c r="Z651" s="785"/>
      <c r="AA651" s="797"/>
      <c r="AB651" s="797"/>
      <c r="AC651" s="551"/>
      <c r="AD651" s="551"/>
      <c r="AE651" s="551"/>
      <c r="AF651" s="551"/>
      <c r="AG651" s="551"/>
      <c r="AH651" s="551"/>
      <c r="AI651" s="704"/>
      <c r="AJ651" s="704"/>
      <c r="AK651" s="704"/>
      <c r="AL651" s="704"/>
      <c r="AM651" s="704"/>
      <c r="AN651" s="704"/>
      <c r="AO651" s="704"/>
      <c r="AP651" s="704"/>
      <c r="AQ651" s="704"/>
      <c r="AR651" s="704"/>
      <c r="AS651" s="704"/>
    </row>
    <row r="652" spans="1:45" s="265" customFormat="1" ht="30" customHeight="1" x14ac:dyDescent="0.25">
      <c r="A652" s="2050"/>
      <c r="B652" s="2060"/>
      <c r="C652" s="107" t="s">
        <v>46</v>
      </c>
      <c r="D652" s="850" t="s">
        <v>10</v>
      </c>
      <c r="E652" s="851">
        <v>46216</v>
      </c>
      <c r="F652" s="70">
        <f t="shared" si="400"/>
        <v>45</v>
      </c>
      <c r="G652" s="1376">
        <v>6.279999999999994</v>
      </c>
      <c r="H652" s="1376"/>
      <c r="I652" s="1370">
        <f>+SUM(K646:K651)</f>
        <v>0</v>
      </c>
      <c r="J652" s="1377">
        <f>usage!I134</f>
        <v>0</v>
      </c>
      <c r="K652" s="1376">
        <f>IFERROR(SUMIF(INTAKE!$A:$A,$T652,INTAKE!$P:$P),0)</f>
        <v>0</v>
      </c>
      <c r="L652" s="1534">
        <f t="shared" si="398"/>
        <v>6.279999999999994</v>
      </c>
      <c r="M652" s="174"/>
      <c r="N652" s="920"/>
      <c r="O652" s="174"/>
      <c r="P652" s="857"/>
      <c r="Q652" s="795"/>
      <c r="R652" s="785">
        <f>IFERROR(VLOOKUP($Q652,'391'!$S:$Z,8,0),"")</f>
        <v>0</v>
      </c>
      <c r="S652" s="796"/>
      <c r="T652" s="797" t="str">
        <f t="shared" si="401"/>
        <v>ChlortetracylineFeedmill46216</v>
      </c>
      <c r="U652" s="797"/>
      <c r="V652" s="797"/>
      <c r="W652" s="785">
        <f>IFERROR(VLOOKUP($Q652,'391'!$S:$AG,15,0),0)</f>
        <v>0</v>
      </c>
      <c r="X652" s="1090">
        <f t="shared" si="399"/>
        <v>6.279999999999994</v>
      </c>
      <c r="Y652" s="785"/>
      <c r="Z652" s="785"/>
      <c r="AA652" s="797"/>
      <c r="AB652" s="797"/>
      <c r="AC652" s="551"/>
      <c r="AD652" s="551"/>
      <c r="AE652" s="551"/>
      <c r="AF652" s="551"/>
      <c r="AG652" s="551"/>
      <c r="AH652" s="551"/>
      <c r="AI652" s="704"/>
      <c r="AJ652" s="704"/>
      <c r="AK652" s="704"/>
      <c r="AL652" s="704"/>
      <c r="AM652" s="704"/>
      <c r="AN652" s="704"/>
      <c r="AO652" s="704"/>
      <c r="AP652" s="704"/>
      <c r="AQ652" s="704"/>
      <c r="AR652" s="704"/>
      <c r="AS652" s="704"/>
    </row>
    <row r="653" spans="1:45" s="265" customFormat="1" ht="30" customHeight="1" x14ac:dyDescent="0.25">
      <c r="A653" s="2022" t="s">
        <v>577</v>
      </c>
      <c r="B653" s="2023"/>
      <c r="C653" s="88"/>
      <c r="D653" s="900"/>
      <c r="E653" s="901"/>
      <c r="F653" s="902"/>
      <c r="G653" s="1297">
        <v>131.28</v>
      </c>
      <c r="H653" s="1344">
        <f>SUM(H646:H652)</f>
        <v>0</v>
      </c>
      <c r="I653" s="1344">
        <f>SUM(I646:I652)</f>
        <v>0</v>
      </c>
      <c r="J653" s="1344">
        <f t="shared" ref="J653:L653" si="403">SUM(J646:J652)</f>
        <v>0</v>
      </c>
      <c r="K653" s="1344">
        <f t="shared" si="403"/>
        <v>0</v>
      </c>
      <c r="L653" s="1297">
        <f t="shared" si="403"/>
        <v>131.28</v>
      </c>
      <c r="M653" s="59">
        <f>IFERROR((R653/$S$2),"")</f>
        <v>6.3933333333333335</v>
      </c>
      <c r="N653" s="366">
        <f>IFERROR(L653/M653,0)</f>
        <v>20.533889468196037</v>
      </c>
      <c r="O653" s="59">
        <f>IFERROR(SUMIF(ETM!$A:$A,$Q653,ETM!$E:$E),"")</f>
        <v>0</v>
      </c>
      <c r="P653" s="855">
        <f>IFERROR(L653/O653,0)</f>
        <v>0</v>
      </c>
      <c r="Q653" s="795" t="s">
        <v>878</v>
      </c>
      <c r="R653" s="785">
        <f>IFERROR(VLOOKUP($Q653,'391'!$S:$Z,8,0),"")</f>
        <v>38.36</v>
      </c>
      <c r="S653" s="796"/>
      <c r="T653" s="797"/>
      <c r="U653" s="797"/>
      <c r="V653" s="797"/>
      <c r="W653" s="785">
        <f>IFERROR(VLOOKUP($Q653,'391'!$S:$AG,15,0),0)</f>
        <v>131.28</v>
      </c>
      <c r="X653" s="1090">
        <f t="shared" si="399"/>
        <v>0</v>
      </c>
      <c r="Y653" s="785"/>
      <c r="Z653" s="785"/>
      <c r="AA653" s="797"/>
      <c r="AB653" s="797"/>
      <c r="AC653" s="551"/>
      <c r="AD653" s="551"/>
      <c r="AE653" s="551"/>
      <c r="AF653" s="551"/>
      <c r="AG653" s="551"/>
      <c r="AH653" s="551"/>
      <c r="AI653" s="704"/>
      <c r="AJ653" s="704"/>
      <c r="AK653" s="704"/>
      <c r="AL653" s="704"/>
      <c r="AM653" s="704"/>
      <c r="AN653" s="704"/>
      <c r="AO653" s="704"/>
      <c r="AP653" s="704"/>
      <c r="AQ653" s="704"/>
      <c r="AR653" s="704"/>
      <c r="AS653" s="704"/>
    </row>
    <row r="654" spans="1:45" s="14" customFormat="1" ht="30" customHeight="1" x14ac:dyDescent="0.25">
      <c r="A654" s="2049">
        <f>IF(L663=0,"",MAX($A$16:A653)+1)</f>
        <v>37</v>
      </c>
      <c r="B654" s="2058" t="s">
        <v>155</v>
      </c>
      <c r="C654" s="121" t="s">
        <v>1777</v>
      </c>
      <c r="D654" s="881" t="s">
        <v>10</v>
      </c>
      <c r="E654" s="882">
        <v>46246</v>
      </c>
      <c r="F654" s="71">
        <f t="shared" ref="F654:F655" si="404">$L$7-E654</f>
        <v>15</v>
      </c>
      <c r="G654" s="1370">
        <v>15000</v>
      </c>
      <c r="H654" s="1370"/>
      <c r="I654" s="64"/>
      <c r="J654" s="1367"/>
      <c r="K654" s="64">
        <f>IFERROR(SUMIF(INTAKE!$A:$A,$T654,INTAKE!$P:$P),0)</f>
        <v>5000</v>
      </c>
      <c r="L654" s="1703">
        <f t="shared" si="398"/>
        <v>10000</v>
      </c>
      <c r="M654" s="266"/>
      <c r="N654" s="920"/>
      <c r="O654" s="266"/>
      <c r="P654" s="857"/>
      <c r="Q654" s="795"/>
      <c r="R654" s="785">
        <f>IFERROR(VLOOKUP($Q654,'391'!$S:$Z,8,0),"")</f>
        <v>0</v>
      </c>
      <c r="S654" s="796"/>
      <c r="T654" s="797" t="str">
        <f t="shared" ref="T654:T662" si="405">$Q$663&amp;C654&amp;E654</f>
        <v>L-Lysine Sulphat 70%B17.146246</v>
      </c>
      <c r="U654" s="797"/>
      <c r="V654" s="797"/>
      <c r="W654" s="785">
        <f>IFERROR(VLOOKUP($Q654,'391'!$S:$AG,15,0),0)</f>
        <v>0</v>
      </c>
      <c r="X654" s="1090">
        <f t="shared" si="399"/>
        <v>15000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customHeight="1" x14ac:dyDescent="0.25">
      <c r="A655" s="2049"/>
      <c r="B655" s="2058"/>
      <c r="C655" s="121" t="s">
        <v>1659</v>
      </c>
      <c r="D655" s="881" t="s">
        <v>10</v>
      </c>
      <c r="E655" s="882">
        <v>46252</v>
      </c>
      <c r="F655" s="71">
        <f t="shared" si="404"/>
        <v>9</v>
      </c>
      <c r="G655" s="1370">
        <v>28000</v>
      </c>
      <c r="H655" s="1370"/>
      <c r="I655" s="64"/>
      <c r="J655" s="1367"/>
      <c r="K655" s="64">
        <f>IFERROR(SUMIF(INTAKE!$A:$A,$T655,INTAKE!$P:$P),0)</f>
        <v>0</v>
      </c>
      <c r="L655" s="1703">
        <f t="shared" si="398"/>
        <v>28000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5"/>
        <v>L-Lysine Sulphat 70%B19.146252</v>
      </c>
      <c r="U655" s="797"/>
      <c r="V655" s="797"/>
      <c r="W655" s="785">
        <f>IFERROR(VLOOKUP($Q655,'391'!$S:$AG,15,0),0)</f>
        <v>0</v>
      </c>
      <c r="X655" s="1090">
        <f t="shared" si="399"/>
        <v>28000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customHeight="1" x14ac:dyDescent="0.25">
      <c r="A656" s="2049"/>
      <c r="B656" s="2058"/>
      <c r="C656" s="121" t="s">
        <v>578</v>
      </c>
      <c r="D656" s="881" t="s">
        <v>10</v>
      </c>
      <c r="E656" s="882">
        <v>46259</v>
      </c>
      <c r="F656" s="71">
        <f t="shared" ref="F656" si="406">$L$7-E656</f>
        <v>2</v>
      </c>
      <c r="G656" s="1370">
        <v>28000</v>
      </c>
      <c r="H656" s="1370"/>
      <c r="I656" s="64"/>
      <c r="J656" s="1367"/>
      <c r="K656" s="64">
        <f>IFERROR(SUMIF(INTAKE!$A:$A,$T656,INTAKE!$P:$P),0)</f>
        <v>0</v>
      </c>
      <c r="L656" s="1703">
        <f t="shared" si="398"/>
        <v>28000</v>
      </c>
      <c r="M656" s="173"/>
      <c r="N656" s="173"/>
      <c r="O656" s="173"/>
      <c r="P656" s="754"/>
      <c r="Q656" s="795"/>
      <c r="R656" s="785">
        <f>IFERROR(VLOOKUP($Q656,'391'!$S:$Z,8,0),"")</f>
        <v>0</v>
      </c>
      <c r="S656" s="796"/>
      <c r="T656" s="797" t="str">
        <f t="shared" si="405"/>
        <v>L-Lysine Sulphat 70%B14.446259</v>
      </c>
      <c r="U656" s="797"/>
      <c r="V656" s="797"/>
      <c r="W656" s="785">
        <f>IFERROR(VLOOKUP($Q656,'391'!$S:$AG,15,0),0)</f>
        <v>0</v>
      </c>
      <c r="X656" s="1090">
        <f t="shared" si="399"/>
        <v>28000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9"/>
      <c r="B657" s="2058"/>
      <c r="C657" s="121"/>
      <c r="D657" s="881" t="s">
        <v>10</v>
      </c>
      <c r="E657" s="882">
        <v>46246</v>
      </c>
      <c r="F657" s="71">
        <f t="shared" ref="F657" si="407">$L$7-E657</f>
        <v>15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3">
        <f t="shared" si="398"/>
        <v>0</v>
      </c>
      <c r="M657" s="173"/>
      <c r="N657" s="173"/>
      <c r="O657" s="173"/>
      <c r="P657" s="754"/>
      <c r="Q657" s="795"/>
      <c r="R657" s="785">
        <f>IFERROR(VLOOKUP($Q657,'391'!$S:$Z,8,0),"")</f>
        <v>0</v>
      </c>
      <c r="S657" s="796"/>
      <c r="T657" s="797" t="str">
        <f t="shared" si="405"/>
        <v>L-Lysine Sulphat 70%46246</v>
      </c>
      <c r="U657" s="797"/>
      <c r="V657" s="797"/>
      <c r="W657" s="785">
        <f>IFERROR(VLOOKUP($Q657,'391'!$S:$AG,15,0),0)</f>
        <v>0</v>
      </c>
      <c r="X657" s="1090">
        <f t="shared" si="399"/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9"/>
      <c r="B658" s="2058"/>
      <c r="C658" s="121"/>
      <c r="D658" s="881" t="s">
        <v>10</v>
      </c>
      <c r="E658" s="882">
        <v>46230</v>
      </c>
      <c r="F658" s="71">
        <f t="shared" ref="F658" si="408">$L$7-E658</f>
        <v>31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398"/>
        <v>0</v>
      </c>
      <c r="M658" s="173"/>
      <c r="N658" s="173"/>
      <c r="O658" s="173"/>
      <c r="P658" s="754"/>
      <c r="Q658" s="795"/>
      <c r="R658" s="785">
        <f>IFERROR(VLOOKUP($Q658,'391'!$S:$Z,8,0),"")</f>
        <v>0</v>
      </c>
      <c r="S658" s="796"/>
      <c r="T658" s="797" t="str">
        <f t="shared" si="405"/>
        <v>L-Lysine Sulphat 70%46230</v>
      </c>
      <c r="U658" s="797"/>
      <c r="V658" s="797"/>
      <c r="W658" s="785">
        <f>IFERROR(VLOOKUP($Q658,'391'!$S:$AG,15,0),0)</f>
        <v>0</v>
      </c>
      <c r="X658" s="1090">
        <f t="shared" si="399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hidden="1" customHeight="1" x14ac:dyDescent="0.25">
      <c r="A659" s="2049"/>
      <c r="B659" s="2058"/>
      <c r="C659" s="121"/>
      <c r="D659" s="881" t="s">
        <v>10</v>
      </c>
      <c r="E659" s="882">
        <v>46219</v>
      </c>
      <c r="F659" s="71">
        <f t="shared" ref="F659" si="409">$L$7-E659</f>
        <v>42</v>
      </c>
      <c r="G659" s="1370">
        <v>0</v>
      </c>
      <c r="H659" s="1370"/>
      <c r="I659" s="64"/>
      <c r="J659" s="1367"/>
      <c r="K659" s="64">
        <f>IFERROR(SUMIF(INTAKE!$A:$A,$T659,INTAKE!$P:$P),0)</f>
        <v>0</v>
      </c>
      <c r="L659" s="1703">
        <f t="shared" si="398"/>
        <v>0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5"/>
        <v>L-Lysine Sulphat 70%46219</v>
      </c>
      <c r="U659" s="797"/>
      <c r="V659" s="797"/>
      <c r="W659" s="785">
        <f>IFERROR(VLOOKUP($Q659,'391'!$S:$AG,15,0),0)</f>
        <v>0</v>
      </c>
      <c r="X659" s="1090">
        <f t="shared" si="399"/>
        <v>0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14" customFormat="1" ht="30" hidden="1" customHeight="1" x14ac:dyDescent="0.25">
      <c r="A660" s="2049"/>
      <c r="B660" s="2059"/>
      <c r="C660" s="121"/>
      <c r="D660" s="881" t="s">
        <v>10</v>
      </c>
      <c r="E660" s="882">
        <v>46197</v>
      </c>
      <c r="F660" s="71">
        <f t="shared" ref="F660" si="410">$L$7-E660</f>
        <v>64</v>
      </c>
      <c r="G660" s="1370">
        <v>0</v>
      </c>
      <c r="H660" s="1370"/>
      <c r="I660" s="64"/>
      <c r="J660" s="1367"/>
      <c r="K660" s="64">
        <f>IFERROR(SUMIF(INTAKE!$A:$A,$T660,INTAKE!$P:$P),0)</f>
        <v>0</v>
      </c>
      <c r="L660" s="1703">
        <f t="shared" ref="L660" si="411">+G660+H660+I660-J660-K660</f>
        <v>0</v>
      </c>
      <c r="M660" s="174"/>
      <c r="N660" s="174"/>
      <c r="O660" s="174"/>
      <c r="P660" s="755"/>
      <c r="Q660" s="795"/>
      <c r="R660" s="785">
        <f>IFERROR(VLOOKUP($Q660,'391'!$S:$Z,8,0),"")</f>
        <v>0</v>
      </c>
      <c r="S660" s="796"/>
      <c r="T660" s="797" t="str">
        <f t="shared" si="405"/>
        <v>L-Lysine Sulphat 70%46197</v>
      </c>
      <c r="U660" s="797"/>
      <c r="V660" s="797"/>
      <c r="W660" s="785">
        <f>IFERROR(VLOOKUP($Q660,'391'!$S:$AG,15,0),0)</f>
        <v>0</v>
      </c>
      <c r="X660" s="1090">
        <f t="shared" ref="X660" si="412">G660-W660</f>
        <v>0</v>
      </c>
      <c r="Y660" s="785"/>
      <c r="Z660" s="785"/>
      <c r="AA660" s="797"/>
      <c r="AB660" s="797"/>
      <c r="AC660" s="683"/>
      <c r="AD660" s="683"/>
      <c r="AE660" s="683"/>
      <c r="AF660" s="683"/>
      <c r="AG660" s="683"/>
      <c r="AH660" s="683"/>
      <c r="AI660" s="705"/>
      <c r="AJ660" s="705"/>
      <c r="AK660" s="705"/>
      <c r="AL660" s="705"/>
      <c r="AM660" s="705"/>
      <c r="AN660" s="705"/>
      <c r="AO660" s="705"/>
      <c r="AP660" s="705"/>
      <c r="AQ660" s="705"/>
      <c r="AR660" s="705"/>
      <c r="AS660" s="705"/>
    </row>
    <row r="661" spans="1:45" s="14" customFormat="1" ht="30" hidden="1" customHeight="1" x14ac:dyDescent="0.25">
      <c r="A661" s="2049"/>
      <c r="B661" s="2058"/>
      <c r="C661" s="121"/>
      <c r="D661" s="881" t="s">
        <v>10</v>
      </c>
      <c r="E661" s="882">
        <v>46182</v>
      </c>
      <c r="F661" s="71">
        <f t="shared" ref="F661:F662" si="413">$L$7-E661</f>
        <v>79</v>
      </c>
      <c r="G661" s="1370">
        <v>0</v>
      </c>
      <c r="H661" s="1370"/>
      <c r="I661" s="64"/>
      <c r="J661" s="1367"/>
      <c r="K661" s="64">
        <f>IFERROR(SUMIF(INTAKE!$A:$A,$T661,INTAKE!$P:$P),0)</f>
        <v>0</v>
      </c>
      <c r="L661" s="1703">
        <f t="shared" si="398"/>
        <v>0</v>
      </c>
      <c r="M661" s="174"/>
      <c r="N661" s="174"/>
      <c r="O661" s="174"/>
      <c r="P661" s="755"/>
      <c r="Q661" s="795"/>
      <c r="R661" s="785">
        <f>IFERROR(VLOOKUP($Q661,'391'!$S:$Z,8,0),"")</f>
        <v>0</v>
      </c>
      <c r="S661" s="796"/>
      <c r="T661" s="797" t="str">
        <f t="shared" si="405"/>
        <v>L-Lysine Sulphat 70%46182</v>
      </c>
      <c r="U661" s="797"/>
      <c r="V661" s="797"/>
      <c r="W661" s="785">
        <f>IFERROR(VLOOKUP($Q661,'391'!$S:$AG,15,0),0)</f>
        <v>0</v>
      </c>
      <c r="X661" s="1090">
        <f t="shared" si="399"/>
        <v>0</v>
      </c>
      <c r="Y661" s="785"/>
      <c r="Z661" s="785"/>
      <c r="AA661" s="797"/>
      <c r="AB661" s="797"/>
      <c r="AC661" s="683"/>
      <c r="AD661" s="683"/>
      <c r="AE661" s="683"/>
      <c r="AF661" s="683"/>
      <c r="AG661" s="683"/>
      <c r="AH661" s="683"/>
      <c r="AI661" s="705"/>
      <c r="AJ661" s="705"/>
      <c r="AK661" s="705"/>
      <c r="AL661" s="705"/>
      <c r="AM661" s="705"/>
      <c r="AN661" s="705"/>
      <c r="AO661" s="705"/>
      <c r="AP661" s="705"/>
      <c r="AQ661" s="705"/>
      <c r="AR661" s="705"/>
      <c r="AS661" s="705"/>
    </row>
    <row r="662" spans="1:45" s="14" customFormat="1" ht="30" customHeight="1" x14ac:dyDescent="0.25">
      <c r="A662" s="2049"/>
      <c r="B662" s="2058"/>
      <c r="C662" s="135" t="s">
        <v>1319</v>
      </c>
      <c r="D662" s="850" t="s">
        <v>10</v>
      </c>
      <c r="E662" s="851">
        <v>46246</v>
      </c>
      <c r="F662" s="71">
        <f t="shared" si="413"/>
        <v>15</v>
      </c>
      <c r="G662" s="1376">
        <v>8915.3499999999985</v>
      </c>
      <c r="H662" s="1376"/>
      <c r="I662" s="56">
        <f>+SUM(K654:K659)</f>
        <v>5000</v>
      </c>
      <c r="J662" s="1369">
        <f>+usage!I78</f>
        <v>6456.55</v>
      </c>
      <c r="K662" s="64">
        <f>IFERROR(SUMIF(INTAKE!$A:$A,$T662,INTAKE!$P:$P),0)</f>
        <v>0</v>
      </c>
      <c r="L662" s="1534">
        <f t="shared" si="398"/>
        <v>7458.7999999999984</v>
      </c>
      <c r="M662" s="174"/>
      <c r="N662" s="174"/>
      <c r="O662" s="174"/>
      <c r="P662" s="755"/>
      <c r="Q662" s="795"/>
      <c r="R662" s="785">
        <f>IFERROR(VLOOKUP($Q662,'391'!$S:$Z,8,0),"")</f>
        <v>0</v>
      </c>
      <c r="S662" s="796"/>
      <c r="T662" s="797" t="str">
        <f t="shared" si="405"/>
        <v>L-Lysine Sulphat 70%Feedmill, 15546246</v>
      </c>
      <c r="U662" s="797"/>
      <c r="V662" s="797"/>
      <c r="W662" s="785">
        <f>IFERROR(VLOOKUP($Q662,'391'!$S:$AG,15,0),0)</f>
        <v>0</v>
      </c>
      <c r="X662" s="1090">
        <f t="shared" si="399"/>
        <v>8915.3499999999985</v>
      </c>
      <c r="Y662" s="785"/>
      <c r="Z662" s="785"/>
      <c r="AA662" s="797"/>
      <c r="AB662" s="797"/>
      <c r="AC662" s="683"/>
      <c r="AD662" s="683"/>
      <c r="AE662" s="683"/>
      <c r="AF662" s="683"/>
      <c r="AG662" s="683"/>
      <c r="AH662" s="683"/>
      <c r="AI662" s="705"/>
      <c r="AJ662" s="705"/>
      <c r="AK662" s="705"/>
      <c r="AL662" s="705"/>
      <c r="AM662" s="705"/>
      <c r="AN662" s="705"/>
      <c r="AO662" s="705"/>
      <c r="AP662" s="705"/>
      <c r="AQ662" s="705"/>
      <c r="AR662" s="705"/>
      <c r="AS662" s="705"/>
    </row>
    <row r="663" spans="1:45" s="265" customFormat="1" ht="30" customHeight="1" x14ac:dyDescent="0.25">
      <c r="A663" s="2022" t="s">
        <v>156</v>
      </c>
      <c r="B663" s="2023"/>
      <c r="C663" s="88"/>
      <c r="D663" s="864"/>
      <c r="E663" s="939"/>
      <c r="F663" s="865"/>
      <c r="G663" s="1297">
        <v>79915.350000000006</v>
      </c>
      <c r="H663" s="1297">
        <f>SUM(H654:H662)</f>
        <v>0</v>
      </c>
      <c r="I663" s="1297">
        <f t="shared" ref="I663:L663" si="414">SUM(I654:I662)</f>
        <v>5000</v>
      </c>
      <c r="J663" s="1297">
        <f t="shared" si="414"/>
        <v>6456.55</v>
      </c>
      <c r="K663" s="1297">
        <f t="shared" si="414"/>
        <v>5000</v>
      </c>
      <c r="L663" s="1297">
        <f t="shared" si="414"/>
        <v>73458.8</v>
      </c>
      <c r="M663" s="59">
        <f>IFERROR((R663/$S$2),"")</f>
        <v>4914.2666666666673</v>
      </c>
      <c r="N663" s="854">
        <f>+(L663/M663)</f>
        <v>14.948069566161108</v>
      </c>
      <c r="O663" s="59">
        <f>IFERROR(SUMIF(ETM!$A:$A,$Q663,ETM!$E:$E),"")</f>
        <v>6075.833333333333</v>
      </c>
      <c r="P663" s="880">
        <f>IFERROR(L663/O663,0)</f>
        <v>12.090325058291045</v>
      </c>
      <c r="Q663" s="814" t="s">
        <v>654</v>
      </c>
      <c r="R663" s="785">
        <f>IFERROR(VLOOKUP($Q663,'391'!$S:$Z,8,0),"")</f>
        <v>29485.600000000002</v>
      </c>
      <c r="S663" s="796"/>
      <c r="T663" s="797"/>
      <c r="U663" s="797"/>
      <c r="V663" s="797"/>
      <c r="W663" s="785">
        <f>IFERROR(VLOOKUP($Q663,'391'!$S:$AG,15,0),0)</f>
        <v>67054.100000000006</v>
      </c>
      <c r="X663" s="1090">
        <f t="shared" si="399"/>
        <v>12861.25</v>
      </c>
      <c r="Y663" s="785"/>
      <c r="Z663" s="785"/>
      <c r="AA663" s="797"/>
      <c r="AB663" s="797"/>
      <c r="AC663" s="551"/>
      <c r="AD663" s="551"/>
      <c r="AE663" s="551"/>
      <c r="AF663" s="551"/>
      <c r="AG663" s="551"/>
      <c r="AH663" s="551"/>
      <c r="AI663" s="704"/>
      <c r="AJ663" s="704"/>
      <c r="AK663" s="704"/>
      <c r="AL663" s="704"/>
      <c r="AM663" s="704"/>
      <c r="AN663" s="704"/>
      <c r="AO663" s="704"/>
      <c r="AP663" s="704"/>
      <c r="AQ663" s="704"/>
      <c r="AR663" s="704"/>
      <c r="AS663" s="704"/>
    </row>
    <row r="664" spans="1:45" s="6" customFormat="1" ht="30" hidden="1" customHeight="1" x14ac:dyDescent="0.25">
      <c r="A664" s="2076">
        <f>IF(L667=0,"",MAX($A$16:A662)+1)</f>
        <v>38</v>
      </c>
      <c r="B664" s="2078" t="s">
        <v>1311</v>
      </c>
      <c r="C664" s="1140"/>
      <c r="D664" s="1145" t="s">
        <v>10</v>
      </c>
      <c r="E664" s="851">
        <v>45281</v>
      </c>
      <c r="F664" s="625">
        <f>$L$7-E664</f>
        <v>980</v>
      </c>
      <c r="G664" s="1376">
        <v>0</v>
      </c>
      <c r="H664" s="1376"/>
      <c r="I664" s="1376"/>
      <c r="J664" s="1376"/>
      <c r="K664" s="1376"/>
      <c r="L664" s="1534">
        <f>+G664+H664+I664-J664-K664</f>
        <v>0</v>
      </c>
      <c r="M664" s="66"/>
      <c r="N664" s="66"/>
      <c r="O664" s="66"/>
      <c r="P664" s="744"/>
      <c r="Q664" s="795"/>
      <c r="R664" s="785">
        <f>IFERROR(VLOOKUP($Q664,'391'!$S:$Z,8,0),"")</f>
        <v>0</v>
      </c>
      <c r="S664" s="786"/>
      <c r="T664" s="787"/>
      <c r="U664" s="787"/>
      <c r="V664" s="787"/>
      <c r="W664" s="785">
        <f>IFERROR(VLOOKUP($Q664,'391'!$S:$AG,15,0),0)</f>
        <v>0</v>
      </c>
      <c r="X664" s="1090">
        <f t="shared" si="399"/>
        <v>0</v>
      </c>
      <c r="Y664" s="785"/>
      <c r="Z664" s="785"/>
      <c r="AA664" s="787"/>
      <c r="AB664" s="787"/>
      <c r="AC664" s="679"/>
      <c r="AD664" s="679"/>
      <c r="AE664" s="679"/>
      <c r="AF664" s="679"/>
      <c r="AG664" s="679"/>
      <c r="AH664" s="679"/>
      <c r="AI664" s="682"/>
      <c r="AJ664" s="682"/>
      <c r="AK664" s="682"/>
      <c r="AL664" s="682"/>
      <c r="AM664" s="682"/>
      <c r="AN664" s="682"/>
      <c r="AO664" s="682"/>
      <c r="AP664" s="682"/>
      <c r="AQ664" s="682"/>
      <c r="AR664" s="682"/>
      <c r="AS664" s="682"/>
    </row>
    <row r="665" spans="1:45" s="6" customFormat="1" ht="30" customHeight="1" x14ac:dyDescent="0.25">
      <c r="A665" s="2073"/>
      <c r="B665" s="2079"/>
      <c r="C665" s="1140" t="s">
        <v>1195</v>
      </c>
      <c r="D665" s="1145" t="s">
        <v>10</v>
      </c>
      <c r="E665" s="851">
        <v>46230</v>
      </c>
      <c r="F665" s="625">
        <f>$L$7-E665</f>
        <v>31</v>
      </c>
      <c r="G665" s="1376">
        <v>22060.04</v>
      </c>
      <c r="H665" s="1376"/>
      <c r="I665" s="1376"/>
      <c r="J665" s="1376"/>
      <c r="K665" s="1376"/>
      <c r="L665" s="1534">
        <f>+G665+H665+I665-J665-K665</f>
        <v>22060.04</v>
      </c>
      <c r="M665" s="101"/>
      <c r="N665" s="101"/>
      <c r="O665" s="101"/>
      <c r="P665" s="738"/>
      <c r="Q665" s="795" t="s">
        <v>1375</v>
      </c>
      <c r="R665" s="785">
        <f>IFERROR(VLOOKUP($Q665,'391'!$S:$Z,8,0),"0")</f>
        <v>5305.57</v>
      </c>
      <c r="S665" s="786"/>
      <c r="T665" s="787"/>
      <c r="U665" s="787"/>
      <c r="V665" s="787"/>
      <c r="W665" s="785">
        <f>IFERROR(VLOOKUP($Q665,'391'!$S:$AG,15,0),0)</f>
        <v>13356.59</v>
      </c>
      <c r="X665" s="1090">
        <f t="shared" si="399"/>
        <v>8703.4500000000007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customHeight="1" x14ac:dyDescent="0.25">
      <c r="A666" s="2073"/>
      <c r="B666" s="2079"/>
      <c r="C666" s="1140" t="s">
        <v>622</v>
      </c>
      <c r="D666" s="1145" t="s">
        <v>10</v>
      </c>
      <c r="E666" s="851">
        <v>46220</v>
      </c>
      <c r="F666" s="625">
        <f>$L$7-E666</f>
        <v>41</v>
      </c>
      <c r="G666" s="1376">
        <v>13848.860000000002</v>
      </c>
      <c r="H666" s="1376"/>
      <c r="I666" s="1376">
        <f>+K665</f>
        <v>0</v>
      </c>
      <c r="J666" s="1376">
        <f>usage!I184</f>
        <v>1105.19</v>
      </c>
      <c r="K666" s="1401"/>
      <c r="L666" s="1534">
        <f>+G666+H666+I666-J666-K666</f>
        <v>12743.670000000002</v>
      </c>
      <c r="M666" s="147"/>
      <c r="N666" s="147"/>
      <c r="O666" s="147"/>
      <c r="P666" s="734"/>
      <c r="Q666" s="795"/>
      <c r="R666" s="785">
        <f>IFERROR(VLOOKUP($Q666,'391'!$S:$Z,8,0),"")</f>
        <v>0</v>
      </c>
      <c r="S666" s="786"/>
      <c r="T666" s="787" t="str">
        <f>$Q$681&amp;C666&amp;E666</f>
        <v>L-Threonine (China)LA646220</v>
      </c>
      <c r="U666" s="787"/>
      <c r="V666" s="787"/>
      <c r="W666" s="785">
        <f>IFERROR(VLOOKUP($Q666,'391'!$S:$AG,15,0),0)</f>
        <v>0</v>
      </c>
      <c r="X666" s="1090">
        <f t="shared" si="399"/>
        <v>13848.860000000002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265" customFormat="1" ht="30" customHeight="1" x14ac:dyDescent="0.25">
      <c r="A667" s="2022" t="s">
        <v>1312</v>
      </c>
      <c r="B667" s="2023"/>
      <c r="C667" s="88"/>
      <c r="D667" s="864"/>
      <c r="E667" s="864"/>
      <c r="F667" s="865"/>
      <c r="G667" s="1297">
        <v>35908.9</v>
      </c>
      <c r="H667" s="1297">
        <f>SUM(H664:H666)</f>
        <v>0</v>
      </c>
      <c r="I667" s="1297">
        <f>SUM(I664:I666)</f>
        <v>0</v>
      </c>
      <c r="J667" s="1297">
        <f t="shared" ref="J667:L667" si="415">SUM(J664:J666)</f>
        <v>1105.19</v>
      </c>
      <c r="K667" s="1297">
        <f t="shared" si="415"/>
        <v>0</v>
      </c>
      <c r="L667" s="1297">
        <f t="shared" si="415"/>
        <v>34803.710000000006</v>
      </c>
      <c r="M667" s="59">
        <f>IFERROR((S667/$S$2),"")</f>
        <v>884.26166666666666</v>
      </c>
      <c r="N667" s="854">
        <f>IFERROR(L667/M667,0)</f>
        <v>39.359062268521583</v>
      </c>
      <c r="O667" s="59">
        <f>IFERROR(SUMIF(ETM!$A:$A,$Q667,ETM!$E:$E),"")</f>
        <v>1742</v>
      </c>
      <c r="P667" s="880">
        <f>IFERROR(L667/O667,0)</f>
        <v>19.979167623421358</v>
      </c>
      <c r="Q667" s="814" t="s">
        <v>1311</v>
      </c>
      <c r="R667" s="785">
        <f>IFERROR(VLOOKUP($Q667,'391'!$S:$Z,8,0),"0")</f>
        <v>0</v>
      </c>
      <c r="S667" s="796">
        <f>+R665+R667</f>
        <v>5305.57</v>
      </c>
      <c r="T667" s="797"/>
      <c r="U667" s="797"/>
      <c r="V667" s="797"/>
      <c r="W667" s="785">
        <f>IFERROR(VLOOKUP($Q667,'391'!$S:$AG,15,0),0)</f>
        <v>25220</v>
      </c>
      <c r="X667" s="1090">
        <f>G667-W667-W665</f>
        <v>-2667.6899999999987</v>
      </c>
      <c r="Y667" s="785"/>
      <c r="Z667" s="785"/>
      <c r="AA667" s="797"/>
      <c r="AB667" s="797"/>
      <c r="AC667" s="551"/>
      <c r="AD667" s="551"/>
      <c r="AE667" s="551"/>
      <c r="AF667" s="551"/>
      <c r="AG667" s="551"/>
      <c r="AH667" s="551"/>
      <c r="AI667" s="704"/>
      <c r="AJ667" s="704"/>
      <c r="AK667" s="704"/>
      <c r="AL667" s="704"/>
      <c r="AM667" s="704"/>
      <c r="AN667" s="704"/>
      <c r="AO667" s="704"/>
      <c r="AP667" s="704"/>
      <c r="AQ667" s="704"/>
      <c r="AR667" s="704"/>
      <c r="AS667" s="704"/>
    </row>
    <row r="668" spans="1:45" s="6" customFormat="1" ht="30" hidden="1" customHeight="1" x14ac:dyDescent="0.25">
      <c r="A668" s="2076">
        <f>IF(L681=0,"",MAX($A$16:A667)+1)</f>
        <v>39</v>
      </c>
      <c r="B668" s="2069" t="s">
        <v>359</v>
      </c>
      <c r="C668" s="120" t="s">
        <v>261</v>
      </c>
      <c r="D668" s="887" t="s">
        <v>10</v>
      </c>
      <c r="E668" s="888">
        <v>43865</v>
      </c>
      <c r="F668" s="70">
        <f t="shared" ref="F668:F680" si="416">$L$7-E668</f>
        <v>2396</v>
      </c>
      <c r="G668" s="63">
        <v>0</v>
      </c>
      <c r="H668" s="12"/>
      <c r="I668" s="63"/>
      <c r="J668" s="1378"/>
      <c r="K668" s="63"/>
      <c r="L668" s="1534">
        <f t="shared" ref="L668:L680" si="417">+G668+H668+I668-J668-K668</f>
        <v>0</v>
      </c>
      <c r="M668" s="66"/>
      <c r="N668" s="66"/>
      <c r="O668" s="66"/>
      <c r="P668" s="744"/>
      <c r="Q668" s="795"/>
      <c r="R668" s="785">
        <f>IFERROR(VLOOKUP($Q668,'391'!$S:$Z,8,0),"")</f>
        <v>0</v>
      </c>
      <c r="S668" s="786"/>
      <c r="T668" s="787"/>
      <c r="U668" s="787"/>
      <c r="V668" s="787"/>
      <c r="W668" s="785">
        <f>IFERROR(VLOOKUP($Q668,'391'!$S:$AG,15,0),0)</f>
        <v>0</v>
      </c>
      <c r="X668" s="1090">
        <f t="shared" ref="X668:X687" si="418">G668-W668</f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3"/>
      <c r="B669" s="2070"/>
      <c r="C669" s="120" t="s">
        <v>247</v>
      </c>
      <c r="D669" s="887" t="s">
        <v>10</v>
      </c>
      <c r="E669" s="888">
        <v>44083</v>
      </c>
      <c r="F669" s="70">
        <f t="shared" si="416"/>
        <v>2178</v>
      </c>
      <c r="G669" s="63">
        <v>0</v>
      </c>
      <c r="H669" s="12"/>
      <c r="I669" s="63"/>
      <c r="J669" s="1378"/>
      <c r="K669" s="63"/>
      <c r="L669" s="1534">
        <f t="shared" si="417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/>
      <c r="U669" s="787"/>
      <c r="V669" s="787"/>
      <c r="W669" s="785">
        <f>IFERROR(VLOOKUP($Q669,'391'!$S:$AG,15,0),0)</f>
        <v>0</v>
      </c>
      <c r="X669" s="1090">
        <f t="shared" si="418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hidden="1" customHeight="1" x14ac:dyDescent="0.25">
      <c r="A670" s="2073"/>
      <c r="B670" s="2070"/>
      <c r="C670" s="122"/>
      <c r="D670" s="887" t="s">
        <v>10</v>
      </c>
      <c r="E670" s="888">
        <v>45989</v>
      </c>
      <c r="F670" s="70">
        <f t="shared" si="416"/>
        <v>272</v>
      </c>
      <c r="G670" s="12">
        <v>0</v>
      </c>
      <c r="H670" s="12"/>
      <c r="I670" s="12"/>
      <c r="J670" s="1368"/>
      <c r="K670" s="1379">
        <f>IFERROR(SUMIF(INTAKE!$A:$A,$T670,INTAKE!$P:$P),0)</f>
        <v>0</v>
      </c>
      <c r="L670" s="1703">
        <f t="shared" si="417"/>
        <v>0</v>
      </c>
      <c r="M670" s="147"/>
      <c r="N670" s="147"/>
      <c r="O670" s="147"/>
      <c r="P670" s="734"/>
      <c r="Q670" s="795"/>
      <c r="R670" s="785">
        <f>IFERROR(VLOOKUP($Q670,'391'!$S:$Z,8,0),"")</f>
        <v>0</v>
      </c>
      <c r="S670" s="786"/>
      <c r="T670" s="787" t="str">
        <f t="shared" ref="T670:T680" si="419">$Q$681&amp;C670&amp;E670</f>
        <v>L-Threonine (China)45989</v>
      </c>
      <c r="U670" s="787"/>
      <c r="V670" s="787"/>
      <c r="W670" s="785">
        <f>IFERROR(VLOOKUP($Q670,'391'!$S:$AG,15,0),0)</f>
        <v>0</v>
      </c>
      <c r="X670" s="1090">
        <f t="shared" si="418"/>
        <v>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hidden="1" customHeight="1" x14ac:dyDescent="0.25">
      <c r="A671" s="2073"/>
      <c r="B671" s="2070"/>
      <c r="C671" s="122"/>
      <c r="D671" s="887" t="s">
        <v>10</v>
      </c>
      <c r="E671" s="888">
        <v>46007</v>
      </c>
      <c r="F671" s="70">
        <f t="shared" si="416"/>
        <v>254</v>
      </c>
      <c r="G671" s="12">
        <v>0</v>
      </c>
      <c r="H671" s="12"/>
      <c r="I671" s="12"/>
      <c r="J671" s="1368"/>
      <c r="K671" s="1379">
        <f>IFERROR(SUMIF(INTAKE!$A:$A,$T671,INTAKE!$P:$P),0)</f>
        <v>0</v>
      </c>
      <c r="L671" s="1703">
        <f t="shared" si="417"/>
        <v>0</v>
      </c>
      <c r="M671" s="101"/>
      <c r="N671" s="101"/>
      <c r="O671" s="101"/>
      <c r="P671" s="738"/>
      <c r="Q671" s="795"/>
      <c r="R671" s="785">
        <f>IFERROR(VLOOKUP($Q671,'391'!$S:$Z,8,0),"")</f>
        <v>0</v>
      </c>
      <c r="S671" s="786"/>
      <c r="T671" s="787" t="str">
        <f t="shared" si="419"/>
        <v>L-Threonine (China)46007</v>
      </c>
      <c r="U671" s="787"/>
      <c r="V671" s="787"/>
      <c r="W671" s="785">
        <f>IFERROR(VLOOKUP($Q671,'391'!$S:$AG,15,0),0)</f>
        <v>0</v>
      </c>
      <c r="X671" s="1090">
        <f t="shared" si="418"/>
        <v>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73"/>
      <c r="B672" s="2070"/>
      <c r="C672" s="122"/>
      <c r="D672" s="887" t="s">
        <v>10</v>
      </c>
      <c r="E672" s="888">
        <v>46107</v>
      </c>
      <c r="F672" s="70">
        <f t="shared" ref="F672" si="420">$L$7-E672</f>
        <v>154</v>
      </c>
      <c r="G672" s="12">
        <v>0</v>
      </c>
      <c r="H672" s="12"/>
      <c r="I672" s="12"/>
      <c r="J672" s="1368"/>
      <c r="K672" s="1379">
        <f>IFERROR(SUMIF(INTAKE!$A:$A,$T672,INTAKE!$P:$P),0)</f>
        <v>0</v>
      </c>
      <c r="L672" s="1703">
        <f t="shared" si="417"/>
        <v>0</v>
      </c>
      <c r="M672" s="101"/>
      <c r="N672" s="101"/>
      <c r="O672" s="101"/>
      <c r="P672" s="738"/>
      <c r="Q672" s="795"/>
      <c r="R672" s="785">
        <f>IFERROR(VLOOKUP($Q672,'391'!$S:$Z,8,0),"")</f>
        <v>0</v>
      </c>
      <c r="S672" s="786"/>
      <c r="T672" s="787" t="str">
        <f t="shared" si="419"/>
        <v>L-Threonine (China)46107</v>
      </c>
      <c r="U672" s="787"/>
      <c r="V672" s="787"/>
      <c r="W672" s="785">
        <f>IFERROR(VLOOKUP($Q672,'391'!$S:$AG,15,0),0)</f>
        <v>0</v>
      </c>
      <c r="X672" s="1090">
        <f t="shared" si="418"/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customHeight="1" x14ac:dyDescent="0.25">
      <c r="A673" s="2073"/>
      <c r="B673" s="2070"/>
      <c r="C673" s="122" t="s">
        <v>2109</v>
      </c>
      <c r="D673" s="887" t="s">
        <v>10</v>
      </c>
      <c r="E673" s="888">
        <v>46241</v>
      </c>
      <c r="F673" s="70">
        <f t="shared" ref="F673:F674" si="421">$L$7-E673</f>
        <v>20</v>
      </c>
      <c r="G673" s="12">
        <v>17000</v>
      </c>
      <c r="H673" s="12"/>
      <c r="I673" s="12"/>
      <c r="J673" s="1368"/>
      <c r="K673" s="1379">
        <f>IFERROR(SUMIF(INTAKE!$A:$A,$T673,INTAKE!$P:$P),0)</f>
        <v>0</v>
      </c>
      <c r="L673" s="1703">
        <f t="shared" si="417"/>
        <v>17000</v>
      </c>
      <c r="M673" s="101"/>
      <c r="N673" s="101"/>
      <c r="O673" s="101"/>
      <c r="P673" s="738"/>
      <c r="Q673" s="795"/>
      <c r="R673" s="785">
        <f>IFERROR(VLOOKUP($Q673,'391'!$S:$Z,8,0),"")</f>
        <v>0</v>
      </c>
      <c r="S673" s="786"/>
      <c r="T673" s="787" t="str">
        <f t="shared" si="419"/>
        <v>L-Threonine (China)A18.346241</v>
      </c>
      <c r="U673" s="787"/>
      <c r="V673" s="787"/>
      <c r="W673" s="785">
        <f>IFERROR(VLOOKUP($Q673,'391'!$S:$AG,15,0),0)</f>
        <v>0</v>
      </c>
      <c r="X673" s="1090">
        <f t="shared" si="418"/>
        <v>17000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customHeight="1" x14ac:dyDescent="0.25">
      <c r="A674" s="2073"/>
      <c r="B674" s="2075"/>
      <c r="C674" s="122" t="s">
        <v>261</v>
      </c>
      <c r="D674" s="887" t="s">
        <v>10</v>
      </c>
      <c r="E674" s="888">
        <v>46241</v>
      </c>
      <c r="F674" s="70">
        <f t="shared" si="421"/>
        <v>20</v>
      </c>
      <c r="G674" s="12">
        <v>2500</v>
      </c>
      <c r="H674" s="12"/>
      <c r="I674" s="12"/>
      <c r="J674" s="1368"/>
      <c r="K674" s="1379">
        <f>IFERROR(SUMIF(INTAKE!$A:$A,$T674,INTAKE!$P:$P),0)</f>
        <v>2500</v>
      </c>
      <c r="L674" s="1703">
        <f t="shared" si="417"/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19"/>
        <v>L-Threonine (China)A18.246241</v>
      </c>
      <c r="U674" s="787"/>
      <c r="V674" s="787"/>
      <c r="W674" s="785">
        <f>IFERROR(VLOOKUP($Q674,'391'!$S:$AG,15,0),0)</f>
        <v>0</v>
      </c>
      <c r="X674" s="1090">
        <f t="shared" si="418"/>
        <v>2500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customHeight="1" x14ac:dyDescent="0.25">
      <c r="A675" s="2073"/>
      <c r="B675" s="2075"/>
      <c r="C675" s="122" t="s">
        <v>247</v>
      </c>
      <c r="D675" s="887" t="s">
        <v>10</v>
      </c>
      <c r="E675" s="888">
        <v>46258</v>
      </c>
      <c r="F675" s="70">
        <f t="shared" ref="F675" si="422">$L$7-E675</f>
        <v>3</v>
      </c>
      <c r="G675" s="12">
        <v>12000</v>
      </c>
      <c r="H675" s="12"/>
      <c r="I675" s="12"/>
      <c r="J675" s="1368"/>
      <c r="K675" s="1379">
        <f>IFERROR(SUMIF(INTAKE!$A:$A,$T675,INTAKE!$P:$P),0)</f>
        <v>0</v>
      </c>
      <c r="L675" s="1703">
        <f t="shared" ref="L675:L676" si="423">+G675+H675+I675-J675-K675</f>
        <v>12000</v>
      </c>
      <c r="M675" s="23"/>
      <c r="N675" s="23"/>
      <c r="O675" s="23"/>
      <c r="P675" s="736"/>
      <c r="Q675" s="795"/>
      <c r="R675" s="785"/>
      <c r="S675" s="786"/>
      <c r="T675" s="787" t="str">
        <f t="shared" si="419"/>
        <v>L-Threonine (China)A19.146258</v>
      </c>
      <c r="U675" s="787"/>
      <c r="V675" s="787"/>
      <c r="W675" s="785">
        <f>IFERROR(VLOOKUP($Q675,'391'!$S:$AG,15,0),0)</f>
        <v>0</v>
      </c>
      <c r="X675" s="1090">
        <f t="shared" ref="X675:X676" si="424">G675-W675</f>
        <v>12000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customHeight="1" x14ac:dyDescent="0.25">
      <c r="A676" s="2073"/>
      <c r="B676" s="2075"/>
      <c r="C676" s="122" t="s">
        <v>360</v>
      </c>
      <c r="D676" s="887" t="s">
        <v>10</v>
      </c>
      <c r="E676" s="888">
        <v>46258</v>
      </c>
      <c r="F676" s="70">
        <f t="shared" ref="F676" si="425">$L$7-E676</f>
        <v>3</v>
      </c>
      <c r="G676" s="12">
        <v>5000</v>
      </c>
      <c r="H676" s="12"/>
      <c r="I676" s="12"/>
      <c r="J676" s="1368"/>
      <c r="K676" s="1379">
        <f>IFERROR(SUMIF(INTAKE!$A:$A,$T676,INTAKE!$P:$P),0)</f>
        <v>0</v>
      </c>
      <c r="L676" s="1703">
        <f t="shared" si="423"/>
        <v>5000</v>
      </c>
      <c r="M676" s="23"/>
      <c r="N676" s="23"/>
      <c r="O676" s="23"/>
      <c r="P676" s="736"/>
      <c r="Q676" s="795"/>
      <c r="R676" s="785"/>
      <c r="S676" s="786"/>
      <c r="T676" s="787" t="str">
        <f t="shared" si="419"/>
        <v>L-Threonine (China)A19.246258</v>
      </c>
      <c r="U676" s="787"/>
      <c r="V676" s="787"/>
      <c r="W676" s="785">
        <f>IFERROR(VLOOKUP($Q676,'391'!$S:$AG,15,0),0)</f>
        <v>0</v>
      </c>
      <c r="X676" s="1090">
        <f t="shared" si="424"/>
        <v>5000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s="6" customFormat="1" ht="30" customHeight="1" x14ac:dyDescent="0.25">
      <c r="A677" s="2073"/>
      <c r="B677" s="2075"/>
      <c r="C677" s="122" t="s">
        <v>123</v>
      </c>
      <c r="D677" s="887" t="s">
        <v>10</v>
      </c>
      <c r="E677" s="888">
        <v>46258</v>
      </c>
      <c r="F677" s="70">
        <f t="shared" si="416"/>
        <v>3</v>
      </c>
      <c r="G677" s="12">
        <v>17000</v>
      </c>
      <c r="H677" s="12"/>
      <c r="I677" s="12"/>
      <c r="J677" s="1368"/>
      <c r="K677" s="1379">
        <f>IFERROR(SUMIF(INTAKE!$A:$A,$T677,INTAKE!$P:$P),0)</f>
        <v>0</v>
      </c>
      <c r="L677" s="1703">
        <f t="shared" ref="L677:L678" si="426">+G677+H677+I677-J677-K677</f>
        <v>17000</v>
      </c>
      <c r="M677" s="23"/>
      <c r="N677" s="23"/>
      <c r="O677" s="23"/>
      <c r="P677" s="736"/>
      <c r="Q677" s="795"/>
      <c r="R677" s="785"/>
      <c r="S677" s="786"/>
      <c r="T677" s="787" t="str">
        <f t="shared" si="419"/>
        <v>L-Threonine (China)A22.146258</v>
      </c>
      <c r="U677" s="787"/>
      <c r="V677" s="787"/>
      <c r="W677" s="785">
        <f>IFERROR(VLOOKUP($Q677,'391'!$S:$AG,15,0),0)</f>
        <v>0</v>
      </c>
      <c r="X677" s="1090">
        <f t="shared" ref="X677:X678" si="427">G677-W677</f>
        <v>17000</v>
      </c>
      <c r="Y677" s="785"/>
      <c r="Z677" s="785"/>
      <c r="AA677" s="787"/>
      <c r="AB677" s="787"/>
      <c r="AC677" s="679"/>
      <c r="AD677" s="679"/>
      <c r="AE677" s="679"/>
      <c r="AF677" s="679"/>
      <c r="AG677" s="679"/>
      <c r="AH677" s="679"/>
      <c r="AI677" s="682"/>
      <c r="AJ677" s="682"/>
      <c r="AK677" s="682"/>
      <c r="AL677" s="682"/>
      <c r="AM677" s="682"/>
      <c r="AN677" s="682"/>
      <c r="AO677" s="682"/>
      <c r="AP677" s="682"/>
      <c r="AQ677" s="682"/>
      <c r="AR677" s="682"/>
      <c r="AS677" s="682"/>
    </row>
    <row r="678" spans="1:45" s="6" customFormat="1" ht="30" hidden="1" customHeight="1" x14ac:dyDescent="0.25">
      <c r="A678" s="2073"/>
      <c r="B678" s="2075"/>
      <c r="C678" s="122"/>
      <c r="D678" s="887" t="s">
        <v>10</v>
      </c>
      <c r="E678" s="888">
        <v>45597</v>
      </c>
      <c r="F678" s="70">
        <f t="shared" ref="F678" si="428">$L$7-E678</f>
        <v>664</v>
      </c>
      <c r="G678" s="12">
        <v>0</v>
      </c>
      <c r="H678" s="12"/>
      <c r="I678" s="12"/>
      <c r="J678" s="1368"/>
      <c r="K678" s="1379">
        <f>IFERROR(SUMIF(INTAKE!$A:$A,$T678,INTAKE!$P:$P),0)</f>
        <v>0</v>
      </c>
      <c r="L678" s="1703">
        <f t="shared" si="426"/>
        <v>0</v>
      </c>
      <c r="M678" s="23"/>
      <c r="N678" s="23"/>
      <c r="O678" s="23"/>
      <c r="P678" s="736"/>
      <c r="Q678" s="795"/>
      <c r="R678" s="785"/>
      <c r="S678" s="786"/>
      <c r="T678" s="787" t="str">
        <f t="shared" si="419"/>
        <v>L-Threonine (China)45597</v>
      </c>
      <c r="U678" s="787"/>
      <c r="V678" s="787"/>
      <c r="W678" s="785">
        <f>IFERROR(VLOOKUP($Q678,'391'!$S:$AG,15,0),0)</f>
        <v>0</v>
      </c>
      <c r="X678" s="1090">
        <f t="shared" si="427"/>
        <v>0</v>
      </c>
      <c r="Y678" s="785"/>
      <c r="Z678" s="785"/>
      <c r="AA678" s="787"/>
      <c r="AB678" s="787"/>
      <c r="AC678" s="679"/>
      <c r="AD678" s="679"/>
      <c r="AE678" s="679"/>
      <c r="AF678" s="679"/>
      <c r="AG678" s="679"/>
      <c r="AH678" s="679"/>
      <c r="AI678" s="682"/>
      <c r="AJ678" s="682"/>
      <c r="AK678" s="682"/>
      <c r="AL678" s="682"/>
      <c r="AM678" s="682"/>
      <c r="AN678" s="682"/>
      <c r="AO678" s="682"/>
      <c r="AP678" s="682"/>
      <c r="AQ678" s="682"/>
      <c r="AR678" s="682"/>
      <c r="AS678" s="682"/>
    </row>
    <row r="679" spans="1:45" s="6" customFormat="1" ht="30" hidden="1" customHeight="1" x14ac:dyDescent="0.25">
      <c r="A679" s="2073"/>
      <c r="B679" s="2125"/>
      <c r="C679" s="122"/>
      <c r="D679" s="887" t="s">
        <v>10</v>
      </c>
      <c r="E679" s="888">
        <v>45577</v>
      </c>
      <c r="F679" s="70">
        <f t="shared" si="416"/>
        <v>684</v>
      </c>
      <c r="G679" s="12">
        <v>0</v>
      </c>
      <c r="H679" s="12"/>
      <c r="I679" s="12"/>
      <c r="J679" s="1368"/>
      <c r="K679" s="1379">
        <f>IFERROR(SUMIF(INTAKE!$A:$A,$T679,INTAKE!$P:$P),0)</f>
        <v>0</v>
      </c>
      <c r="L679" s="1703">
        <f t="shared" si="417"/>
        <v>0</v>
      </c>
      <c r="M679" s="23"/>
      <c r="N679" s="23"/>
      <c r="O679" s="23"/>
      <c r="P679" s="736"/>
      <c r="Q679" s="795"/>
      <c r="R679" s="785"/>
      <c r="S679" s="786"/>
      <c r="T679" s="787" t="str">
        <f t="shared" si="419"/>
        <v>L-Threonine (China)45577</v>
      </c>
      <c r="U679" s="787"/>
      <c r="V679" s="787"/>
      <c r="W679" s="785">
        <f>IFERROR(VLOOKUP($Q679,'391'!$S:$AG,15,0),0)</f>
        <v>0</v>
      </c>
      <c r="X679" s="1090">
        <f t="shared" si="418"/>
        <v>0</v>
      </c>
      <c r="Y679" s="785"/>
      <c r="Z679" s="785"/>
      <c r="AA679" s="787"/>
      <c r="AB679" s="787"/>
      <c r="AC679" s="679"/>
      <c r="AD679" s="679"/>
      <c r="AE679" s="679"/>
      <c r="AF679" s="679"/>
      <c r="AG679" s="679"/>
      <c r="AH679" s="679"/>
      <c r="AI679" s="682"/>
      <c r="AJ679" s="682"/>
      <c r="AK679" s="682"/>
      <c r="AL679" s="682"/>
      <c r="AM679" s="682"/>
      <c r="AN679" s="682"/>
      <c r="AO679" s="682"/>
      <c r="AP679" s="682"/>
      <c r="AQ679" s="682"/>
      <c r="AR679" s="682"/>
      <c r="AS679" s="682"/>
    </row>
    <row r="680" spans="1:45" ht="30" customHeight="1" x14ac:dyDescent="0.25">
      <c r="A680" s="2077"/>
      <c r="B680" s="2071"/>
      <c r="C680" s="119" t="s">
        <v>46</v>
      </c>
      <c r="D680" s="850" t="s">
        <v>10</v>
      </c>
      <c r="E680" s="851">
        <v>46241</v>
      </c>
      <c r="F680" s="70">
        <f t="shared" si="416"/>
        <v>20</v>
      </c>
      <c r="G680" s="56">
        <v>860.36999999999989</v>
      </c>
      <c r="H680" s="56"/>
      <c r="I680" s="56">
        <f>+SUM(K670:K678)</f>
        <v>2500</v>
      </c>
      <c r="J680" s="1369">
        <f>+usage!I80</f>
        <v>2116.75</v>
      </c>
      <c r="K680" s="12">
        <f>IFERROR(SUMIF(INTAKE!$A:$A,$T680,INTAKE!$P:$P),0)</f>
        <v>0</v>
      </c>
      <c r="L680" s="1534">
        <f t="shared" si="417"/>
        <v>1243.6199999999999</v>
      </c>
      <c r="M680" s="45"/>
      <c r="N680" s="45"/>
      <c r="O680" s="45"/>
      <c r="P680" s="736"/>
      <c r="Q680" s="795"/>
      <c r="R680" s="785">
        <f>IFERROR(VLOOKUP($Q680,'391'!$S:$Z,8,0),"")</f>
        <v>0</v>
      </c>
      <c r="T680" s="787" t="str">
        <f t="shared" si="419"/>
        <v>L-Threonine (China)Feedmill46241</v>
      </c>
      <c r="U680" s="787"/>
      <c r="V680" s="787"/>
      <c r="W680" s="785">
        <f>IFERROR(VLOOKUP($Q680,'391'!$S:$AG,15,0),0)</f>
        <v>0</v>
      </c>
      <c r="X680" s="1090">
        <f t="shared" si="418"/>
        <v>860.36999999999989</v>
      </c>
      <c r="Y680" s="785"/>
      <c r="Z680" s="785"/>
      <c r="AA680" s="787"/>
      <c r="AB680" s="787"/>
      <c r="AC680" s="679"/>
    </row>
    <row r="681" spans="1:45" s="265" customFormat="1" ht="30" customHeight="1" x14ac:dyDescent="0.25">
      <c r="A681" s="2022" t="s">
        <v>15</v>
      </c>
      <c r="B681" s="2023"/>
      <c r="C681" s="88"/>
      <c r="D681" s="864"/>
      <c r="E681" s="864"/>
      <c r="F681" s="865"/>
      <c r="G681" s="1297">
        <v>54360.37</v>
      </c>
      <c r="H681" s="1297">
        <f t="shared" ref="H681:L681" si="429">SUM(H668:H680)</f>
        <v>0</v>
      </c>
      <c r="I681" s="1297">
        <f>SUM(I668:I680)</f>
        <v>2500</v>
      </c>
      <c r="J681" s="1297">
        <f t="shared" si="429"/>
        <v>2116.75</v>
      </c>
      <c r="K681" s="1297">
        <f t="shared" si="429"/>
        <v>2500</v>
      </c>
      <c r="L681" s="1297">
        <f t="shared" si="429"/>
        <v>52243.62</v>
      </c>
      <c r="M681" s="59">
        <f>IFERROR((R681/$S$2),"")</f>
        <v>1760.9833333333333</v>
      </c>
      <c r="N681" s="854">
        <f>(L681/M681)</f>
        <v>29.667299520154462</v>
      </c>
      <c r="O681" s="59">
        <f>IFERROR(SUMIF(ETM!$A:$A,$Q681,ETM!$E:$E),"")</f>
        <v>2127</v>
      </c>
      <c r="P681" s="880">
        <f>IFERROR(L681/O681,0)</f>
        <v>24.562115655853315</v>
      </c>
      <c r="Q681" s="814" t="s">
        <v>359</v>
      </c>
      <c r="R681" s="785">
        <f>IFERROR(VLOOKUP($Q681,'391'!$S:$Z,8,0),"")</f>
        <v>10565.9</v>
      </c>
      <c r="S681" s="796"/>
      <c r="T681" s="797"/>
      <c r="U681" s="797"/>
      <c r="V681" s="797"/>
      <c r="W681" s="785">
        <f>IFERROR(VLOOKUP($Q681,'391'!$S:$AG,15,0),0)</f>
        <v>25429.03</v>
      </c>
      <c r="X681" s="1090">
        <f t="shared" si="418"/>
        <v>28931.340000000004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6">
        <f>IF(L688=0,"",MAX($A$16:A681)+1)</f>
        <v>40</v>
      </c>
      <c r="B682" s="2069" t="s">
        <v>2181</v>
      </c>
      <c r="C682" s="120" t="s">
        <v>2149</v>
      </c>
      <c r="D682" s="887" t="s">
        <v>10</v>
      </c>
      <c r="E682" s="888">
        <v>46241</v>
      </c>
      <c r="F682" s="70">
        <f t="shared" ref="F682:F684" si="430">$L$7-E682</f>
        <v>20</v>
      </c>
      <c r="G682" s="12">
        <v>1060</v>
      </c>
      <c r="H682" s="12"/>
      <c r="I682" s="63"/>
      <c r="J682" s="1378"/>
      <c r="K682" s="63">
        <f>IFERROR(SUMIF(INTAKE!$A:$A,$T682,INTAKE!$P:$P),0)</f>
        <v>440</v>
      </c>
      <c r="L682" s="1703">
        <f t="shared" ref="L682:L687" si="431">+G682+H682+I682-J682-K682</f>
        <v>620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ref="T682:T687" si="432">$Q$688&amp;C682&amp;E682</f>
        <v>L-TryptophanV4.246241</v>
      </c>
      <c r="U682" s="797"/>
      <c r="V682" s="797"/>
      <c r="W682" s="785">
        <f>IFERROR(VLOOKUP($Q682,'391'!$S:$AG,15,0),0)</f>
        <v>0</v>
      </c>
      <c r="X682" s="1090">
        <f t="shared" si="418"/>
        <v>1060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73"/>
      <c r="B683" s="2070"/>
      <c r="C683" s="120" t="s">
        <v>2150</v>
      </c>
      <c r="D683" s="887" t="s">
        <v>10</v>
      </c>
      <c r="E683" s="888">
        <v>46241</v>
      </c>
      <c r="F683" s="70">
        <f t="shared" si="430"/>
        <v>20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3">
        <f t="shared" si="431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2"/>
        <v>L-TryptophanZ7.246241</v>
      </c>
      <c r="U683" s="797"/>
      <c r="V683" s="797"/>
      <c r="W683" s="785">
        <f>IFERROR(VLOOKUP($Q683,'391'!$S:$AG,15,0),0)</f>
        <v>0</v>
      </c>
      <c r="X683" s="1090">
        <f t="shared" si="418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73"/>
      <c r="B684" s="2070"/>
      <c r="C684" s="120" t="s">
        <v>268</v>
      </c>
      <c r="D684" s="887" t="s">
        <v>10</v>
      </c>
      <c r="E684" s="888">
        <v>46247</v>
      </c>
      <c r="F684" s="70">
        <f t="shared" si="430"/>
        <v>14</v>
      </c>
      <c r="G684" s="12">
        <v>2000</v>
      </c>
      <c r="H684" s="12"/>
      <c r="I684" s="63"/>
      <c r="J684" s="1378"/>
      <c r="K684" s="63">
        <f>IFERROR(SUMIF(INTAKE!$A:$A,$T684,INTAKE!$P:$P),0)</f>
        <v>0</v>
      </c>
      <c r="L684" s="1703">
        <f t="shared" si="431"/>
        <v>2000</v>
      </c>
      <c r="M684" s="147"/>
      <c r="N684" s="248"/>
      <c r="O684" s="147"/>
      <c r="P684" s="734"/>
      <c r="Q684" s="666" t="s">
        <v>1418</v>
      </c>
      <c r="R684" s="785" t="str">
        <f>IFERROR(VLOOKUP($Q684,'391'!$S:$Z,8,0),"0")</f>
        <v>0</v>
      </c>
      <c r="S684" s="796"/>
      <c r="T684" s="797" t="str">
        <f t="shared" si="432"/>
        <v>L-TryptophanV3.146247</v>
      </c>
      <c r="U684" s="797"/>
      <c r="V684" s="797"/>
      <c r="W684" s="785">
        <f>IFERROR(VLOOKUP($Q684,'391'!$S:$AG,15,0),0)</f>
        <v>0</v>
      </c>
      <c r="X684" s="1090">
        <f t="shared" si="418"/>
        <v>2000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hidden="1" customHeight="1" x14ac:dyDescent="0.25">
      <c r="A685" s="2073"/>
      <c r="B685" s="2075"/>
      <c r="C685" s="120"/>
      <c r="D685" s="887" t="s">
        <v>10</v>
      </c>
      <c r="E685" s="888">
        <v>46247</v>
      </c>
      <c r="F685" s="70">
        <f t="shared" ref="F685" si="433">$L$7-E685</f>
        <v>14</v>
      </c>
      <c r="G685" s="12">
        <v>0</v>
      </c>
      <c r="H685" s="12"/>
      <c r="I685" s="63"/>
      <c r="J685" s="1378"/>
      <c r="K685" s="63">
        <f>IFERROR(SUMIF(INTAKE!$A:$A,$T685,INTAKE!$P:$P),0)</f>
        <v>0</v>
      </c>
      <c r="L685" s="1703">
        <f t="shared" ref="L685" si="434">+G685+H685+I685-J685-K685</f>
        <v>0</v>
      </c>
      <c r="M685" s="147"/>
      <c r="N685" s="248"/>
      <c r="O685" s="147"/>
      <c r="P685" s="734"/>
      <c r="Q685" s="795"/>
      <c r="R685" s="785">
        <f>IFERROR(VLOOKUP($Q685,'391'!$S:$Z,8,0),"")</f>
        <v>0</v>
      </c>
      <c r="S685" s="796"/>
      <c r="T685" s="797" t="str">
        <f t="shared" si="432"/>
        <v>L-Tryptophan46247</v>
      </c>
      <c r="U685" s="797"/>
      <c r="V685" s="797"/>
      <c r="W685" s="785">
        <f>IFERROR(VLOOKUP($Q685,'391'!$S:$AG,15,0),0)</f>
        <v>0</v>
      </c>
      <c r="X685" s="1090">
        <f t="shared" ref="X685" si="435">G685-W685</f>
        <v>0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265" customFormat="1" ht="30" hidden="1" customHeight="1" x14ac:dyDescent="0.25">
      <c r="A686" s="2073"/>
      <c r="B686" s="2070"/>
      <c r="C686" s="120"/>
      <c r="D686" s="887" t="s">
        <v>10</v>
      </c>
      <c r="E686" s="888">
        <v>46247</v>
      </c>
      <c r="F686" s="70">
        <f t="shared" ref="F686" si="436">$L$7-E686</f>
        <v>14</v>
      </c>
      <c r="G686" s="12">
        <v>0</v>
      </c>
      <c r="H686" s="12"/>
      <c r="I686" s="63"/>
      <c r="J686" s="1378"/>
      <c r="K686" s="63">
        <f>IFERROR(SUMIF(INTAKE!$A:$A,$T686,INTAKE!$P:$P),0)</f>
        <v>0</v>
      </c>
      <c r="L686" s="1703">
        <f t="shared" si="431"/>
        <v>0</v>
      </c>
      <c r="M686" s="147"/>
      <c r="N686" s="248"/>
      <c r="O686" s="147"/>
      <c r="P686" s="734"/>
      <c r="Q686" s="795"/>
      <c r="R686" s="785">
        <f>IFERROR(VLOOKUP($Q686,'391'!$S:$Z,8,0),"")</f>
        <v>0</v>
      </c>
      <c r="S686" s="796"/>
      <c r="T686" s="797" t="str">
        <f t="shared" si="432"/>
        <v>L-Tryptophan46247</v>
      </c>
      <c r="U686" s="797"/>
      <c r="V686" s="797"/>
      <c r="W686" s="785">
        <f>IFERROR(VLOOKUP($Q686,'391'!$S:$AG,15,0),0)</f>
        <v>0</v>
      </c>
      <c r="X686" s="1090">
        <f t="shared" si="418"/>
        <v>0</v>
      </c>
      <c r="Y686" s="785"/>
      <c r="Z686" s="785"/>
      <c r="AA686" s="797"/>
      <c r="AB686" s="797"/>
      <c r="AC686" s="551"/>
      <c r="AD686" s="551"/>
      <c r="AE686" s="551"/>
      <c r="AF686" s="551"/>
      <c r="AG686" s="551"/>
      <c r="AH686" s="551"/>
      <c r="AI686" s="704"/>
      <c r="AJ686" s="704"/>
      <c r="AK686" s="704"/>
      <c r="AL686" s="704"/>
      <c r="AM686" s="704"/>
      <c r="AN686" s="704"/>
      <c r="AO686" s="704"/>
      <c r="AP686" s="704"/>
      <c r="AQ686" s="704"/>
      <c r="AR686" s="704"/>
      <c r="AS686" s="704"/>
    </row>
    <row r="687" spans="1:45" s="265" customFormat="1" ht="30" customHeight="1" x14ac:dyDescent="0.25">
      <c r="A687" s="2077"/>
      <c r="B687" s="2071"/>
      <c r="C687" s="119" t="s">
        <v>46</v>
      </c>
      <c r="D687" s="850" t="s">
        <v>10</v>
      </c>
      <c r="E687" s="851">
        <v>46241</v>
      </c>
      <c r="F687" s="911">
        <f t="shared" ref="F687" si="437">$L$7-E687</f>
        <v>20</v>
      </c>
      <c r="G687" s="958">
        <v>581.49000000000035</v>
      </c>
      <c r="H687" s="56"/>
      <c r="I687" s="56">
        <f>+SUM(K682:K684)</f>
        <v>440</v>
      </c>
      <c r="J687" s="1369">
        <f>+usage!I79</f>
        <v>463.26</v>
      </c>
      <c r="K687" s="63">
        <f>IFERROR(SUMIF(INTAKE!$A:$A,$T687,INTAKE!$P:$P),0)</f>
        <v>0</v>
      </c>
      <c r="L687" s="1534">
        <f t="shared" si="431"/>
        <v>558.23000000000036</v>
      </c>
      <c r="M687" s="101"/>
      <c r="N687" s="249"/>
      <c r="O687" s="101"/>
      <c r="P687" s="738"/>
      <c r="Q687" s="795"/>
      <c r="R687" s="785">
        <f>IFERROR(VLOOKUP($Q687,'391'!$S:$Z,8,0),"")</f>
        <v>0</v>
      </c>
      <c r="S687" s="796"/>
      <c r="T687" s="797" t="str">
        <f t="shared" si="432"/>
        <v>L-TryptophanFeedmill46241</v>
      </c>
      <c r="U687" s="797"/>
      <c r="V687" s="797"/>
      <c r="W687" s="785">
        <f>IFERROR(VLOOKUP($Q687,'391'!$S:$AG,15,0),0)</f>
        <v>0</v>
      </c>
      <c r="X687" s="1090">
        <f t="shared" si="418"/>
        <v>581.49000000000035</v>
      </c>
      <c r="Y687" s="785"/>
      <c r="Z687" s="785"/>
      <c r="AA687" s="797"/>
      <c r="AB687" s="797"/>
      <c r="AC687" s="551"/>
      <c r="AD687" s="551"/>
      <c r="AE687" s="551"/>
      <c r="AF687" s="551"/>
      <c r="AG687" s="551"/>
      <c r="AH687" s="551"/>
      <c r="AI687" s="704"/>
      <c r="AJ687" s="704"/>
      <c r="AK687" s="704"/>
      <c r="AL687" s="704"/>
      <c r="AM687" s="704"/>
      <c r="AN687" s="704"/>
      <c r="AO687" s="704"/>
      <c r="AP687" s="704"/>
      <c r="AQ687" s="704"/>
      <c r="AR687" s="704"/>
      <c r="AS687" s="704"/>
    </row>
    <row r="688" spans="1:45" s="265" customFormat="1" ht="30" customHeight="1" x14ac:dyDescent="0.25">
      <c r="A688" s="2022" t="s">
        <v>365</v>
      </c>
      <c r="B688" s="2023"/>
      <c r="C688" s="88"/>
      <c r="D688" s="864"/>
      <c r="E688" s="864"/>
      <c r="F688" s="865"/>
      <c r="G688" s="1297">
        <v>5641.4900000000007</v>
      </c>
      <c r="H688" s="1297">
        <f t="shared" ref="H688:L688" si="438">+SUM(H682:H687)</f>
        <v>0</v>
      </c>
      <c r="I688" s="1297">
        <f t="shared" si="438"/>
        <v>440</v>
      </c>
      <c r="J688" s="1297">
        <f t="shared" si="438"/>
        <v>463.26</v>
      </c>
      <c r="K688" s="1297">
        <f t="shared" si="438"/>
        <v>440</v>
      </c>
      <c r="L688" s="1297">
        <f t="shared" si="438"/>
        <v>5178.2300000000005</v>
      </c>
      <c r="M688" s="59">
        <f>IFERROR((S688/$S$2),"")</f>
        <v>388.78833333333336</v>
      </c>
      <c r="N688" s="366">
        <f>(L688/M688)</f>
        <v>13.318892456478032</v>
      </c>
      <c r="O688" s="59">
        <f>IFERROR(SUMIF(ETM!$A:$A,$Q688,ETM!$E:$E),"")</f>
        <v>479.66666666666669</v>
      </c>
      <c r="P688" s="880">
        <f>IFERROR(L688/O688,0)</f>
        <v>10.795476025017374</v>
      </c>
      <c r="Q688" s="814" t="s">
        <v>655</v>
      </c>
      <c r="R688" s="785">
        <f>IFERROR(VLOOKUP($Q688,'391'!$S:$Z,8,0),"")</f>
        <v>2332.73</v>
      </c>
      <c r="S688" s="796">
        <f>+R688+R684</f>
        <v>2332.73</v>
      </c>
      <c r="T688" s="797"/>
      <c r="U688" s="797"/>
      <c r="V688" s="797"/>
      <c r="W688" s="785">
        <f>IFERROR(VLOOKUP($Q688,'391'!$S:$AG,15,0),0)</f>
        <v>6769.05</v>
      </c>
      <c r="X688" s="1090">
        <f>G688-W688-W684</f>
        <v>-1127.5599999999995</v>
      </c>
      <c r="Y688" s="785"/>
      <c r="Z688" s="785"/>
      <c r="AA688" s="797"/>
      <c r="AB688" s="797"/>
      <c r="AC688" s="551"/>
      <c r="AD688" s="551"/>
      <c r="AE688" s="551"/>
      <c r="AF688" s="551"/>
      <c r="AG688" s="551"/>
      <c r="AH688" s="551"/>
      <c r="AI688" s="704"/>
      <c r="AJ688" s="704"/>
      <c r="AK688" s="704"/>
      <c r="AL688" s="704"/>
      <c r="AM688" s="704"/>
      <c r="AN688" s="704"/>
      <c r="AO688" s="704"/>
      <c r="AP688" s="704"/>
      <c r="AQ688" s="704"/>
      <c r="AR688" s="704"/>
      <c r="AS688" s="704"/>
    </row>
    <row r="689" spans="1:45" s="13" customFormat="1" ht="30" hidden="1" customHeight="1" x14ac:dyDescent="0.25">
      <c r="A689" s="2066">
        <f>IF(L699=0,"",MAX($A$16:A688)+1)</f>
        <v>41</v>
      </c>
      <c r="B689" s="2046" t="s">
        <v>656</v>
      </c>
      <c r="C689" s="114"/>
      <c r="D689" s="959" t="s">
        <v>10</v>
      </c>
      <c r="E689" s="933">
        <v>45992</v>
      </c>
      <c r="F689" s="42">
        <f t="shared" ref="F689" si="439">$L$7-E689</f>
        <v>269</v>
      </c>
      <c r="G689" s="12">
        <v>0</v>
      </c>
      <c r="H689" s="12"/>
      <c r="I689" s="12"/>
      <c r="J689" s="1368"/>
      <c r="K689" s="12">
        <f>IFERROR(SUMIF(INTAKE!$A:$A,$T689,INTAKE!$P:$P),0)</f>
        <v>0</v>
      </c>
      <c r="L689" s="1703">
        <f>+G689+H689+I689-J689-K689</f>
        <v>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ref="T689:T698" si="440">$Q$699&amp;C689&amp;E689</f>
        <v>Carob Powder45992</v>
      </c>
      <c r="U689" s="797"/>
      <c r="V689" s="797"/>
      <c r="W689" s="785">
        <f>IFERROR(VLOOKUP($Q689,'391'!$S:$AG,15,0),0)</f>
        <v>0</v>
      </c>
      <c r="X689" s="1090">
        <f>G689-W689</f>
        <v>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81"/>
      <c r="B690" s="2068"/>
      <c r="C690" s="114" t="s">
        <v>2106</v>
      </c>
      <c r="D690" s="959" t="s">
        <v>10</v>
      </c>
      <c r="E690" s="933">
        <v>46221</v>
      </c>
      <c r="F690" s="42">
        <f t="shared" ref="F690:F695" si="441">$L$7-E690</f>
        <v>40</v>
      </c>
      <c r="G690" s="12">
        <v>14000</v>
      </c>
      <c r="H690" s="12"/>
      <c r="I690" s="12"/>
      <c r="J690" s="1368"/>
      <c r="K690" s="12">
        <f>IFERROR(SUMIF(INTAKE!$A:$A,$T690,INTAKE!$P:$P),0)</f>
        <v>5250</v>
      </c>
      <c r="L690" s="1703">
        <f t="shared" ref="L690:L698" si="442">+G690+H690+I690-J690-K690</f>
        <v>8750</v>
      </c>
      <c r="M690" s="48"/>
      <c r="N690" s="163"/>
      <c r="O690" s="48"/>
      <c r="P690" s="738"/>
      <c r="Q690" s="795"/>
      <c r="R690" s="785">
        <f>IFERROR(VLOOKUP($Q690,'391'!$S:$Z,8,0),"")</f>
        <v>0</v>
      </c>
      <c r="S690" s="796"/>
      <c r="T690" s="797" t="str">
        <f t="shared" si="440"/>
        <v>Carob PowderA246221</v>
      </c>
      <c r="U690" s="797"/>
      <c r="V690" s="797"/>
      <c r="W690" s="785">
        <f>IFERROR(VLOOKUP($Q690,'391'!$S:$AG,15,0),0)</f>
        <v>0</v>
      </c>
      <c r="X690" s="1090">
        <f t="shared" ref="X690:X720" si="443">G690-W690</f>
        <v>14000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30" customHeight="1" x14ac:dyDescent="0.25">
      <c r="A691" s="2081"/>
      <c r="B691" s="2068"/>
      <c r="C691" s="114" t="s">
        <v>2106</v>
      </c>
      <c r="D691" s="959" t="s">
        <v>10</v>
      </c>
      <c r="E691" s="933">
        <v>46223</v>
      </c>
      <c r="F691" s="42">
        <f t="shared" si="441"/>
        <v>38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3">
        <f t="shared" si="442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0"/>
        <v>Carob PowderA246223</v>
      </c>
      <c r="U691" s="797"/>
      <c r="V691" s="797"/>
      <c r="W691" s="785">
        <f>IFERROR(VLOOKUP($Q691,'391'!$S:$AG,15,0),0)</f>
        <v>0</v>
      </c>
      <c r="X691" s="1090">
        <f t="shared" si="443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1"/>
      <c r="B692" s="2068"/>
      <c r="C692" s="114" t="s">
        <v>481</v>
      </c>
      <c r="D692" s="959" t="s">
        <v>10</v>
      </c>
      <c r="E692" s="933">
        <v>46230</v>
      </c>
      <c r="F692" s="42">
        <f t="shared" si="441"/>
        <v>31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3">
        <f t="shared" si="442"/>
        <v>49000</v>
      </c>
      <c r="M692" s="48"/>
      <c r="N692" s="163"/>
      <c r="O692" s="48"/>
      <c r="P692" s="738"/>
      <c r="Q692" s="795"/>
      <c r="R692" s="785">
        <f>IFERROR(VLOOKUP($Q692,'391'!$S:$Z,8,0),"")</f>
        <v>0</v>
      </c>
      <c r="S692" s="796"/>
      <c r="T692" s="797" t="str">
        <f t="shared" si="440"/>
        <v>Carob PowderB146230</v>
      </c>
      <c r="U692" s="797"/>
      <c r="V692" s="797"/>
      <c r="W692" s="785">
        <f>IFERROR(VLOOKUP($Q692,'391'!$S:$AG,15,0),0)</f>
        <v>0</v>
      </c>
      <c r="X692" s="1090">
        <f t="shared" si="443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customHeight="1" x14ac:dyDescent="0.25">
      <c r="A693" s="2081"/>
      <c r="B693" s="2068"/>
      <c r="C693" s="114" t="s">
        <v>2128</v>
      </c>
      <c r="D693" s="959" t="s">
        <v>10</v>
      </c>
      <c r="E693" s="933">
        <v>46230</v>
      </c>
      <c r="F693" s="42">
        <f t="shared" si="441"/>
        <v>31</v>
      </c>
      <c r="G693" s="12">
        <v>24500</v>
      </c>
      <c r="H693" s="12"/>
      <c r="I693" s="12"/>
      <c r="J693" s="1368"/>
      <c r="K693" s="12">
        <f>IFERROR(SUMIF(INTAKE!$A:$A,$T693,INTAKE!$P:$P),0)</f>
        <v>0</v>
      </c>
      <c r="L693" s="1703">
        <f t="shared" si="442"/>
        <v>24500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0"/>
        <v>Carob PowderA446230</v>
      </c>
      <c r="U693" s="797"/>
      <c r="V693" s="797"/>
      <c r="W693" s="785">
        <f>IFERROR(VLOOKUP($Q693,'391'!$S:$AG,15,0),0)</f>
        <v>0</v>
      </c>
      <c r="X693" s="1090">
        <f t="shared" si="443"/>
        <v>24500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28.5" customHeight="1" x14ac:dyDescent="0.25">
      <c r="A694" s="2081"/>
      <c r="B694" s="2068"/>
      <c r="C694" s="114" t="s">
        <v>488</v>
      </c>
      <c r="D694" s="959" t="s">
        <v>10</v>
      </c>
      <c r="E694" s="933">
        <v>46246</v>
      </c>
      <c r="F694" s="42">
        <f t="shared" si="441"/>
        <v>15</v>
      </c>
      <c r="G694" s="12">
        <v>24500</v>
      </c>
      <c r="H694" s="12"/>
      <c r="I694" s="12"/>
      <c r="J694" s="1368"/>
      <c r="K694" s="12">
        <f>IFERROR(SUMIF(INTAKE!$A:$A,$T694,INTAKE!$P:$P),0)</f>
        <v>0</v>
      </c>
      <c r="L694" s="1703">
        <f t="shared" si="442"/>
        <v>24500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0"/>
        <v>Carob PowderB246246</v>
      </c>
      <c r="U694" s="797"/>
      <c r="V694" s="797"/>
      <c r="W694" s="785">
        <f>IFERROR(VLOOKUP($Q694,'391'!$S:$AG,15,0),0)</f>
        <v>0</v>
      </c>
      <c r="X694" s="1090">
        <f t="shared" si="443"/>
        <v>24500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1"/>
      <c r="B695" s="2068"/>
      <c r="C695" s="114" t="s">
        <v>488</v>
      </c>
      <c r="D695" s="959" t="s">
        <v>10</v>
      </c>
      <c r="E695" s="933">
        <v>46247</v>
      </c>
      <c r="F695" s="42">
        <f t="shared" si="441"/>
        <v>14</v>
      </c>
      <c r="G695" s="12">
        <v>24500</v>
      </c>
      <c r="H695" s="12"/>
      <c r="I695" s="12"/>
      <c r="J695" s="1368"/>
      <c r="K695" s="12">
        <f>IFERROR(SUMIF(INTAKE!$A:$A,$T695,INTAKE!$P:$P),0)</f>
        <v>0</v>
      </c>
      <c r="L695" s="1703">
        <f t="shared" si="442"/>
        <v>24500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0"/>
        <v>Carob PowderB246247</v>
      </c>
      <c r="U695" s="797"/>
      <c r="V695" s="797"/>
      <c r="W695" s="785">
        <f>IFERROR(VLOOKUP($Q695,'391'!$S:$AG,15,0),0)</f>
        <v>0</v>
      </c>
      <c r="X695" s="1090">
        <f t="shared" si="443"/>
        <v>24500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13" customFormat="1" ht="30" hidden="1" customHeight="1" x14ac:dyDescent="0.25">
      <c r="A696" s="2081"/>
      <c r="B696" s="2072"/>
      <c r="C696" s="114"/>
      <c r="D696" s="959" t="s">
        <v>10</v>
      </c>
      <c r="E696" s="933">
        <v>46247</v>
      </c>
      <c r="F696" s="42">
        <f t="shared" ref="F696" si="444">$L$7-E696</f>
        <v>14</v>
      </c>
      <c r="G696" s="12">
        <v>0</v>
      </c>
      <c r="H696" s="12"/>
      <c r="I696" s="12"/>
      <c r="J696" s="1368"/>
      <c r="K696" s="12">
        <f>IFERROR(SUMIF(INTAKE!$A:$A,$T696,INTAKE!$P:$P),0)</f>
        <v>0</v>
      </c>
      <c r="L696" s="1703">
        <f t="shared" si="442"/>
        <v>0</v>
      </c>
      <c r="M696" s="45"/>
      <c r="N696" s="162"/>
      <c r="O696" s="45"/>
      <c r="P696" s="736"/>
      <c r="Q696" s="795"/>
      <c r="R696" s="785">
        <f>IFERROR(VLOOKUP($Q696,'391'!$S:$Z,8,0),"")</f>
        <v>0</v>
      </c>
      <c r="S696" s="796"/>
      <c r="T696" s="797" t="str">
        <f t="shared" si="440"/>
        <v>Carob Powder46247</v>
      </c>
      <c r="U696" s="797"/>
      <c r="V696" s="797"/>
      <c r="W696" s="785">
        <f>IFERROR(VLOOKUP($Q696,'391'!$S:$AG,15,0),0)</f>
        <v>0</v>
      </c>
      <c r="X696" s="1090">
        <f t="shared" si="443"/>
        <v>0</v>
      </c>
      <c r="Y696" s="785"/>
      <c r="Z696" s="785"/>
      <c r="AA696" s="797"/>
      <c r="AB696" s="797"/>
      <c r="AC696" s="683"/>
      <c r="AD696" s="683"/>
      <c r="AE696" s="683"/>
      <c r="AF696" s="683"/>
      <c r="AG696" s="683"/>
      <c r="AH696" s="683"/>
      <c r="AI696" s="705"/>
      <c r="AJ696" s="705"/>
      <c r="AK696" s="705"/>
      <c r="AL696" s="705"/>
      <c r="AM696" s="705"/>
      <c r="AN696" s="705"/>
      <c r="AO696" s="705"/>
      <c r="AP696" s="705"/>
      <c r="AQ696" s="705"/>
      <c r="AR696" s="705"/>
      <c r="AS696" s="705"/>
    </row>
    <row r="697" spans="1:45" s="13" customFormat="1" ht="30" hidden="1" customHeight="1" x14ac:dyDescent="0.25">
      <c r="A697" s="2081"/>
      <c r="B697" s="2068"/>
      <c r="C697" s="114"/>
      <c r="D697" s="959" t="s">
        <v>10</v>
      </c>
      <c r="E697" s="933">
        <v>46246</v>
      </c>
      <c r="F697" s="42">
        <f t="shared" ref="F697:F698" si="445">$L$7-E697</f>
        <v>15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3">
        <f t="shared" si="442"/>
        <v>0</v>
      </c>
      <c r="M697" s="45"/>
      <c r="N697" s="162"/>
      <c r="O697" s="45"/>
      <c r="P697" s="736"/>
      <c r="Q697" s="795"/>
      <c r="R697" s="785">
        <f>IFERROR(VLOOKUP($Q697,'391'!$S:$Z,8,0),"")</f>
        <v>0</v>
      </c>
      <c r="S697" s="796"/>
      <c r="T697" s="797" t="str">
        <f t="shared" si="440"/>
        <v>Carob Powder46246</v>
      </c>
      <c r="U697" s="797"/>
      <c r="V697" s="797"/>
      <c r="W697" s="785">
        <f>IFERROR(VLOOKUP($Q697,'391'!$S:$AG,15,0),0)</f>
        <v>0</v>
      </c>
      <c r="X697" s="1090">
        <f t="shared" si="443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customHeight="1" x14ac:dyDescent="0.25">
      <c r="A698" s="2081"/>
      <c r="B698" s="2068"/>
      <c r="C698" s="107" t="s">
        <v>1300</v>
      </c>
      <c r="D698" s="850" t="s">
        <v>10</v>
      </c>
      <c r="E698" s="960">
        <v>46221</v>
      </c>
      <c r="F698" s="42">
        <f t="shared" si="445"/>
        <v>40</v>
      </c>
      <c r="G698" s="56">
        <v>27435</v>
      </c>
      <c r="H698" s="12"/>
      <c r="I698" s="56">
        <f>+SUM(K689:K695)</f>
        <v>5250</v>
      </c>
      <c r="J698" s="56">
        <f>usage!I73</f>
        <v>716.5</v>
      </c>
      <c r="K698" s="12">
        <f>IFERROR(SUMIF(INTAKE!$A:$A,$T698,INTAKE!$P:$P),0)</f>
        <v>0</v>
      </c>
      <c r="L698" s="1534">
        <f t="shared" si="442"/>
        <v>31968.5</v>
      </c>
      <c r="M698" s="45"/>
      <c r="N698" s="162"/>
      <c r="O698" s="45"/>
      <c r="P698" s="736"/>
      <c r="Q698" s="795"/>
      <c r="R698" s="785">
        <f>IFERROR(VLOOKUP($Q698,'391'!$S:$Z,8,0),"")</f>
        <v>0</v>
      </c>
      <c r="S698" s="796"/>
      <c r="T698" s="797" t="str">
        <f t="shared" si="440"/>
        <v>Carob PowderFM6946221</v>
      </c>
      <c r="U698" s="797"/>
      <c r="V698" s="797"/>
      <c r="W698" s="785">
        <f>IFERROR(VLOOKUP($Q698,'391'!$S:$AG,15,0),0)</f>
        <v>0</v>
      </c>
      <c r="X698" s="1090">
        <f t="shared" si="443"/>
        <v>27435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265" customFormat="1" ht="30" customHeight="1" x14ac:dyDescent="0.25">
      <c r="A699" s="2022" t="s">
        <v>295</v>
      </c>
      <c r="B699" s="2023"/>
      <c r="C699" s="88"/>
      <c r="D699" s="900"/>
      <c r="E699" s="901"/>
      <c r="F699" s="902"/>
      <c r="G699" s="1380">
        <v>188435</v>
      </c>
      <c r="H699" s="1380">
        <f>+SUM(H689:H698)</f>
        <v>0</v>
      </c>
      <c r="I699" s="1380">
        <f t="shared" ref="I699:L699" si="446">+SUM(I689:I698)</f>
        <v>5250</v>
      </c>
      <c r="J699" s="1380">
        <f t="shared" si="446"/>
        <v>716.5</v>
      </c>
      <c r="K699" s="1380">
        <f t="shared" si="446"/>
        <v>5250</v>
      </c>
      <c r="L699" s="1380">
        <f t="shared" si="446"/>
        <v>187718.5</v>
      </c>
      <c r="M699" s="59">
        <f>IFERROR((R699/$S$2),"")</f>
        <v>3507.0833333333335</v>
      </c>
      <c r="N699" s="366">
        <f>+IFERROR(L699/M699,0)</f>
        <v>53.525531662112392</v>
      </c>
      <c r="O699" s="59">
        <f>IFERROR(SUMIF(ETM!$A:$A,$Q699,ETM!$E:$E),"")</f>
        <v>3755.0000000000005</v>
      </c>
      <c r="P699" s="855">
        <f>IFERROR(L699/O699,0)</f>
        <v>49.991611185086548</v>
      </c>
      <c r="Q699" s="814" t="s">
        <v>656</v>
      </c>
      <c r="R699" s="785">
        <f>IFERROR(VLOOKUP($Q699,'391'!$S:$Z,8,0),"")</f>
        <v>21042.5</v>
      </c>
      <c r="S699" s="796"/>
      <c r="T699" s="797"/>
      <c r="U699" s="797"/>
      <c r="V699" s="797"/>
      <c r="W699" s="785">
        <f>IFERROR(VLOOKUP($Q699,'391'!$S:$AG,15,0),0)</f>
        <v>201349.5</v>
      </c>
      <c r="X699" s="1090">
        <f t="shared" si="443"/>
        <v>-12914.5</v>
      </c>
      <c r="Y699" s="785"/>
      <c r="Z699" s="785"/>
      <c r="AA699" s="797"/>
      <c r="AB699" s="797"/>
      <c r="AC699" s="551"/>
      <c r="AD699" s="551"/>
      <c r="AE699" s="551"/>
      <c r="AF699" s="551"/>
      <c r="AG699" s="551"/>
      <c r="AH699" s="551"/>
      <c r="AI699" s="704"/>
      <c r="AJ699" s="704"/>
      <c r="AK699" s="704"/>
      <c r="AL699" s="704"/>
      <c r="AM699" s="704"/>
      <c r="AN699" s="704"/>
      <c r="AO699" s="704"/>
      <c r="AP699" s="704"/>
      <c r="AQ699" s="704"/>
      <c r="AR699" s="704"/>
      <c r="AS699" s="704"/>
    </row>
    <row r="700" spans="1:45" s="13" customFormat="1" ht="30" hidden="1" customHeight="1" x14ac:dyDescent="0.25">
      <c r="A700" s="2066" t="str">
        <f>IF(L705=0,"",MAX($A$16:A693)+1)</f>
        <v/>
      </c>
      <c r="B700" s="2046" t="s">
        <v>1411</v>
      </c>
      <c r="C700" s="114" t="s">
        <v>488</v>
      </c>
      <c r="D700" s="959" t="s">
        <v>10</v>
      </c>
      <c r="E700" s="933">
        <v>46065</v>
      </c>
      <c r="F700" s="42">
        <f>$L$7-E700</f>
        <v>196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703">
        <f>+G700+H700+I700-J700-K700</f>
        <v>0</v>
      </c>
      <c r="M700" s="48"/>
      <c r="N700" s="163"/>
      <c r="O700" s="48"/>
      <c r="P700" s="738"/>
      <c r="Q700" s="795"/>
      <c r="R700" s="785">
        <f>IFERROR(VLOOKUP($Q700,'391'!$S:$Z,8,0),"")</f>
        <v>0</v>
      </c>
      <c r="S700" s="796"/>
      <c r="T700" s="797" t="str">
        <f>$Q$705&amp;C700&amp;E700</f>
        <v>Carani (Algieria)B246065</v>
      </c>
      <c r="U700" s="797"/>
      <c r="V700" s="797"/>
      <c r="W700" s="785">
        <f>IFERROR(VLOOKUP($Q700,'391'!$S:$AG,15,0),0)</f>
        <v>0</v>
      </c>
      <c r="X700" s="1090">
        <f t="shared" si="443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1"/>
      <c r="B701" s="2068"/>
      <c r="C701" s="114"/>
      <c r="D701" s="959" t="s">
        <v>10</v>
      </c>
      <c r="E701" s="933">
        <v>45392</v>
      </c>
      <c r="F701" s="42">
        <f>$L$7-E701</f>
        <v>869</v>
      </c>
      <c r="G701" s="12">
        <v>0</v>
      </c>
      <c r="H701" s="12"/>
      <c r="I701" s="12"/>
      <c r="J701" s="1368"/>
      <c r="K701" s="12">
        <f>IFERROR(SUMIF(INTAKE!$A:$A,$T701,INTAKE!$P:$P),0)</f>
        <v>0</v>
      </c>
      <c r="L701" s="1534">
        <f>+G701+H701+I701-J701-K701</f>
        <v>0</v>
      </c>
      <c r="M701" s="48"/>
      <c r="N701" s="163"/>
      <c r="O701" s="48"/>
      <c r="P701" s="738"/>
      <c r="Q701" s="795"/>
      <c r="R701" s="785">
        <f>IFERROR(VLOOKUP($Q701,'391'!$S:$Z,8,0),"")</f>
        <v>0</v>
      </c>
      <c r="S701" s="796"/>
      <c r="T701" s="797" t="str">
        <f>$Q$705&amp;C701&amp;E701</f>
        <v>Carani (Algieria)45392</v>
      </c>
      <c r="U701" s="797"/>
      <c r="V701" s="797"/>
      <c r="W701" s="785">
        <f>IFERROR(VLOOKUP($Q701,'391'!$S:$AG,15,0),0)</f>
        <v>0</v>
      </c>
      <c r="X701" s="1090">
        <f t="shared" si="443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13" customFormat="1" ht="30" hidden="1" customHeight="1" x14ac:dyDescent="0.25">
      <c r="A702" s="2081"/>
      <c r="B702" s="2072"/>
      <c r="C702" s="114"/>
      <c r="D702" s="959" t="s">
        <v>10</v>
      </c>
      <c r="E702" s="933">
        <v>45392</v>
      </c>
      <c r="F702" s="42">
        <f>$L$7-E702</f>
        <v>869</v>
      </c>
      <c r="G702" s="12">
        <v>0</v>
      </c>
      <c r="H702" s="12"/>
      <c r="I702" s="12"/>
      <c r="J702" s="1368"/>
      <c r="K702" s="12">
        <f>IFERROR(SUMIF(INTAKE!$A:$A,$T702,INTAKE!$P:$P),0)</f>
        <v>0</v>
      </c>
      <c r="L702" s="1534">
        <f>+G702+H702+I702-J702-K702</f>
        <v>0</v>
      </c>
      <c r="M702" s="45"/>
      <c r="N702" s="162"/>
      <c r="O702" s="45"/>
      <c r="P702" s="736"/>
      <c r="Q702" s="795"/>
      <c r="R702" s="785">
        <f>IFERROR(VLOOKUP($Q702,'391'!$S:$Z,8,0),"")</f>
        <v>0</v>
      </c>
      <c r="S702" s="796"/>
      <c r="T702" s="797" t="str">
        <f>$Q$705&amp;C702&amp;E702</f>
        <v>Carani (Algieria)45392</v>
      </c>
      <c r="U702" s="797"/>
      <c r="V702" s="797"/>
      <c r="W702" s="785">
        <f>IFERROR(VLOOKUP($Q702,'391'!$S:$AG,15,0),0)</f>
        <v>0</v>
      </c>
      <c r="X702" s="1090">
        <f t="shared" si="443"/>
        <v>0</v>
      </c>
      <c r="Y702" s="785"/>
      <c r="Z702" s="785"/>
      <c r="AA702" s="797"/>
      <c r="AB702" s="797"/>
      <c r="AC702" s="683"/>
      <c r="AD702" s="683"/>
      <c r="AE702" s="683"/>
      <c r="AF702" s="683"/>
      <c r="AG702" s="683"/>
      <c r="AH702" s="683"/>
      <c r="AI702" s="705"/>
      <c r="AJ702" s="705"/>
      <c r="AK702" s="705"/>
      <c r="AL702" s="705"/>
      <c r="AM702" s="705"/>
      <c r="AN702" s="705"/>
      <c r="AO702" s="705"/>
      <c r="AP702" s="705"/>
      <c r="AQ702" s="705"/>
      <c r="AR702" s="705"/>
      <c r="AS702" s="705"/>
    </row>
    <row r="703" spans="1:45" s="13" customFormat="1" ht="30" hidden="1" customHeight="1" x14ac:dyDescent="0.25">
      <c r="A703" s="2081"/>
      <c r="B703" s="2068"/>
      <c r="C703" s="114"/>
      <c r="D703" s="959" t="s">
        <v>10</v>
      </c>
      <c r="E703" s="933">
        <v>44942</v>
      </c>
      <c r="F703" s="42">
        <f>$L$7-E703</f>
        <v>1319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>+G703+H703+I703-J703-K703</f>
        <v>0</v>
      </c>
      <c r="M703" s="45"/>
      <c r="N703" s="162"/>
      <c r="O703" s="45"/>
      <c r="P703" s="736"/>
      <c r="Q703" s="795"/>
      <c r="R703" s="785">
        <f>IFERROR(VLOOKUP($Q703,'391'!$S:$Z,8,0),"")</f>
        <v>0</v>
      </c>
      <c r="S703" s="796"/>
      <c r="T703" s="797" t="str">
        <f>$Q$705&amp;C703&amp;E703</f>
        <v>Carani (Algieria)44942</v>
      </c>
      <c r="U703" s="797"/>
      <c r="V703" s="797"/>
      <c r="W703" s="785">
        <f>IFERROR(VLOOKUP($Q703,'391'!$S:$AG,15,0),0)</f>
        <v>0</v>
      </c>
      <c r="X703" s="1090">
        <f t="shared" si="443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1"/>
      <c r="B704" s="2068"/>
      <c r="C704" s="107" t="s">
        <v>1300</v>
      </c>
      <c r="D704" s="850" t="s">
        <v>10</v>
      </c>
      <c r="E704" s="960">
        <v>46065</v>
      </c>
      <c r="F704" s="42">
        <f>$L$7-E704</f>
        <v>196</v>
      </c>
      <c r="G704" s="56">
        <v>0</v>
      </c>
      <c r="H704" s="958"/>
      <c r="I704" s="56">
        <f>+SUM(K700:K702)</f>
        <v>0</v>
      </c>
      <c r="J704" s="56"/>
      <c r="K704" s="12">
        <f>IFERROR(SUMIF(INTAKE!$A:$A,$T704,INTAKE!$P:$P),0)</f>
        <v>0</v>
      </c>
      <c r="L704" s="1534">
        <f>+G704+H704+I704-J704-K704</f>
        <v>0</v>
      </c>
      <c r="M704" s="45"/>
      <c r="N704" s="162"/>
      <c r="O704" s="45"/>
      <c r="P704" s="736"/>
      <c r="Q704" s="795"/>
      <c r="R704" s="785">
        <f>IFERROR(VLOOKUP($Q704,'391'!$S:$Z,8,0),"")</f>
        <v>0</v>
      </c>
      <c r="S704" s="796"/>
      <c r="T704" s="797" t="str">
        <f>$Q$705&amp;C704&amp;E704</f>
        <v>Carani (Algieria)FM6946065</v>
      </c>
      <c r="U704" s="797"/>
      <c r="V704" s="797"/>
      <c r="W704" s="785">
        <f>IFERROR(VLOOKUP($Q704,'391'!$S:$AG,15,0),0)</f>
        <v>0</v>
      </c>
      <c r="X704" s="1090">
        <f t="shared" si="443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265" customFormat="1" ht="30" hidden="1" customHeight="1" x14ac:dyDescent="0.25">
      <c r="A705" s="2022" t="s">
        <v>1412</v>
      </c>
      <c r="B705" s="2023"/>
      <c r="C705" s="88"/>
      <c r="D705" s="900"/>
      <c r="E705" s="901"/>
      <c r="F705" s="902"/>
      <c r="G705" s="1380">
        <v>0</v>
      </c>
      <c r="H705" s="1380">
        <f t="shared" ref="H705:L705" si="447">+SUM(H700:H704)</f>
        <v>0</v>
      </c>
      <c r="I705" s="1380">
        <f t="shared" si="447"/>
        <v>0</v>
      </c>
      <c r="J705" s="1380">
        <f t="shared" si="447"/>
        <v>0</v>
      </c>
      <c r="K705" s="1380">
        <f t="shared" si="447"/>
        <v>0</v>
      </c>
      <c r="L705" s="1380">
        <f t="shared" si="447"/>
        <v>0</v>
      </c>
      <c r="M705" s="59" t="str">
        <f>IFERROR((R705/$S$2),"")</f>
        <v/>
      </c>
      <c r="N705" s="366">
        <f>IFERROR(L705/M705,0)</f>
        <v>0</v>
      </c>
      <c r="O705" s="59">
        <f>IFERROR(SUMIF(ETM!$A:$A,$Q705,ETM!$E:$E),"")</f>
        <v>0</v>
      </c>
      <c r="P705" s="855">
        <f>IFERROR(L705/O705,0)</f>
        <v>0</v>
      </c>
      <c r="Q705" s="666" t="s">
        <v>1414</v>
      </c>
      <c r="R705" s="785" t="str">
        <f>IFERROR(VLOOKUP($Q705,'391'!$S:$Z,8,0),"")</f>
        <v/>
      </c>
      <c r="S705" s="796"/>
      <c r="T705" s="797"/>
      <c r="U705" s="797"/>
      <c r="V705" s="797"/>
      <c r="W705" s="785">
        <f>IFERROR(VLOOKUP($Q705,'391'!$S:$AG,15,0),0)</f>
        <v>0</v>
      </c>
      <c r="X705" s="1090">
        <f t="shared" si="443"/>
        <v>0</v>
      </c>
      <c r="Y705" s="785"/>
      <c r="Z705" s="785"/>
      <c r="AA705" s="797"/>
      <c r="AB705" s="797"/>
      <c r="AC705" s="551"/>
      <c r="AD705" s="551"/>
      <c r="AE705" s="551"/>
      <c r="AF705" s="551"/>
      <c r="AG705" s="551"/>
      <c r="AH705" s="551"/>
      <c r="AI705" s="704"/>
      <c r="AJ705" s="704"/>
      <c r="AK705" s="704"/>
      <c r="AL705" s="704"/>
      <c r="AM705" s="704"/>
      <c r="AN705" s="704"/>
      <c r="AO705" s="704"/>
      <c r="AP705" s="704"/>
      <c r="AQ705" s="704"/>
      <c r="AR705" s="704"/>
      <c r="AS705" s="704"/>
    </row>
    <row r="706" spans="1:45" s="13" customFormat="1" ht="30" hidden="1" customHeight="1" x14ac:dyDescent="0.25">
      <c r="A706" s="2066" t="str">
        <f>IF(L711=0,"",MAX($A$16:A705)+1)</f>
        <v/>
      </c>
      <c r="B706" s="2046" t="s">
        <v>1406</v>
      </c>
      <c r="C706" s="114" t="s">
        <v>257</v>
      </c>
      <c r="D706" s="959" t="s">
        <v>10</v>
      </c>
      <c r="E706" s="933">
        <v>45364</v>
      </c>
      <c r="F706" s="42">
        <f>$L$7-E706</f>
        <v>897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ref="L706:L727" si="448">+G706+H706+I706-J706-K706</f>
        <v>0</v>
      </c>
      <c r="M706" s="48"/>
      <c r="N706" s="163"/>
      <c r="O706" s="48"/>
      <c r="P706" s="738"/>
      <c r="Q706" s="795"/>
      <c r="R706" s="785">
        <f>IFERROR(VLOOKUP($Q706,'391'!$S:$Z,8,0),"")</f>
        <v>0</v>
      </c>
      <c r="S706" s="796"/>
      <c r="T706" s="797" t="str">
        <f>$Q$711&amp;C706&amp;E706</f>
        <v>Euro Biosweet (Dehydrated Carob Powder)C245364</v>
      </c>
      <c r="U706" s="797"/>
      <c r="V706" s="797"/>
      <c r="W706" s="785">
        <f>IFERROR(VLOOKUP($Q706,'391'!$S:$AG,15,0),0)</f>
        <v>0</v>
      </c>
      <c r="X706" s="1090">
        <f t="shared" si="443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1"/>
      <c r="B707" s="2068"/>
      <c r="C707" s="114"/>
      <c r="D707" s="959" t="s">
        <v>10</v>
      </c>
      <c r="E707" s="933">
        <v>45364</v>
      </c>
      <c r="F707" s="42">
        <f>$L$7-E707</f>
        <v>897</v>
      </c>
      <c r="G707" s="12">
        <v>0</v>
      </c>
      <c r="H707" s="12"/>
      <c r="I707" s="12"/>
      <c r="J707" s="1368"/>
      <c r="K707" s="12">
        <f>IFERROR(SUMIF(INTAKE!$A:$A,$T707,INTAKE!$P:$P),0)</f>
        <v>0</v>
      </c>
      <c r="L707" s="1534">
        <f t="shared" si="448"/>
        <v>0</v>
      </c>
      <c r="M707" s="48"/>
      <c r="N707" s="163"/>
      <c r="O707" s="48"/>
      <c r="P707" s="738"/>
      <c r="Q707" s="795"/>
      <c r="R707" s="785">
        <f>IFERROR(VLOOKUP($Q707,'391'!$S:$Z,8,0),"")</f>
        <v>0</v>
      </c>
      <c r="S707" s="796"/>
      <c r="T707" s="797" t="str">
        <f>$Q$711&amp;C707&amp;E707</f>
        <v>Euro Biosweet (Dehydrated Carob Powder)45364</v>
      </c>
      <c r="U707" s="797"/>
      <c r="V707" s="797"/>
      <c r="W707" s="785">
        <f>IFERROR(VLOOKUP($Q707,'391'!$S:$AG,15,0),0)</f>
        <v>0</v>
      </c>
      <c r="X707" s="1090">
        <f t="shared" si="443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13" customFormat="1" ht="30" hidden="1" customHeight="1" x14ac:dyDescent="0.25">
      <c r="A708" s="2081"/>
      <c r="B708" s="2072"/>
      <c r="C708" s="114"/>
      <c r="D708" s="959" t="s">
        <v>10</v>
      </c>
      <c r="E708" s="933">
        <v>45199</v>
      </c>
      <c r="F708" s="42">
        <f>$L$7-E708</f>
        <v>1062</v>
      </c>
      <c r="G708" s="12">
        <v>0</v>
      </c>
      <c r="H708" s="12"/>
      <c r="I708" s="12"/>
      <c r="J708" s="1368"/>
      <c r="K708" s="12">
        <f>IFERROR(SUMIF(INTAKE!$A:$A,$T708,INTAKE!$P:$P),0)</f>
        <v>0</v>
      </c>
      <c r="L708" s="1534">
        <f t="shared" si="448"/>
        <v>0</v>
      </c>
      <c r="M708" s="45"/>
      <c r="N708" s="162"/>
      <c r="O708" s="45"/>
      <c r="P708" s="736"/>
      <c r="Q708" s="795"/>
      <c r="R708" s="785">
        <f>IFERROR(VLOOKUP($Q708,'391'!$S:$Z,8,0),"")</f>
        <v>0</v>
      </c>
      <c r="S708" s="796"/>
      <c r="T708" s="797" t="str">
        <f>$Q$711&amp;C708&amp;E708</f>
        <v>Euro Biosweet (Dehydrated Carob Powder)45199</v>
      </c>
      <c r="U708" s="797"/>
      <c r="V708" s="797"/>
      <c r="W708" s="785">
        <f>IFERROR(VLOOKUP($Q708,'391'!$S:$AG,15,0),0)</f>
        <v>0</v>
      </c>
      <c r="X708" s="1090">
        <f t="shared" si="443"/>
        <v>0</v>
      </c>
      <c r="Y708" s="785"/>
      <c r="Z708" s="785"/>
      <c r="AA708" s="797"/>
      <c r="AB708" s="797"/>
      <c r="AC708" s="683"/>
      <c r="AD708" s="683"/>
      <c r="AE708" s="683"/>
      <c r="AF708" s="683"/>
      <c r="AG708" s="683"/>
      <c r="AH708" s="683"/>
      <c r="AI708" s="705"/>
      <c r="AJ708" s="705"/>
      <c r="AK708" s="705"/>
      <c r="AL708" s="705"/>
      <c r="AM708" s="705"/>
      <c r="AN708" s="705"/>
      <c r="AO708" s="705"/>
      <c r="AP708" s="705"/>
      <c r="AQ708" s="705"/>
      <c r="AR708" s="705"/>
      <c r="AS708" s="705"/>
    </row>
    <row r="709" spans="1:45" s="13" customFormat="1" ht="30" hidden="1" customHeight="1" x14ac:dyDescent="0.25">
      <c r="A709" s="2081"/>
      <c r="B709" s="2068"/>
      <c r="C709" s="114"/>
      <c r="D709" s="959" t="s">
        <v>10</v>
      </c>
      <c r="E709" s="933">
        <v>44942</v>
      </c>
      <c r="F709" s="42">
        <f>$L$7-E709</f>
        <v>1319</v>
      </c>
      <c r="G709" s="12">
        <v>0</v>
      </c>
      <c r="H709" s="12"/>
      <c r="I709" s="12"/>
      <c r="J709" s="1368"/>
      <c r="K709" s="12">
        <f>IFERROR(SUMIF(INTAKE!$A:$A,$T709,INTAKE!$P:$P),0)</f>
        <v>0</v>
      </c>
      <c r="L709" s="1534">
        <f t="shared" si="448"/>
        <v>0</v>
      </c>
      <c r="M709" s="45"/>
      <c r="N709" s="162"/>
      <c r="O709" s="45"/>
      <c r="P709" s="736"/>
      <c r="Q709" s="795"/>
      <c r="R709" s="785">
        <f>IFERROR(VLOOKUP($Q709,'391'!$S:$Z,8,0),"")</f>
        <v>0</v>
      </c>
      <c r="S709" s="796"/>
      <c r="T709" s="797" t="str">
        <f>$Q$711&amp;C709&amp;E709</f>
        <v>Euro Biosweet (Dehydrated Carob Powder)44942</v>
      </c>
      <c r="U709" s="797"/>
      <c r="V709" s="797"/>
      <c r="W709" s="785">
        <f>IFERROR(VLOOKUP($Q709,'391'!$S:$AG,15,0),0)</f>
        <v>0</v>
      </c>
      <c r="X709" s="1090">
        <f t="shared" si="443"/>
        <v>0</v>
      </c>
      <c r="Y709" s="785"/>
      <c r="Z709" s="785"/>
      <c r="AA709" s="797"/>
      <c r="AB709" s="797"/>
      <c r="AC709" s="683"/>
      <c r="AD709" s="683"/>
      <c r="AE709" s="683"/>
      <c r="AF709" s="683"/>
      <c r="AG709" s="683"/>
      <c r="AH709" s="683"/>
      <c r="AI709" s="705"/>
      <c r="AJ709" s="705"/>
      <c r="AK709" s="705"/>
      <c r="AL709" s="705"/>
      <c r="AM709" s="705"/>
      <c r="AN709" s="705"/>
      <c r="AO709" s="705"/>
      <c r="AP709" s="705"/>
      <c r="AQ709" s="705"/>
      <c r="AR709" s="705"/>
      <c r="AS709" s="705"/>
    </row>
    <row r="710" spans="1:45" s="13" customFormat="1" ht="30" hidden="1" customHeight="1" x14ac:dyDescent="0.25">
      <c r="A710" s="2081"/>
      <c r="B710" s="2068"/>
      <c r="C710" s="107" t="s">
        <v>343</v>
      </c>
      <c r="D710" s="850" t="s">
        <v>10</v>
      </c>
      <c r="E710" s="960">
        <v>45364</v>
      </c>
      <c r="F710" s="42">
        <f>$L$7-E710</f>
        <v>897</v>
      </c>
      <c r="G710" s="56">
        <v>0</v>
      </c>
      <c r="H710" s="958"/>
      <c r="I710" s="56">
        <f>+SUM(K706:K707)</f>
        <v>0</v>
      </c>
      <c r="J710" s="56"/>
      <c r="K710" s="12">
        <f>IFERROR(SUMIF(INTAKE!$A:$A,$T710,INTAKE!$P:$P),0)</f>
        <v>0</v>
      </c>
      <c r="L710" s="1534">
        <f t="shared" si="448"/>
        <v>0</v>
      </c>
      <c r="M710" s="45"/>
      <c r="N710" s="162"/>
      <c r="O710" s="45"/>
      <c r="P710" s="736"/>
      <c r="Q710" s="795"/>
      <c r="R710" s="785">
        <f>IFERROR(VLOOKUP($Q710,'391'!$S:$Z,8,0),"")</f>
        <v>0</v>
      </c>
      <c r="S710" s="796"/>
      <c r="T710" s="797" t="str">
        <f>$Q$711&amp;C710&amp;E710</f>
        <v>Euro Biosweet (Dehydrated Carob Powder)FM8045364</v>
      </c>
      <c r="U710" s="797"/>
      <c r="V710" s="797"/>
      <c r="W710" s="785">
        <f>IFERROR(VLOOKUP($Q710,'391'!$S:$AG,15,0),0)</f>
        <v>0</v>
      </c>
      <c r="X710" s="1090">
        <f t="shared" si="443"/>
        <v>0</v>
      </c>
      <c r="Y710" s="785"/>
      <c r="Z710" s="785"/>
      <c r="AA710" s="797"/>
      <c r="AB710" s="797"/>
      <c r="AC710" s="683"/>
      <c r="AD710" s="683"/>
      <c r="AE710" s="683"/>
      <c r="AF710" s="683"/>
      <c r="AG710" s="683"/>
      <c r="AH710" s="683"/>
      <c r="AI710" s="705"/>
      <c r="AJ710" s="705"/>
      <c r="AK710" s="705"/>
      <c r="AL710" s="705"/>
      <c r="AM710" s="705"/>
      <c r="AN710" s="705"/>
      <c r="AO710" s="705"/>
      <c r="AP710" s="705"/>
      <c r="AQ710" s="705"/>
      <c r="AR710" s="705"/>
      <c r="AS710" s="705"/>
    </row>
    <row r="711" spans="1:45" s="265" customFormat="1" ht="30" hidden="1" customHeight="1" x14ac:dyDescent="0.25">
      <c r="A711" s="2022" t="s">
        <v>1416</v>
      </c>
      <c r="B711" s="2023"/>
      <c r="C711" s="88"/>
      <c r="D711" s="900"/>
      <c r="E711" s="901"/>
      <c r="F711" s="902"/>
      <c r="G711" s="1380">
        <v>0</v>
      </c>
      <c r="H711" s="1380">
        <f t="shared" ref="H711:K711" si="449">+SUM(H706:H710)</f>
        <v>0</v>
      </c>
      <c r="I711" s="1380">
        <f t="shared" si="449"/>
        <v>0</v>
      </c>
      <c r="J711" s="1380">
        <f t="shared" si="449"/>
        <v>0</v>
      </c>
      <c r="K711" s="1380">
        <f t="shared" si="449"/>
        <v>0</v>
      </c>
      <c r="L711" s="1534">
        <f t="shared" si="448"/>
        <v>0</v>
      </c>
      <c r="M711" s="59" t="str">
        <f>IFERROR((R711/$S$2),"")</f>
        <v/>
      </c>
      <c r="N711" s="366">
        <f>IFERROR(L711/M711,0)</f>
        <v>0</v>
      </c>
      <c r="O711" s="59">
        <f>IFERROR(SUMIF(ETM!$A:$A,$Q711,ETM!$E:$E),"")</f>
        <v>0</v>
      </c>
      <c r="P711" s="855">
        <f>IFERROR(L711/O711,0)</f>
        <v>0</v>
      </c>
      <c r="Q711" s="814" t="s">
        <v>1407</v>
      </c>
      <c r="R711" s="785" t="str">
        <f>IFERROR(VLOOKUP($Q711,'391'!$S:$Z,8,0),"")</f>
        <v/>
      </c>
      <c r="S711" s="796"/>
      <c r="T711" s="797"/>
      <c r="U711" s="797"/>
      <c r="V711" s="797"/>
      <c r="W711" s="785">
        <f>IFERROR(VLOOKUP($Q711,'391'!$S:$AG,15,0),0)</f>
        <v>0</v>
      </c>
      <c r="X711" s="1090">
        <f t="shared" si="443"/>
        <v>0</v>
      </c>
      <c r="Y711" s="785"/>
      <c r="Z711" s="785"/>
      <c r="AA711" s="797"/>
      <c r="AB711" s="797"/>
      <c r="AC711" s="551"/>
      <c r="AD711" s="551"/>
      <c r="AE711" s="551"/>
      <c r="AF711" s="551"/>
      <c r="AG711" s="551"/>
      <c r="AH711" s="551"/>
      <c r="AI711" s="704"/>
      <c r="AJ711" s="704"/>
      <c r="AK711" s="704"/>
      <c r="AL711" s="704"/>
      <c r="AM711" s="704"/>
      <c r="AN711" s="704"/>
      <c r="AO711" s="704"/>
      <c r="AP711" s="704"/>
      <c r="AQ711" s="704"/>
      <c r="AR711" s="704"/>
      <c r="AS711" s="704"/>
    </row>
    <row r="712" spans="1:45" customFormat="1" ht="30" hidden="1" customHeight="1" x14ac:dyDescent="0.25">
      <c r="A712" s="2066" t="str">
        <f>IF(L722=0,"",MAX($A$16:A711)+1)</f>
        <v/>
      </c>
      <c r="B712" s="2102" t="s">
        <v>484</v>
      </c>
      <c r="C712" s="114" t="s">
        <v>983</v>
      </c>
      <c r="D712" s="959" t="s">
        <v>10</v>
      </c>
      <c r="E712" s="933">
        <v>45180</v>
      </c>
      <c r="F712" s="73">
        <f t="shared" ref="F712:F721" si="450">$L$7-E712</f>
        <v>1081</v>
      </c>
      <c r="G712" s="11">
        <v>0</v>
      </c>
      <c r="H712" s="64"/>
      <c r="I712" s="64"/>
      <c r="J712" s="920"/>
      <c r="K712" s="1381">
        <f>IFERROR(SUMIF(INTAKE!$A:$A,$T712,INTAKE!$P:$P),0)</f>
        <v>0</v>
      </c>
      <c r="L712" s="1534">
        <f t="shared" si="448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ref="T712:T721" si="451">$Q$722&amp;C712&amp;E712</f>
        <v>Dabomb-P (soya protein)B15.245180</v>
      </c>
      <c r="U712" s="816"/>
      <c r="V712" s="816"/>
      <c r="W712" s="785">
        <f>IFERROR(VLOOKUP($Q712,'391'!$S:$AG,15,0),0)</f>
        <v>0</v>
      </c>
      <c r="X712" s="1090">
        <f t="shared" si="443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1"/>
      <c r="B713" s="2103"/>
      <c r="C713" s="114" t="s">
        <v>1316</v>
      </c>
      <c r="D713" s="959" t="s">
        <v>10</v>
      </c>
      <c r="E713" s="933">
        <v>45195</v>
      </c>
      <c r="F713" s="73">
        <f t="shared" si="450"/>
        <v>1066</v>
      </c>
      <c r="G713" s="11">
        <v>0</v>
      </c>
      <c r="H713" s="64"/>
      <c r="I713" s="64"/>
      <c r="J713" s="1382"/>
      <c r="K713" s="1383">
        <f>IFERROR(SUMIF(INTAKE!$A:$A,$T713,INTAKE!$P:$P),0)</f>
        <v>0</v>
      </c>
      <c r="L713" s="1534">
        <f t="shared" si="448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1"/>
        <v>Dabomb-P (soya protein)B18.145195</v>
      </c>
      <c r="U713" s="816"/>
      <c r="V713" s="816"/>
      <c r="W713" s="785">
        <f>IFERROR(VLOOKUP($Q713,'391'!$S:$AG,15,0),0)</f>
        <v>0</v>
      </c>
      <c r="X713" s="1090">
        <f t="shared" si="443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1"/>
      <c r="B714" s="2103"/>
      <c r="C714" s="114"/>
      <c r="D714" s="959" t="s">
        <v>10</v>
      </c>
      <c r="E714" s="933">
        <v>45195</v>
      </c>
      <c r="F714" s="73">
        <f t="shared" si="450"/>
        <v>1066</v>
      </c>
      <c r="G714" s="11">
        <v>0</v>
      </c>
      <c r="H714" s="64"/>
      <c r="I714" s="64"/>
      <c r="J714" s="920"/>
      <c r="K714" s="1383">
        <f>IFERROR(SUMIF(INTAKE!$A:$A,$T714,INTAKE!$P:$P),0)</f>
        <v>0</v>
      </c>
      <c r="L714" s="1534">
        <f t="shared" si="448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1"/>
        <v>Dabomb-P (soya protein)45195</v>
      </c>
      <c r="U714" s="816"/>
      <c r="V714" s="816"/>
      <c r="W714" s="785">
        <f>IFERROR(VLOOKUP($Q714,'391'!$S:$AG,15,0),0)</f>
        <v>0</v>
      </c>
      <c r="X714" s="1090">
        <f t="shared" si="443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1"/>
      <c r="B715" s="2103"/>
      <c r="C715" s="114"/>
      <c r="D715" s="959" t="s">
        <v>10</v>
      </c>
      <c r="E715" s="933">
        <v>45195</v>
      </c>
      <c r="F715" s="73">
        <f t="shared" si="450"/>
        <v>1066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48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1"/>
        <v>Dabomb-P (soya protein)45195</v>
      </c>
      <c r="U715" s="816"/>
      <c r="V715" s="816"/>
      <c r="W715" s="785">
        <f>IFERROR(VLOOKUP($Q715,'391'!$S:$AG,15,0),0)</f>
        <v>0</v>
      </c>
      <c r="X715" s="1090">
        <f t="shared" si="443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1"/>
      <c r="B716" s="2103"/>
      <c r="C716" s="114"/>
      <c r="D716" s="959" t="s">
        <v>10</v>
      </c>
      <c r="E716" s="933">
        <v>45191</v>
      </c>
      <c r="F716" s="73">
        <f t="shared" si="450"/>
        <v>1070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48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1"/>
        <v>Dabomb-P (soya protein)45191</v>
      </c>
      <c r="U716" s="816"/>
      <c r="V716" s="816"/>
      <c r="W716" s="785">
        <f>IFERROR(VLOOKUP($Q716,'391'!$S:$AG,15,0),0)</f>
        <v>0</v>
      </c>
      <c r="X716" s="1090">
        <f t="shared" si="443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1"/>
      <c r="B717" s="2103"/>
      <c r="C717" s="114"/>
      <c r="D717" s="959" t="s">
        <v>10</v>
      </c>
      <c r="E717" s="933">
        <v>45187</v>
      </c>
      <c r="F717" s="73">
        <f t="shared" si="450"/>
        <v>1074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48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1"/>
        <v>Dabomb-P (soya protein)45187</v>
      </c>
      <c r="U717" s="816"/>
      <c r="V717" s="816"/>
      <c r="W717" s="785">
        <f>IFERROR(VLOOKUP($Q717,'391'!$S:$AG,15,0),0)</f>
        <v>0</v>
      </c>
      <c r="X717" s="1090">
        <f t="shared" si="443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81"/>
      <c r="B718" s="2103"/>
      <c r="C718" s="114"/>
      <c r="D718" s="959" t="s">
        <v>10</v>
      </c>
      <c r="E718" s="933">
        <v>45180</v>
      </c>
      <c r="F718" s="73">
        <f t="shared" si="450"/>
        <v>1081</v>
      </c>
      <c r="G718" s="11">
        <v>0</v>
      </c>
      <c r="H718" s="64"/>
      <c r="I718" s="64"/>
      <c r="J718" s="1269"/>
      <c r="K718" s="1383">
        <f>IFERROR(SUMIF(INTAKE!$A:$A,$T718,INTAKE!$P:$P),0)</f>
        <v>0</v>
      </c>
      <c r="L718" s="1534">
        <f t="shared" si="448"/>
        <v>0</v>
      </c>
      <c r="M718" s="48"/>
      <c r="N718" s="163"/>
      <c r="O718" s="48"/>
      <c r="P718" s="738"/>
      <c r="Q718" s="795"/>
      <c r="R718" s="785">
        <f>IFERROR(VLOOKUP($Q718,'391'!$S:$Z,8,0),"")</f>
        <v>0</v>
      </c>
      <c r="S718" s="815"/>
      <c r="T718" s="816" t="str">
        <f t="shared" si="451"/>
        <v>Dabomb-P (soya protein)45180</v>
      </c>
      <c r="U718" s="816"/>
      <c r="V718" s="816"/>
      <c r="W718" s="785">
        <f>IFERROR(VLOOKUP($Q718,'391'!$S:$AG,15,0),0)</f>
        <v>0</v>
      </c>
      <c r="X718" s="1090">
        <f t="shared" si="443"/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customFormat="1" ht="30" hidden="1" customHeight="1" x14ac:dyDescent="0.25">
      <c r="A719" s="2081"/>
      <c r="B719" s="2103"/>
      <c r="C719" s="114"/>
      <c r="D719" s="959" t="s">
        <v>10</v>
      </c>
      <c r="E719" s="933">
        <v>45180</v>
      </c>
      <c r="F719" s="73">
        <f t="shared" si="450"/>
        <v>1081</v>
      </c>
      <c r="G719" s="11">
        <v>0</v>
      </c>
      <c r="H719" s="64"/>
      <c r="I719" s="64"/>
      <c r="J719" s="1269"/>
      <c r="K719" s="1383">
        <f>IFERROR(SUMIF(INTAKE!$A:$A,$T719,INTAKE!$P:$P),0)</f>
        <v>0</v>
      </c>
      <c r="L719" s="1534">
        <f t="shared" si="448"/>
        <v>0</v>
      </c>
      <c r="M719" s="48"/>
      <c r="N719" s="163"/>
      <c r="O719" s="48"/>
      <c r="P719" s="738"/>
      <c r="Q719" s="795"/>
      <c r="R719" s="785">
        <f>IFERROR(VLOOKUP($Q719,'391'!$S:$Z,8,0),"")</f>
        <v>0</v>
      </c>
      <c r="S719" s="815"/>
      <c r="T719" s="816" t="str">
        <f t="shared" si="451"/>
        <v>Dabomb-P (soya protein)45180</v>
      </c>
      <c r="U719" s="816"/>
      <c r="V719" s="816"/>
      <c r="W719" s="785">
        <f>IFERROR(VLOOKUP($Q719,'391'!$S:$AG,15,0),0)</f>
        <v>0</v>
      </c>
      <c r="X719" s="1090">
        <f t="shared" si="443"/>
        <v>0</v>
      </c>
      <c r="Y719" s="785"/>
      <c r="Z719" s="785"/>
      <c r="AA719" s="816"/>
      <c r="AB719" s="816"/>
      <c r="AC719" s="686"/>
      <c r="AD719" s="686"/>
      <c r="AE719" s="686"/>
      <c r="AF719" s="686"/>
      <c r="AG719" s="686"/>
      <c r="AH719" s="686"/>
      <c r="AI719" s="686"/>
      <c r="AJ719" s="708"/>
      <c r="AK719" s="708"/>
      <c r="AL719" s="708"/>
      <c r="AM719" s="708"/>
      <c r="AN719" s="708"/>
      <c r="AO719" s="708"/>
      <c r="AP719" s="708"/>
      <c r="AQ719" s="708"/>
      <c r="AR719" s="708"/>
      <c r="AS719" s="708"/>
    </row>
    <row r="720" spans="1:45" customFormat="1" ht="30" hidden="1" customHeight="1" x14ac:dyDescent="0.25">
      <c r="A720" s="2081"/>
      <c r="B720" s="2103"/>
      <c r="C720" s="114"/>
      <c r="D720" s="959" t="s">
        <v>10</v>
      </c>
      <c r="E720" s="933">
        <v>45180</v>
      </c>
      <c r="F720" s="73">
        <f t="shared" si="450"/>
        <v>1081</v>
      </c>
      <c r="G720" s="11">
        <v>0</v>
      </c>
      <c r="H720" s="64"/>
      <c r="I720" s="64"/>
      <c r="J720" s="1269"/>
      <c r="K720" s="1383">
        <f>IFERROR(SUMIF(INTAKE!$A:$A,$T720,INTAKE!$P:$P),0)</f>
        <v>0</v>
      </c>
      <c r="L720" s="1534">
        <f t="shared" si="448"/>
        <v>0</v>
      </c>
      <c r="M720" s="48"/>
      <c r="N720" s="163"/>
      <c r="O720" s="48"/>
      <c r="P720" s="738"/>
      <c r="Q720" s="795"/>
      <c r="R720" s="785">
        <f>IFERROR(VLOOKUP($Q720,'391'!$S:$Z,8,0),"")</f>
        <v>0</v>
      </c>
      <c r="S720" s="815"/>
      <c r="T720" s="816" t="str">
        <f t="shared" si="451"/>
        <v>Dabomb-P (soya protein)45180</v>
      </c>
      <c r="U720" s="816"/>
      <c r="V720" s="816"/>
      <c r="W720" s="785">
        <f>IFERROR(VLOOKUP($Q720,'391'!$S:$AG,15,0),0)</f>
        <v>0</v>
      </c>
      <c r="X720" s="1090">
        <f t="shared" si="443"/>
        <v>0</v>
      </c>
      <c r="Y720" s="785"/>
      <c r="Z720" s="785"/>
      <c r="AA720" s="816"/>
      <c r="AB720" s="816"/>
      <c r="AC720" s="686"/>
      <c r="AD720" s="686"/>
      <c r="AE720" s="686"/>
      <c r="AF720" s="686"/>
      <c r="AG720" s="686"/>
      <c r="AH720" s="686"/>
      <c r="AI720" s="686"/>
      <c r="AJ720" s="708"/>
      <c r="AK720" s="708"/>
      <c r="AL720" s="708"/>
      <c r="AM720" s="708"/>
      <c r="AN720" s="708"/>
      <c r="AO720" s="708"/>
      <c r="AP720" s="708"/>
      <c r="AQ720" s="708"/>
      <c r="AR720" s="708"/>
      <c r="AS720" s="708"/>
    </row>
    <row r="721" spans="1:45" customFormat="1" ht="30" hidden="1" customHeight="1" x14ac:dyDescent="0.25">
      <c r="A721" s="2067"/>
      <c r="B721" s="2104"/>
      <c r="C721" s="107" t="s">
        <v>1341</v>
      </c>
      <c r="D721" s="850" t="s">
        <v>10</v>
      </c>
      <c r="E721" s="960">
        <v>45195</v>
      </c>
      <c r="F721" s="42">
        <f t="shared" si="450"/>
        <v>1066</v>
      </c>
      <c r="G721" s="56">
        <v>0</v>
      </c>
      <c r="H721" s="958"/>
      <c r="I721" s="56">
        <f>+SUM(K712:K721)</f>
        <v>0</v>
      </c>
      <c r="J721" s="56">
        <f>+usage!I74</f>
        <v>0</v>
      </c>
      <c r="K721" s="1384">
        <f>IFERROR(SUMIF(INTAKE!$A:$A,$T721,INTAKE!$P:$P),0)</f>
        <v>0</v>
      </c>
      <c r="L721" s="1534">
        <f t="shared" si="448"/>
        <v>0</v>
      </c>
      <c r="M721" s="45"/>
      <c r="N721" s="162"/>
      <c r="O721" s="45"/>
      <c r="P721" s="736"/>
      <c r="Q721" s="795"/>
      <c r="R721" s="785">
        <f>IFERROR(VLOOKUP($Q721,'391'!$S:$Z,8,0),"")</f>
        <v>0</v>
      </c>
      <c r="S721" s="815"/>
      <c r="T721" s="816" t="str">
        <f t="shared" si="451"/>
        <v>Dabomb-P (soya protein)FM8145195</v>
      </c>
      <c r="U721" s="816"/>
      <c r="V721" s="816"/>
      <c r="W721" s="785">
        <f>IFERROR(VLOOKUP($Q721,'391'!$S:$AG,15,0),0)</f>
        <v>0</v>
      </c>
      <c r="X721" s="1090">
        <f t="shared" ref="X721:X748" si="452">G721-W721</f>
        <v>0</v>
      </c>
      <c r="Y721" s="785"/>
      <c r="Z721" s="785"/>
      <c r="AA721" s="816"/>
      <c r="AB721" s="816"/>
      <c r="AC721" s="686"/>
      <c r="AD721" s="686"/>
      <c r="AE721" s="686"/>
      <c r="AF721" s="686"/>
      <c r="AG721" s="686"/>
      <c r="AH721" s="686"/>
      <c r="AI721" s="686"/>
      <c r="AJ721" s="708"/>
      <c r="AK721" s="708"/>
      <c r="AL721" s="708"/>
      <c r="AM721" s="708"/>
      <c r="AN721" s="708"/>
      <c r="AO721" s="708"/>
      <c r="AP721" s="708"/>
      <c r="AQ721" s="708"/>
      <c r="AR721" s="708"/>
      <c r="AS721" s="708"/>
    </row>
    <row r="722" spans="1:45" s="265" customFormat="1" ht="30" hidden="1" customHeight="1" x14ac:dyDescent="0.25">
      <c r="A722" s="2022" t="s">
        <v>485</v>
      </c>
      <c r="B722" s="2023"/>
      <c r="C722" s="88"/>
      <c r="D722" s="2039"/>
      <c r="E722" s="2065"/>
      <c r="F722" s="901"/>
      <c r="G722" s="1380">
        <v>0</v>
      </c>
      <c r="H722" s="1380">
        <f t="shared" ref="H722:K722" si="453">+SUM(H712:H721)</f>
        <v>0</v>
      </c>
      <c r="I722" s="1380">
        <f t="shared" si="453"/>
        <v>0</v>
      </c>
      <c r="J722" s="1380">
        <f t="shared" si="453"/>
        <v>0</v>
      </c>
      <c r="K722" s="1380">
        <f t="shared" si="453"/>
        <v>0</v>
      </c>
      <c r="L722" s="1534">
        <f t="shared" si="448"/>
        <v>0</v>
      </c>
      <c r="M722" s="59" t="str">
        <f>IFERROR(R722/$S$2,"")</f>
        <v/>
      </c>
      <c r="N722" s="366">
        <f>IFERROR(L722/M722,0)</f>
        <v>0</v>
      </c>
      <c r="O722" s="59">
        <f>IFERROR(SUMIF(ETM!$A:$A,$Q722,ETM!$E:$E),"")</f>
        <v>0</v>
      </c>
      <c r="P722" s="855">
        <f>IFERROR(L722/O722,0)</f>
        <v>0</v>
      </c>
      <c r="Q722" s="814" t="s">
        <v>484</v>
      </c>
      <c r="R722" s="785" t="str">
        <f>IFERROR(VLOOKUP($Q722,'391'!$S:$Z,8,0),"")</f>
        <v/>
      </c>
      <c r="S722" s="796"/>
      <c r="T722" s="817"/>
      <c r="U722" s="797"/>
      <c r="V722" s="797"/>
      <c r="W722" s="785">
        <f>IFERROR(VLOOKUP($Q722,'391'!$S:$AG,15,0),0)</f>
        <v>0</v>
      </c>
      <c r="X722" s="1090">
        <f t="shared" si="452"/>
        <v>0</v>
      </c>
      <c r="Y722" s="785"/>
      <c r="Z722" s="785"/>
      <c r="AA722" s="797"/>
      <c r="AB722" s="797"/>
      <c r="AC722" s="551"/>
      <c r="AD722" s="551"/>
      <c r="AE722" s="551"/>
      <c r="AF722" s="551"/>
      <c r="AG722" s="551"/>
      <c r="AH722" s="551"/>
      <c r="AI722" s="704"/>
      <c r="AJ722" s="704"/>
      <c r="AK722" s="704"/>
      <c r="AL722" s="704"/>
      <c r="AM722" s="704"/>
      <c r="AN722" s="704"/>
      <c r="AO722" s="704"/>
      <c r="AP722" s="704"/>
      <c r="AQ722" s="704"/>
      <c r="AR722" s="704"/>
      <c r="AS722" s="704"/>
    </row>
    <row r="723" spans="1:45" s="13" customFormat="1" ht="28.5" hidden="1" customHeight="1" x14ac:dyDescent="0.25">
      <c r="A723" s="2024">
        <f>IF(L728=0,"",MAX($A$16:A722)+1)</f>
        <v>42</v>
      </c>
      <c r="B723" s="2099" t="s">
        <v>2180</v>
      </c>
      <c r="C723" s="160"/>
      <c r="D723" s="959" t="s">
        <v>10</v>
      </c>
      <c r="E723" s="933">
        <v>46057</v>
      </c>
      <c r="F723" s="74">
        <f>$L$7-E723</f>
        <v>204</v>
      </c>
      <c r="G723" s="63">
        <v>0</v>
      </c>
      <c r="H723" s="63"/>
      <c r="I723" s="63"/>
      <c r="J723" s="1378"/>
      <c r="K723" s="63">
        <f>IFERROR(SUMIF(INTAKE!$A:$A,$T723,INTAKE!$P:$P),0)</f>
        <v>0</v>
      </c>
      <c r="L723" s="1703">
        <f t="shared" si="448"/>
        <v>0</v>
      </c>
      <c r="M723" s="50"/>
      <c r="N723" s="167"/>
      <c r="O723" s="50"/>
      <c r="P723" s="857"/>
      <c r="Q723" s="795"/>
      <c r="R723" s="785">
        <f>IFERROR(VLOOKUP($Q723,'391'!$S:$Z,8,0),"")</f>
        <v>0</v>
      </c>
      <c r="S723" s="796"/>
      <c r="T723" s="797" t="str">
        <f>$Q$728&amp;C723&amp;E723</f>
        <v>UREA46057</v>
      </c>
      <c r="U723" s="797"/>
      <c r="V723" s="797"/>
      <c r="W723" s="785">
        <f>IFERROR(VLOOKUP($Q723,'391'!$S:$AG,15,0),0)</f>
        <v>0</v>
      </c>
      <c r="X723" s="1090">
        <f t="shared" si="452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13" customFormat="1" ht="30" hidden="1" customHeight="1" x14ac:dyDescent="0.25">
      <c r="A724" s="2025"/>
      <c r="B724" s="2100"/>
      <c r="C724" s="160"/>
      <c r="D724" s="959" t="s">
        <v>10</v>
      </c>
      <c r="E724" s="933">
        <v>46114</v>
      </c>
      <c r="F724" s="74">
        <f>$L$7-E724</f>
        <v>147</v>
      </c>
      <c r="G724" s="63">
        <v>0</v>
      </c>
      <c r="H724" s="63"/>
      <c r="I724" s="63"/>
      <c r="J724" s="1378"/>
      <c r="K724" s="63">
        <f>IFERROR(SUMIF(INTAKE!$A:$A,$T724,INTAKE!$P:$P),0)</f>
        <v>0</v>
      </c>
      <c r="L724" s="1703">
        <f t="shared" si="448"/>
        <v>0</v>
      </c>
      <c r="M724" s="48"/>
      <c r="N724" s="163"/>
      <c r="O724" s="48"/>
      <c r="P724" s="738"/>
      <c r="Q724" s="795"/>
      <c r="R724" s="785">
        <f>IFERROR(VLOOKUP($Q724,'391'!$S:$Z,8,0),"")</f>
        <v>0</v>
      </c>
      <c r="S724" s="796"/>
      <c r="T724" s="797" t="str">
        <f>$Q$728&amp;C724&amp;E724</f>
        <v>UREA46114</v>
      </c>
      <c r="U724" s="797"/>
      <c r="V724" s="797"/>
      <c r="W724" s="785">
        <f>IFERROR(VLOOKUP($Q724,'391'!$S:$AG,15,0),0)</f>
        <v>0</v>
      </c>
      <c r="X724" s="1090">
        <f t="shared" si="452"/>
        <v>0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13" customFormat="1" ht="30" customHeight="1" x14ac:dyDescent="0.25">
      <c r="A725" s="2025"/>
      <c r="B725" s="2100"/>
      <c r="C725" s="160" t="s">
        <v>1778</v>
      </c>
      <c r="D725" s="959" t="s">
        <v>10</v>
      </c>
      <c r="E725" s="933">
        <v>46249</v>
      </c>
      <c r="F725" s="74">
        <f>$L$7-E725</f>
        <v>12</v>
      </c>
      <c r="G725" s="63">
        <v>8400</v>
      </c>
      <c r="H725" s="63"/>
      <c r="I725" s="63"/>
      <c r="J725" s="1378"/>
      <c r="K725" s="1408">
        <f>IFERROR(SUMIF(INTAKE!$A:$A,$T725,INTAKE!$P:$P),0)</f>
        <v>0</v>
      </c>
      <c r="L725" s="1703">
        <f t="shared" si="448"/>
        <v>8400</v>
      </c>
      <c r="M725" s="48"/>
      <c r="N725" s="163"/>
      <c r="O725" s="48"/>
      <c r="P725" s="738"/>
      <c r="Q725" s="795"/>
      <c r="R725" s="785">
        <f>IFERROR(VLOOKUP($Q725,'391'!$S:$Z,8,0),"")</f>
        <v>0</v>
      </c>
      <c r="S725" s="796"/>
      <c r="T725" s="797" t="str">
        <f>$Q$728&amp;C725&amp;E725</f>
        <v>UREAA22.346249</v>
      </c>
      <c r="U725" s="797"/>
      <c r="V725" s="797"/>
      <c r="W725" s="785">
        <f>IFERROR(VLOOKUP($Q725,'391'!$S:$AG,15,0),0)</f>
        <v>0</v>
      </c>
      <c r="X725" s="1090">
        <f t="shared" si="452"/>
        <v>8400</v>
      </c>
      <c r="Y725" s="785"/>
      <c r="Z725" s="785"/>
      <c r="AA725" s="797"/>
      <c r="AB725" s="797"/>
      <c r="AC725" s="683"/>
      <c r="AD725" s="683"/>
      <c r="AE725" s="683"/>
      <c r="AF725" s="683"/>
      <c r="AG725" s="683"/>
      <c r="AH725" s="683"/>
      <c r="AI725" s="705"/>
      <c r="AJ725" s="705"/>
      <c r="AK725" s="705"/>
      <c r="AL725" s="705"/>
      <c r="AM725" s="705"/>
      <c r="AN725" s="705"/>
      <c r="AO725" s="705"/>
      <c r="AP725" s="705"/>
      <c r="AQ725" s="705"/>
      <c r="AR725" s="705"/>
      <c r="AS725" s="705"/>
    </row>
    <row r="726" spans="1:45" s="13" customFormat="1" ht="30" hidden="1" customHeight="1" x14ac:dyDescent="0.25">
      <c r="A726" s="2025"/>
      <c r="B726" s="2100"/>
      <c r="C726" s="160"/>
      <c r="D726" s="959" t="s">
        <v>10</v>
      </c>
      <c r="E726" s="933">
        <v>46249</v>
      </c>
      <c r="F726" s="74">
        <f>$L$7-E726</f>
        <v>12</v>
      </c>
      <c r="G726" s="63">
        <v>0</v>
      </c>
      <c r="H726" s="63"/>
      <c r="I726" s="63"/>
      <c r="J726" s="1378"/>
      <c r="K726" s="1408">
        <f>IFERROR(SUMIF(INTAKE!$A:$A,$T726,INTAKE!$P:$P),0)</f>
        <v>0</v>
      </c>
      <c r="L726" s="1703">
        <f t="shared" si="448"/>
        <v>0</v>
      </c>
      <c r="M726" s="48"/>
      <c r="N726" s="163"/>
      <c r="O726" s="48"/>
      <c r="P726" s="738"/>
      <c r="Q726" s="795"/>
      <c r="R726" s="785">
        <f>IFERROR(VLOOKUP($Q726,'391'!$S:$Z,8,0),"")</f>
        <v>0</v>
      </c>
      <c r="S726" s="796"/>
      <c r="T726" s="797" t="str">
        <f>$Q$728&amp;C726&amp;E726</f>
        <v>UREA46249</v>
      </c>
      <c r="U726" s="797"/>
      <c r="V726" s="797"/>
      <c r="W726" s="785">
        <f>IFERROR(VLOOKUP($Q726,'391'!$S:$AG,15,0),0)</f>
        <v>0</v>
      </c>
      <c r="X726" s="1090">
        <f t="shared" si="452"/>
        <v>0</v>
      </c>
      <c r="Y726" s="785"/>
      <c r="Z726" s="785"/>
      <c r="AA726" s="797"/>
      <c r="AB726" s="797"/>
      <c r="AC726" s="683"/>
      <c r="AD726" s="683"/>
      <c r="AE726" s="683"/>
      <c r="AF726" s="683"/>
      <c r="AG726" s="683"/>
      <c r="AH726" s="683"/>
      <c r="AI726" s="705"/>
      <c r="AJ726" s="705"/>
      <c r="AK726" s="705"/>
      <c r="AL726" s="705"/>
      <c r="AM726" s="705"/>
      <c r="AN726" s="705"/>
      <c r="AO726" s="705"/>
      <c r="AP726" s="705"/>
      <c r="AQ726" s="705"/>
      <c r="AR726" s="705"/>
      <c r="AS726" s="705"/>
    </row>
    <row r="727" spans="1:45" s="405" customFormat="1" ht="30" customHeight="1" x14ac:dyDescent="0.25">
      <c r="A727" s="2026"/>
      <c r="B727" s="2101"/>
      <c r="C727" s="61" t="s">
        <v>1829</v>
      </c>
      <c r="D727" s="863" t="s">
        <v>10</v>
      </c>
      <c r="E727" s="934">
        <v>46249</v>
      </c>
      <c r="F727" s="39">
        <f>$L$7-E727</f>
        <v>12</v>
      </c>
      <c r="G727" s="37">
        <v>5597.46</v>
      </c>
      <c r="H727" s="37"/>
      <c r="I727" s="37">
        <f>+SUM(K723:K727)</f>
        <v>0</v>
      </c>
      <c r="J727" s="1385">
        <f>+usage!I121</f>
        <v>1796.4</v>
      </c>
      <c r="K727" s="63">
        <f>IFERROR(SUMIF(INTAKE!$A:$A,$T727,INTAKE!$P:$P),0)</f>
        <v>0</v>
      </c>
      <c r="L727" s="1534">
        <f t="shared" si="448"/>
        <v>3801.06</v>
      </c>
      <c r="M727" s="35"/>
      <c r="N727" s="87"/>
      <c r="O727" s="35"/>
      <c r="P727" s="740"/>
      <c r="Q727" s="795"/>
      <c r="R727" s="785">
        <f>IFERROR(VLOOKUP($Q727,'391'!$S:$Z,8,0),"")</f>
        <v>0</v>
      </c>
      <c r="S727" s="796"/>
      <c r="T727" s="797" t="str">
        <f>$Q$728&amp;C727&amp;E727</f>
        <v>UREAFeedmill, 15146249</v>
      </c>
      <c r="U727" s="797"/>
      <c r="V727" s="797"/>
      <c r="W727" s="785">
        <f>IFERROR(VLOOKUP($Q727,'391'!$S:$AG,15,0),0)</f>
        <v>0</v>
      </c>
      <c r="X727" s="1090">
        <f t="shared" si="452"/>
        <v>5597.46</v>
      </c>
      <c r="Y727" s="785"/>
      <c r="Z727" s="785"/>
      <c r="AA727" s="797"/>
      <c r="AB727" s="797"/>
      <c r="AC727" s="683"/>
      <c r="AD727" s="683"/>
      <c r="AE727" s="683"/>
      <c r="AF727" s="683"/>
      <c r="AG727" s="683"/>
      <c r="AH727" s="683"/>
      <c r="AI727" s="705"/>
      <c r="AJ727" s="705"/>
      <c r="AK727" s="705"/>
      <c r="AL727" s="705"/>
      <c r="AM727" s="705"/>
      <c r="AN727" s="705"/>
      <c r="AO727" s="705"/>
      <c r="AP727" s="705"/>
      <c r="AQ727" s="705"/>
      <c r="AR727" s="705"/>
      <c r="AS727" s="705"/>
    </row>
    <row r="728" spans="1:45" s="265" customFormat="1" ht="30" customHeight="1" x14ac:dyDescent="0.25">
      <c r="A728" s="2022" t="s">
        <v>135</v>
      </c>
      <c r="B728" s="2023"/>
      <c r="C728" s="88"/>
      <c r="D728" s="864"/>
      <c r="E728" s="864"/>
      <c r="F728" s="865"/>
      <c r="G728" s="1386">
        <v>13997.46</v>
      </c>
      <c r="H728" s="1386">
        <f t="shared" ref="H728:L728" si="454">SUM(H723:H727)</f>
        <v>0</v>
      </c>
      <c r="I728" s="1386">
        <f t="shared" si="454"/>
        <v>0</v>
      </c>
      <c r="J728" s="1386">
        <f>SUM(J723:J727)</f>
        <v>1796.4</v>
      </c>
      <c r="K728" s="1386">
        <f t="shared" si="454"/>
        <v>0</v>
      </c>
      <c r="L728" s="1386">
        <f t="shared" si="454"/>
        <v>12201.06</v>
      </c>
      <c r="M728" s="59">
        <f>IFERROR((R728/$S$2),"")</f>
        <v>1333.3366666666668</v>
      </c>
      <c r="N728" s="366">
        <f>+(L728/M728)</f>
        <v>9.1507721230696912</v>
      </c>
      <c r="O728" s="59">
        <f>IFERROR(SUMIF(ETM!$A:$A,$Q728,ETM!$E:$E),"")</f>
        <v>1442.5</v>
      </c>
      <c r="P728" s="880">
        <f>IFERROR(L728/O728,0)</f>
        <v>8.4582738301559797</v>
      </c>
      <c r="Q728" s="814" t="s">
        <v>657</v>
      </c>
      <c r="R728" s="785">
        <f>IFERROR(VLOOKUP($Q728,'391'!$S:$Z,8,0),"")</f>
        <v>8000.02</v>
      </c>
      <c r="S728" s="796"/>
      <c r="T728" s="797"/>
      <c r="U728" s="797"/>
      <c r="V728" s="797"/>
      <c r="W728" s="785">
        <f>IFERROR(VLOOKUP($Q728,'391'!$S:$AG,15,0),0)</f>
        <v>17888.66</v>
      </c>
      <c r="X728" s="1090">
        <f t="shared" si="452"/>
        <v>-3891.2000000000007</v>
      </c>
      <c r="Y728" s="785"/>
      <c r="Z728" s="785"/>
      <c r="AA728" s="797"/>
      <c r="AB728" s="797"/>
      <c r="AC728" s="551"/>
      <c r="AD728" s="551"/>
      <c r="AE728" s="551"/>
      <c r="AF728" s="551"/>
      <c r="AG728" s="551"/>
      <c r="AH728" s="551"/>
      <c r="AI728" s="704"/>
      <c r="AJ728" s="704"/>
      <c r="AK728" s="704"/>
      <c r="AL728" s="704"/>
      <c r="AM728" s="704"/>
      <c r="AN728" s="704"/>
      <c r="AO728" s="704"/>
      <c r="AP728" s="704"/>
      <c r="AQ728" s="704"/>
      <c r="AR728" s="704"/>
      <c r="AS728" s="704"/>
    </row>
    <row r="729" spans="1:45" s="400" customFormat="1" ht="30" hidden="1" customHeight="1" x14ac:dyDescent="0.25">
      <c r="A729" s="2024" t="str">
        <f>IF(L733=0,"",MAX($A$16:A728)+1)</f>
        <v/>
      </c>
      <c r="B729" s="2082" t="s">
        <v>533</v>
      </c>
      <c r="C729" s="114" t="s">
        <v>524</v>
      </c>
      <c r="D729" s="866" t="s">
        <v>10</v>
      </c>
      <c r="E729" s="935">
        <v>43892</v>
      </c>
      <c r="F729" s="75">
        <f>$L$7-E729</f>
        <v>2369</v>
      </c>
      <c r="G729" s="64">
        <v>0</v>
      </c>
      <c r="H729" s="64"/>
      <c r="I729" s="64"/>
      <c r="J729" s="1367"/>
      <c r="K729" s="64"/>
      <c r="L729" s="1534">
        <f t="shared" ref="L729:L758" si="455">+G729+H729+I729-J729-K729</f>
        <v>0</v>
      </c>
      <c r="M729" s="51"/>
      <c r="N729" s="920"/>
      <c r="O729" s="51"/>
      <c r="P729" s="737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2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400" customFormat="1" ht="30" hidden="1" customHeight="1" x14ac:dyDescent="0.25">
      <c r="A730" s="2025"/>
      <c r="B730" s="2068"/>
      <c r="C730" s="114" t="s">
        <v>247</v>
      </c>
      <c r="D730" s="866" t="s">
        <v>10</v>
      </c>
      <c r="E730" s="935">
        <v>43152</v>
      </c>
      <c r="F730" s="75">
        <f>$L$7-E730</f>
        <v>3109</v>
      </c>
      <c r="G730" s="64">
        <v>0</v>
      </c>
      <c r="H730" s="64"/>
      <c r="I730" s="64"/>
      <c r="J730" s="1367"/>
      <c r="K730" s="64"/>
      <c r="L730" s="1534">
        <f t="shared" si="455"/>
        <v>0</v>
      </c>
      <c r="M730" s="48"/>
      <c r="N730" s="163"/>
      <c r="O730" s="48"/>
      <c r="P730" s="738"/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2"/>
        <v>0</v>
      </c>
      <c r="Y730" s="785"/>
      <c r="Z730" s="785"/>
      <c r="AA730" s="797"/>
      <c r="AB730" s="797"/>
      <c r="AC730" s="681"/>
      <c r="AD730" s="681"/>
      <c r="AE730" s="681"/>
      <c r="AF730" s="681"/>
      <c r="AG730" s="681"/>
      <c r="AH730" s="681"/>
      <c r="AI730" s="703"/>
      <c r="AJ730" s="703"/>
      <c r="AK730" s="703"/>
      <c r="AL730" s="703"/>
      <c r="AM730" s="703"/>
      <c r="AN730" s="703"/>
      <c r="AO730" s="703"/>
      <c r="AP730" s="703"/>
      <c r="AQ730" s="703"/>
      <c r="AR730" s="703"/>
      <c r="AS730" s="703"/>
    </row>
    <row r="731" spans="1:45" s="400" customFormat="1" ht="30" hidden="1" customHeight="1" x14ac:dyDescent="0.25">
      <c r="A731" s="2025"/>
      <c r="B731" s="2068"/>
      <c r="C731" s="114" t="s">
        <v>247</v>
      </c>
      <c r="D731" s="866" t="s">
        <v>10</v>
      </c>
      <c r="E731" s="935">
        <v>43152</v>
      </c>
      <c r="F731" s="75">
        <f>$L$7-E731</f>
        <v>3109</v>
      </c>
      <c r="G731" s="64">
        <v>0</v>
      </c>
      <c r="H731" s="64"/>
      <c r="I731" s="64"/>
      <c r="J731" s="1367"/>
      <c r="K731" s="64"/>
      <c r="L731" s="1534">
        <f t="shared" si="455"/>
        <v>0</v>
      </c>
      <c r="M731" s="45"/>
      <c r="N731" s="162"/>
      <c r="O731" s="45"/>
      <c r="P731" s="736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2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1" customFormat="1" ht="30" hidden="1" customHeight="1" x14ac:dyDescent="0.25">
      <c r="A732" s="2025"/>
      <c r="B732" s="2047"/>
      <c r="C732" s="61" t="s">
        <v>46</v>
      </c>
      <c r="D732" s="863" t="s">
        <v>10</v>
      </c>
      <c r="E732" s="934">
        <v>43892</v>
      </c>
      <c r="F732" s="39">
        <f>$L$7-E732</f>
        <v>2369</v>
      </c>
      <c r="G732" s="37">
        <v>0</v>
      </c>
      <c r="H732" s="37"/>
      <c r="I732" s="37">
        <f>+K729</f>
        <v>0</v>
      </c>
      <c r="J732" s="1385">
        <f>+usage!I97</f>
        <v>0</v>
      </c>
      <c r="K732" s="37"/>
      <c r="L732" s="1534">
        <f t="shared" si="455"/>
        <v>0</v>
      </c>
      <c r="M732" s="35"/>
      <c r="N732" s="87"/>
      <c r="O732" s="35"/>
      <c r="P732" s="740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2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265" customFormat="1" ht="30" hidden="1" customHeight="1" x14ac:dyDescent="0.25">
      <c r="A733" s="2022" t="s">
        <v>542</v>
      </c>
      <c r="B733" s="2023"/>
      <c r="C733" s="2039"/>
      <c r="D733" s="2039"/>
      <c r="E733" s="2039"/>
      <c r="F733" s="2039"/>
      <c r="G733" s="1297">
        <v>0</v>
      </c>
      <c r="H733" s="1297">
        <f>+SUM(H729:H732)</f>
        <v>0</v>
      </c>
      <c r="I733" s="1297">
        <f t="shared" ref="I733:K733" si="456">+SUM(I729:I732)</f>
        <v>0</v>
      </c>
      <c r="J733" s="1297">
        <f t="shared" si="456"/>
        <v>0</v>
      </c>
      <c r="K733" s="1297">
        <f t="shared" si="456"/>
        <v>0</v>
      </c>
      <c r="L733" s="1534">
        <f t="shared" si="455"/>
        <v>0</v>
      </c>
      <c r="M733" s="59"/>
      <c r="N733" s="366">
        <f>IFERROR(L733/M733,0)</f>
        <v>0</v>
      </c>
      <c r="O733" s="59"/>
      <c r="P733" s="880">
        <f>IFERROR(L733/O733,0)</f>
        <v>0</v>
      </c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2"/>
        <v>0</v>
      </c>
      <c r="Y733" s="785"/>
      <c r="Z733" s="785"/>
      <c r="AA733" s="797"/>
      <c r="AB733" s="797"/>
      <c r="AC733" s="551"/>
      <c r="AD733" s="551"/>
      <c r="AE733" s="551"/>
      <c r="AF733" s="551"/>
      <c r="AG733" s="551"/>
      <c r="AH733" s="551"/>
      <c r="AI733" s="704"/>
      <c r="AJ733" s="704"/>
      <c r="AK733" s="704"/>
      <c r="AL733" s="704"/>
      <c r="AM733" s="704"/>
      <c r="AN733" s="704"/>
      <c r="AO733" s="704"/>
      <c r="AP733" s="704"/>
      <c r="AQ733" s="704"/>
      <c r="AR733" s="704"/>
      <c r="AS733" s="704"/>
    </row>
    <row r="734" spans="1:45" s="400" customFormat="1" ht="30" hidden="1" customHeight="1" x14ac:dyDescent="0.25">
      <c r="A734" s="2066" t="str">
        <f>IF(L738=0,"",MAX($A$16:A733)+1)</f>
        <v/>
      </c>
      <c r="B734" s="2082" t="s">
        <v>534</v>
      </c>
      <c r="C734" s="114" t="s">
        <v>524</v>
      </c>
      <c r="D734" s="866" t="s">
        <v>10</v>
      </c>
      <c r="E734" s="933">
        <v>43892</v>
      </c>
      <c r="F734" s="74">
        <f>$L$7-E734</f>
        <v>2369</v>
      </c>
      <c r="G734" s="63">
        <v>0</v>
      </c>
      <c r="H734" s="1299"/>
      <c r="I734" s="1299"/>
      <c r="J734" s="1387"/>
      <c r="K734" s="1299"/>
      <c r="L734" s="1534">
        <f t="shared" si="455"/>
        <v>0</v>
      </c>
      <c r="M734" s="51"/>
      <c r="N734" s="920"/>
      <c r="O734" s="51"/>
      <c r="P734" s="737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2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400" customFormat="1" ht="30" hidden="1" customHeight="1" x14ac:dyDescent="0.25">
      <c r="A735" s="2081"/>
      <c r="B735" s="2083"/>
      <c r="C735" s="114" t="s">
        <v>335</v>
      </c>
      <c r="D735" s="866" t="s">
        <v>10</v>
      </c>
      <c r="E735" s="933">
        <v>43141</v>
      </c>
      <c r="F735" s="74">
        <f>$L$7-E735</f>
        <v>3120</v>
      </c>
      <c r="G735" s="63">
        <v>0</v>
      </c>
      <c r="H735" s="64"/>
      <c r="I735" s="64"/>
      <c r="J735" s="1367"/>
      <c r="K735" s="64"/>
      <c r="L735" s="1534">
        <f t="shared" si="455"/>
        <v>0</v>
      </c>
      <c r="M735" s="48"/>
      <c r="N735" s="163"/>
      <c r="O735" s="48"/>
      <c r="P735" s="738"/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2"/>
        <v>0</v>
      </c>
      <c r="Y735" s="785"/>
      <c r="Z735" s="785"/>
      <c r="AA735" s="797"/>
      <c r="AB735" s="797"/>
      <c r="AC735" s="681"/>
      <c r="AD735" s="681"/>
      <c r="AE735" s="681"/>
      <c r="AF735" s="681"/>
      <c r="AG735" s="681"/>
      <c r="AH735" s="681"/>
      <c r="AI735" s="703"/>
      <c r="AJ735" s="703"/>
      <c r="AK735" s="703"/>
      <c r="AL735" s="703"/>
      <c r="AM735" s="703"/>
      <c r="AN735" s="703"/>
      <c r="AO735" s="703"/>
      <c r="AP735" s="703"/>
      <c r="AQ735" s="703"/>
      <c r="AR735" s="703"/>
      <c r="AS735" s="703"/>
    </row>
    <row r="736" spans="1:45" s="400" customFormat="1" ht="30" hidden="1" customHeight="1" x14ac:dyDescent="0.25">
      <c r="A736" s="2081"/>
      <c r="B736" s="2083"/>
      <c r="C736" s="114" t="s">
        <v>335</v>
      </c>
      <c r="D736" s="866" t="s">
        <v>10</v>
      </c>
      <c r="E736" s="933">
        <v>43141</v>
      </c>
      <c r="F736" s="74">
        <f>$L$7-E736</f>
        <v>3120</v>
      </c>
      <c r="G736" s="63">
        <v>0</v>
      </c>
      <c r="H736" s="64"/>
      <c r="I736" s="64"/>
      <c r="J736" s="1367"/>
      <c r="K736" s="64"/>
      <c r="L736" s="1534">
        <f t="shared" si="455"/>
        <v>0</v>
      </c>
      <c r="M736" s="45"/>
      <c r="N736" s="162"/>
      <c r="O736" s="45"/>
      <c r="P736" s="736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2"/>
        <v>0</v>
      </c>
      <c r="Y736" s="785"/>
      <c r="Z736" s="785"/>
      <c r="AA736" s="797"/>
      <c r="AB736" s="797"/>
      <c r="AC736" s="681"/>
      <c r="AD736" s="681"/>
      <c r="AE736" s="681"/>
      <c r="AF736" s="681"/>
      <c r="AG736" s="681"/>
      <c r="AH736" s="681"/>
      <c r="AI736" s="703"/>
      <c r="AJ736" s="703"/>
      <c r="AK736" s="703"/>
      <c r="AL736" s="703"/>
      <c r="AM736" s="703"/>
      <c r="AN736" s="703"/>
      <c r="AO736" s="703"/>
      <c r="AP736" s="703"/>
      <c r="AQ736" s="703"/>
      <c r="AR736" s="703"/>
      <c r="AS736" s="703"/>
    </row>
    <row r="737" spans="1:45" s="401" customFormat="1" ht="30" hidden="1" customHeight="1" x14ac:dyDescent="0.25">
      <c r="A737" s="2067"/>
      <c r="B737" s="2084"/>
      <c r="C737" s="61" t="s">
        <v>46</v>
      </c>
      <c r="D737" s="863" t="s">
        <v>10</v>
      </c>
      <c r="E737" s="934">
        <v>43892</v>
      </c>
      <c r="F737" s="39">
        <f>$L$7-E737</f>
        <v>2369</v>
      </c>
      <c r="G737" s="37">
        <v>0</v>
      </c>
      <c r="H737" s="37"/>
      <c r="I737" s="37">
        <f>+K734</f>
        <v>0</v>
      </c>
      <c r="J737" s="1385">
        <f>+usage!I98</f>
        <v>0</v>
      </c>
      <c r="K737" s="37"/>
      <c r="L737" s="1534">
        <f t="shared" si="455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2"/>
        <v>0</v>
      </c>
      <c r="Y737" s="785"/>
      <c r="Z737" s="785"/>
      <c r="AA737" s="797"/>
      <c r="AB737" s="797"/>
      <c r="AC737" s="681"/>
      <c r="AD737" s="681"/>
      <c r="AE737" s="681"/>
      <c r="AF737" s="681"/>
      <c r="AG737" s="681"/>
      <c r="AH737" s="681"/>
      <c r="AI737" s="703"/>
      <c r="AJ737" s="703"/>
      <c r="AK737" s="703"/>
      <c r="AL737" s="703"/>
      <c r="AM737" s="703"/>
      <c r="AN737" s="703"/>
      <c r="AO737" s="703"/>
      <c r="AP737" s="703"/>
      <c r="AQ737" s="703"/>
      <c r="AR737" s="703"/>
      <c r="AS737" s="703"/>
    </row>
    <row r="738" spans="1:45" s="265" customFormat="1" ht="30" hidden="1" customHeight="1" x14ac:dyDescent="0.25">
      <c r="A738" s="2022" t="s">
        <v>538</v>
      </c>
      <c r="B738" s="2023"/>
      <c r="C738" s="2039"/>
      <c r="D738" s="2039"/>
      <c r="E738" s="2039"/>
      <c r="F738" s="2039"/>
      <c r="G738" s="1297">
        <v>0</v>
      </c>
      <c r="H738" s="1344">
        <f>+SUM(H734:H737)</f>
        <v>0</v>
      </c>
      <c r="I738" s="1328">
        <f>+SUM(I734:I737)</f>
        <v>0</v>
      </c>
      <c r="J738" s="1328">
        <f t="shared" ref="J738:K738" si="457">+SUM(J734:J737)</f>
        <v>0</v>
      </c>
      <c r="K738" s="1328">
        <f t="shared" si="457"/>
        <v>0</v>
      </c>
      <c r="L738" s="1534">
        <f t="shared" si="455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2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66" t="str">
        <f>IF(L741=0,"",MAX($A$16:A738)+1)</f>
        <v/>
      </c>
      <c r="B739" s="2082" t="s">
        <v>535</v>
      </c>
      <c r="C739" s="105" t="s">
        <v>490</v>
      </c>
      <c r="D739" s="959" t="s">
        <v>10</v>
      </c>
      <c r="E739" s="961">
        <v>43888</v>
      </c>
      <c r="F739" s="74">
        <f>$L$7-E739</f>
        <v>2373</v>
      </c>
      <c r="G739" s="63">
        <v>0</v>
      </c>
      <c r="H739" s="1299"/>
      <c r="I739" s="1299"/>
      <c r="J739" s="1387"/>
      <c r="K739" s="1299"/>
      <c r="L739" s="1534">
        <f t="shared" si="455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2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67"/>
      <c r="B740" s="2084"/>
      <c r="C740" s="61" t="s">
        <v>46</v>
      </c>
      <c r="D740" s="863" t="s">
        <v>10</v>
      </c>
      <c r="E740" s="934">
        <v>43888</v>
      </c>
      <c r="F740" s="39">
        <f>$L$7-E740</f>
        <v>2373</v>
      </c>
      <c r="G740" s="37">
        <v>0</v>
      </c>
      <c r="H740" s="37"/>
      <c r="I740" s="37">
        <f>+K739</f>
        <v>0</v>
      </c>
      <c r="J740" s="1385">
        <f>+usage!I96</f>
        <v>0</v>
      </c>
      <c r="K740" s="37"/>
      <c r="L740" s="1534">
        <f t="shared" si="455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2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2" t="s">
        <v>531</v>
      </c>
      <c r="B741" s="2023"/>
      <c r="C741" s="2039"/>
      <c r="D741" s="2039"/>
      <c r="E741" s="2039"/>
      <c r="F741" s="2039"/>
      <c r="G741" s="1297">
        <v>0</v>
      </c>
      <c r="H741" s="1344">
        <f>+SUM(H739:H740)</f>
        <v>0</v>
      </c>
      <c r="I741" s="1344">
        <f t="shared" ref="I741:K741" si="458">+SUM(I739:I740)</f>
        <v>0</v>
      </c>
      <c r="J741" s="1344">
        <f t="shared" si="458"/>
        <v>0</v>
      </c>
      <c r="K741" s="1344">
        <f t="shared" si="458"/>
        <v>0</v>
      </c>
      <c r="L741" s="1534">
        <f t="shared" si="455"/>
        <v>0</v>
      </c>
      <c r="M741" s="59"/>
      <c r="N741" s="854">
        <f>IFERROR(L741/M741,0)</f>
        <v>0</v>
      </c>
      <c r="O741" s="59"/>
      <c r="P741" s="880">
        <f>IFERROR(L741/O741,0)</f>
        <v>0</v>
      </c>
      <c r="Q741" s="795"/>
      <c r="R741" s="785">
        <f>IFERROR(VLOOKUP($Q741,'391'!$S:$Z,8,0),"")</f>
        <v>0</v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2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265" customFormat="1" ht="30" hidden="1" customHeight="1" x14ac:dyDescent="0.25">
      <c r="A742" s="2066" t="str">
        <f>IF(L744=0,"",MAX($A$16:A741)+1)</f>
        <v/>
      </c>
      <c r="B742" s="2069" t="s">
        <v>550</v>
      </c>
      <c r="C742" s="105" t="s">
        <v>851</v>
      </c>
      <c r="D742" s="959" t="s">
        <v>10</v>
      </c>
      <c r="E742" s="961">
        <v>43986</v>
      </c>
      <c r="F742" s="74">
        <f>$L$7-E742</f>
        <v>2275</v>
      </c>
      <c r="G742" s="63">
        <v>0</v>
      </c>
      <c r="H742" s="1299"/>
      <c r="I742" s="1299"/>
      <c r="J742" s="1387"/>
      <c r="K742" s="1299"/>
      <c r="L742" s="1534">
        <f t="shared" si="455"/>
        <v>0</v>
      </c>
      <c r="M742" s="51"/>
      <c r="N742" s="920"/>
      <c r="O742" s="51"/>
      <c r="P742" s="737"/>
      <c r="Q742" s="795"/>
      <c r="R742" s="785">
        <f>IFERROR(VLOOKUP($Q742,'391'!$S:$Z,8,0),"")</f>
        <v>0</v>
      </c>
      <c r="S742" s="796"/>
      <c r="T742" s="797"/>
      <c r="U742" s="797"/>
      <c r="V742" s="797"/>
      <c r="W742" s="785">
        <f>IFERROR(VLOOKUP($Q742,'391'!$S:$AG,15,0),0)</f>
        <v>0</v>
      </c>
      <c r="X742" s="1090">
        <f t="shared" si="452"/>
        <v>0</v>
      </c>
      <c r="Y742" s="785"/>
      <c r="Z742" s="785"/>
      <c r="AA742" s="797"/>
      <c r="AB742" s="797"/>
      <c r="AC742" s="551"/>
      <c r="AD742" s="551"/>
      <c r="AE742" s="551"/>
      <c r="AF742" s="551"/>
      <c r="AG742" s="551"/>
      <c r="AH742" s="551"/>
      <c r="AI742" s="704"/>
      <c r="AJ742" s="704"/>
      <c r="AK742" s="704"/>
      <c r="AL742" s="704"/>
      <c r="AM742" s="704"/>
      <c r="AN742" s="704"/>
      <c r="AO742" s="704"/>
      <c r="AP742" s="704"/>
      <c r="AQ742" s="704"/>
      <c r="AR742" s="704"/>
      <c r="AS742" s="704"/>
    </row>
    <row r="743" spans="1:45" s="265" customFormat="1" ht="30" hidden="1" customHeight="1" x14ac:dyDescent="0.25">
      <c r="A743" s="2067"/>
      <c r="B743" s="2071"/>
      <c r="C743" s="61" t="s">
        <v>46</v>
      </c>
      <c r="D743" s="863" t="s">
        <v>10</v>
      </c>
      <c r="E743" s="934">
        <v>43986</v>
      </c>
      <c r="F743" s="39">
        <f>$L$7-E743</f>
        <v>2275</v>
      </c>
      <c r="G743" s="37">
        <v>0</v>
      </c>
      <c r="H743" s="37"/>
      <c r="I743" s="37">
        <f>+K742</f>
        <v>0</v>
      </c>
      <c r="J743" s="1385">
        <f>usage!I155</f>
        <v>0</v>
      </c>
      <c r="K743" s="37"/>
      <c r="L743" s="1534">
        <f t="shared" si="455"/>
        <v>0</v>
      </c>
      <c r="M743" s="35"/>
      <c r="N743" s="87"/>
      <c r="O743" s="35"/>
      <c r="P743" s="740"/>
      <c r="Q743" s="795"/>
      <c r="R743" s="785">
        <f>IFERROR(VLOOKUP($Q743,'391'!$S:$Z,8,0),"")</f>
        <v>0</v>
      </c>
      <c r="S743" s="796"/>
      <c r="T743" s="797"/>
      <c r="U743" s="797"/>
      <c r="V743" s="797"/>
      <c r="W743" s="785">
        <f>IFERROR(VLOOKUP($Q743,'391'!$S:$AG,15,0),0)</f>
        <v>0</v>
      </c>
      <c r="X743" s="1090">
        <f t="shared" si="452"/>
        <v>0</v>
      </c>
      <c r="Y743" s="785"/>
      <c r="Z743" s="785"/>
      <c r="AA743" s="797"/>
      <c r="AB743" s="797"/>
      <c r="AC743" s="551"/>
      <c r="AD743" s="551"/>
      <c r="AE743" s="551"/>
      <c r="AF743" s="551"/>
      <c r="AG743" s="551"/>
      <c r="AH743" s="551"/>
      <c r="AI743" s="704"/>
      <c r="AJ743" s="704"/>
      <c r="AK743" s="704"/>
      <c r="AL743" s="704"/>
      <c r="AM743" s="704"/>
      <c r="AN743" s="704"/>
      <c r="AO743" s="704"/>
      <c r="AP743" s="704"/>
      <c r="AQ743" s="704"/>
      <c r="AR743" s="704"/>
      <c r="AS743" s="704"/>
    </row>
    <row r="744" spans="1:45" s="265" customFormat="1" ht="30" hidden="1" customHeight="1" x14ac:dyDescent="0.25">
      <c r="A744" s="2022" t="s">
        <v>551</v>
      </c>
      <c r="B744" s="2023"/>
      <c r="C744" s="2039"/>
      <c r="D744" s="2039"/>
      <c r="E744" s="2039"/>
      <c r="F744" s="2039"/>
      <c r="G744" s="1297">
        <v>0</v>
      </c>
      <c r="H744" s="1344">
        <f>+SUM(H742:H743)</f>
        <v>0</v>
      </c>
      <c r="I744" s="1344">
        <f t="shared" ref="I744:K744" si="459">+SUM(I742:I743)</f>
        <v>0</v>
      </c>
      <c r="J744" s="1344">
        <f t="shared" si="459"/>
        <v>0</v>
      </c>
      <c r="K744" s="1344">
        <f t="shared" si="459"/>
        <v>0</v>
      </c>
      <c r="L744" s="1534">
        <f t="shared" si="455"/>
        <v>0</v>
      </c>
      <c r="M744" s="59" t="str">
        <f>IFERROR((R744/$S$2),"")</f>
        <v/>
      </c>
      <c r="N744" s="854">
        <f>IFERROR(L744/M744,0)</f>
        <v>0</v>
      </c>
      <c r="O744" s="59">
        <f>IFERROR(SUMIF(ETM!$A:$A,$Q744,ETM!$E:$E),"")</f>
        <v>0</v>
      </c>
      <c r="P744" s="880">
        <f>IFERROR(L744/O744,0)</f>
        <v>0</v>
      </c>
      <c r="Q744" s="814" t="s">
        <v>550</v>
      </c>
      <c r="R744" s="785" t="str">
        <f>IFERROR(VLOOKUP($Q744,'391'!$S:$Z,8,0),"")</f>
        <v/>
      </c>
      <c r="S744" s="796"/>
      <c r="T744" s="797"/>
      <c r="U744" s="797"/>
      <c r="V744" s="797"/>
      <c r="W744" s="785">
        <f>IFERROR(VLOOKUP($Q744,'391'!$S:$AG,15,0),0)</f>
        <v>0</v>
      </c>
      <c r="X744" s="1090">
        <f t="shared" si="452"/>
        <v>0</v>
      </c>
      <c r="Y744" s="785"/>
      <c r="Z744" s="785"/>
      <c r="AA744" s="797"/>
      <c r="AB744" s="797"/>
      <c r="AC744" s="551"/>
      <c r="AD744" s="551"/>
      <c r="AE744" s="551"/>
      <c r="AF744" s="551"/>
      <c r="AG744" s="551"/>
      <c r="AH744" s="551"/>
      <c r="AI744" s="704"/>
      <c r="AJ744" s="704"/>
      <c r="AK744" s="704"/>
      <c r="AL744" s="704"/>
      <c r="AM744" s="704"/>
      <c r="AN744" s="704"/>
      <c r="AO744" s="704"/>
      <c r="AP744" s="704"/>
      <c r="AQ744" s="704"/>
      <c r="AR744" s="704"/>
      <c r="AS744" s="704"/>
    </row>
    <row r="745" spans="1:45" s="6" customFormat="1" ht="30" hidden="1" customHeight="1" x14ac:dyDescent="0.25">
      <c r="A745" s="2076" t="str">
        <f>IF(L750=0,"",MAX($A$16:A744)+1)</f>
        <v/>
      </c>
      <c r="B745" s="2069" t="s">
        <v>94</v>
      </c>
      <c r="C745" s="122" t="s">
        <v>261</v>
      </c>
      <c r="D745" s="881" t="s">
        <v>10</v>
      </c>
      <c r="E745" s="962">
        <v>45923</v>
      </c>
      <c r="F745" s="75">
        <f t="shared" ref="F745:F749" si="460">$L$7-E745</f>
        <v>338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703">
        <f t="shared" si="455"/>
        <v>0</v>
      </c>
      <c r="M745" s="66"/>
      <c r="N745" s="920"/>
      <c r="O745" s="66"/>
      <c r="P745" s="744"/>
      <c r="Q745" s="795"/>
      <c r="R745" s="785">
        <f>IFERROR(VLOOKUP($Q745,'391'!$S:$Z,8,0),"")</f>
        <v>0</v>
      </c>
      <c r="S745" s="786"/>
      <c r="T745" s="787" t="str">
        <f>$Q$750&amp;C745&amp;E745</f>
        <v>Choline Chloride 60%A18.245923</v>
      </c>
      <c r="U745" s="787"/>
      <c r="V745" s="787"/>
      <c r="W745" s="785">
        <f>IFERROR(VLOOKUP($Q745,'391'!$S:$AG,15,0),0)</f>
        <v>0</v>
      </c>
      <c r="X745" s="1090">
        <f t="shared" si="452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s="6" customFormat="1" ht="33.75" hidden="1" customHeight="1" x14ac:dyDescent="0.25">
      <c r="A746" s="2073"/>
      <c r="B746" s="2097"/>
      <c r="C746" s="122"/>
      <c r="D746" s="881" t="s">
        <v>10</v>
      </c>
      <c r="E746" s="962">
        <v>44062</v>
      </c>
      <c r="F746" s="75">
        <f t="shared" si="460"/>
        <v>2199</v>
      </c>
      <c r="G746" s="12">
        <v>0</v>
      </c>
      <c r="H746" s="12"/>
      <c r="I746" s="12"/>
      <c r="J746" s="1368"/>
      <c r="K746" s="63">
        <f>IFERROR(SUMIF(INTAKE!$A:$A,$T746,INTAKE!$P:$P),0)</f>
        <v>0</v>
      </c>
      <c r="L746" s="1534">
        <f t="shared" si="455"/>
        <v>0</v>
      </c>
      <c r="M746" s="101"/>
      <c r="N746" s="249"/>
      <c r="O746" s="101"/>
      <c r="P746" s="738"/>
      <c r="Q746" s="795"/>
      <c r="R746" s="785">
        <f>IFERROR(VLOOKUP($Q746,'391'!$S:$Z,8,0),"")</f>
        <v>0</v>
      </c>
      <c r="S746" s="786"/>
      <c r="T746" s="787" t="str">
        <f>$Q$750&amp;C746&amp;E746</f>
        <v>Choline Chloride 60%44062</v>
      </c>
      <c r="U746" s="787"/>
      <c r="V746" s="787"/>
      <c r="W746" s="785">
        <f>IFERROR(VLOOKUP($Q746,'391'!$S:$AG,15,0),0)</f>
        <v>0</v>
      </c>
      <c r="X746" s="1090">
        <f t="shared" si="452"/>
        <v>0</v>
      </c>
      <c r="Y746" s="785"/>
      <c r="Z746" s="785"/>
      <c r="AA746" s="787"/>
      <c r="AB746" s="787"/>
      <c r="AC746" s="679"/>
      <c r="AD746" s="679"/>
      <c r="AE746" s="679"/>
      <c r="AF746" s="679"/>
      <c r="AG746" s="679"/>
      <c r="AH746" s="679"/>
      <c r="AI746" s="682"/>
      <c r="AJ746" s="682"/>
      <c r="AK746" s="682"/>
      <c r="AL746" s="682"/>
      <c r="AM746" s="682"/>
      <c r="AN746" s="682"/>
      <c r="AO746" s="682"/>
      <c r="AP746" s="682"/>
      <c r="AQ746" s="682"/>
      <c r="AR746" s="682"/>
      <c r="AS746" s="682"/>
    </row>
    <row r="747" spans="1:45" s="6" customFormat="1" ht="30" hidden="1" customHeight="1" x14ac:dyDescent="0.25">
      <c r="A747" s="2073"/>
      <c r="B747" s="2097"/>
      <c r="C747" s="122"/>
      <c r="D747" s="881" t="s">
        <v>10</v>
      </c>
      <c r="E747" s="962">
        <v>44062</v>
      </c>
      <c r="F747" s="75">
        <f t="shared" si="460"/>
        <v>2199</v>
      </c>
      <c r="G747" s="12">
        <v>0</v>
      </c>
      <c r="H747" s="12"/>
      <c r="I747" s="12"/>
      <c r="J747" s="1368"/>
      <c r="K747" s="63">
        <f>IFERROR(SUMIF(INTAKE!$A:$A,$T747,INTAKE!$P:$P),0)</f>
        <v>0</v>
      </c>
      <c r="L747" s="1534">
        <f t="shared" si="455"/>
        <v>0</v>
      </c>
      <c r="M747" s="23"/>
      <c r="N747" s="23"/>
      <c r="O747" s="23"/>
      <c r="P747" s="736"/>
      <c r="Q747" s="795"/>
      <c r="R747" s="785">
        <f>IFERROR(VLOOKUP($Q747,'391'!$S:$Z,8,0),"")</f>
        <v>0</v>
      </c>
      <c r="S747" s="786"/>
      <c r="T747" s="787" t="str">
        <f>$Q$750&amp;C747&amp;E747</f>
        <v>Choline Chloride 60%44062</v>
      </c>
      <c r="U747" s="787"/>
      <c r="V747" s="787"/>
      <c r="W747" s="785">
        <f>IFERROR(VLOOKUP($Q747,'391'!$S:$AG,15,0),0)</f>
        <v>0</v>
      </c>
      <c r="X747" s="1090">
        <f t="shared" si="452"/>
        <v>0</v>
      </c>
      <c r="Y747" s="785"/>
      <c r="Z747" s="785"/>
      <c r="AA747" s="787"/>
      <c r="AB747" s="787"/>
      <c r="AC747" s="679"/>
      <c r="AD747" s="679"/>
      <c r="AE747" s="679"/>
      <c r="AF747" s="679"/>
      <c r="AG747" s="679"/>
      <c r="AH747" s="679"/>
      <c r="AI747" s="682"/>
      <c r="AJ747" s="682"/>
      <c r="AK747" s="682"/>
      <c r="AL747" s="682"/>
      <c r="AM747" s="682"/>
      <c r="AN747" s="682"/>
      <c r="AO747" s="682"/>
      <c r="AP747" s="682"/>
      <c r="AQ747" s="682"/>
      <c r="AR747" s="682"/>
      <c r="AS747" s="682"/>
    </row>
    <row r="748" spans="1:45" s="6" customFormat="1" ht="30" hidden="1" customHeight="1" x14ac:dyDescent="0.25">
      <c r="A748" s="2073"/>
      <c r="B748" s="2097"/>
      <c r="C748" s="122"/>
      <c r="D748" s="881" t="s">
        <v>10</v>
      </c>
      <c r="E748" s="962">
        <v>44631</v>
      </c>
      <c r="F748" s="75">
        <f t="shared" si="460"/>
        <v>1630</v>
      </c>
      <c r="G748" s="12">
        <v>0</v>
      </c>
      <c r="H748" s="12"/>
      <c r="I748" s="12"/>
      <c r="J748" s="1368"/>
      <c r="K748" s="63">
        <f>IFERROR(SUMIF(INTAKE!$A:$A,$T748,INTAKE!$P:$P),0)</f>
        <v>0</v>
      </c>
      <c r="L748" s="1534">
        <f t="shared" si="455"/>
        <v>0</v>
      </c>
      <c r="M748" s="23"/>
      <c r="N748" s="23"/>
      <c r="O748" s="23"/>
      <c r="P748" s="736"/>
      <c r="Q748" s="795"/>
      <c r="R748" s="785">
        <f>IFERROR(VLOOKUP($Q748,'391'!$S:$Z,8,0),"")</f>
        <v>0</v>
      </c>
      <c r="S748" s="786"/>
      <c r="T748" s="787" t="str">
        <f>$Q$750&amp;C748&amp;E748</f>
        <v>Choline Chloride 60%44631</v>
      </c>
      <c r="U748" s="787"/>
      <c r="V748" s="787"/>
      <c r="W748" s="785">
        <f>IFERROR(VLOOKUP($Q748,'391'!$S:$AG,15,0),0)</f>
        <v>0</v>
      </c>
      <c r="X748" s="1090">
        <f t="shared" si="452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ht="30" hidden="1" customHeight="1" x14ac:dyDescent="0.25">
      <c r="A749" s="2073"/>
      <c r="B749" s="2098"/>
      <c r="C749" s="119" t="s">
        <v>46</v>
      </c>
      <c r="D749" s="863" t="s">
        <v>10</v>
      </c>
      <c r="E749" s="934">
        <v>45923</v>
      </c>
      <c r="F749" s="39">
        <f t="shared" si="460"/>
        <v>338</v>
      </c>
      <c r="G749" s="37">
        <v>0</v>
      </c>
      <c r="H749" s="37"/>
      <c r="I749" s="37">
        <f>+SUM(K745:K748)</f>
        <v>0</v>
      </c>
      <c r="J749" s="1385">
        <f>usage!I81</f>
        <v>0</v>
      </c>
      <c r="K749" s="63">
        <f>IFERROR(SUMIF(INTAKE!$A:$A,$T749,INTAKE!$P:$P),0)</f>
        <v>0</v>
      </c>
      <c r="L749" s="1534">
        <f t="shared" si="455"/>
        <v>0</v>
      </c>
      <c r="M749" s="25"/>
      <c r="N749" s="47"/>
      <c r="O749" s="47"/>
      <c r="P749" s="740"/>
      <c r="Q749" s="795"/>
      <c r="R749" s="785">
        <f>IFERROR(VLOOKUP($Q749,'391'!$S:$Z,8,0),"")</f>
        <v>0</v>
      </c>
      <c r="T749" s="787" t="str">
        <f>$Q$750&amp;C749&amp;E749</f>
        <v>Choline Chloride 60%Feedmill45923</v>
      </c>
      <c r="U749" s="787"/>
      <c r="V749" s="787"/>
      <c r="W749" s="785">
        <f>IFERROR(VLOOKUP($Q749,'391'!$S:$AG,15,0),0)</f>
        <v>0</v>
      </c>
      <c r="X749" s="1090">
        <f t="shared" ref="X749:X758" si="461">G749-W749</f>
        <v>0</v>
      </c>
      <c r="Y749" s="785"/>
      <c r="Z749" s="785"/>
      <c r="AA749" s="787"/>
      <c r="AB749" s="787"/>
      <c r="AC749" s="679"/>
    </row>
    <row r="750" spans="1:45" s="265" customFormat="1" ht="30" hidden="1" customHeight="1" x14ac:dyDescent="0.25">
      <c r="A750" s="2022" t="s">
        <v>292</v>
      </c>
      <c r="B750" s="2023"/>
      <c r="C750" s="929"/>
      <c r="D750" s="864"/>
      <c r="E750" s="864"/>
      <c r="F750" s="865"/>
      <c r="G750" s="1297">
        <v>0</v>
      </c>
      <c r="H750" s="1297">
        <f>+SUM(H745:H749)</f>
        <v>0</v>
      </c>
      <c r="I750" s="1297">
        <f>+SUM(I745:I749)</f>
        <v>0</v>
      </c>
      <c r="J750" s="1297">
        <f>+SUM(J745:J749)</f>
        <v>0</v>
      </c>
      <c r="K750" s="1297">
        <f>+SUM(K745:K749)</f>
        <v>0</v>
      </c>
      <c r="L750" s="1297">
        <f>+SUM(L745:L749)</f>
        <v>0</v>
      </c>
      <c r="M750" s="59" t="str">
        <f>IFERROR((R750/$S$2),"")</f>
        <v/>
      </c>
      <c r="N750" s="854">
        <f>IFERROR(L750/M750,0)</f>
        <v>0</v>
      </c>
      <c r="O750" s="59">
        <f>IFERROR(SUMIF(ETM!$A:$A,$Q750,ETM!$E:$E),"")</f>
        <v>0</v>
      </c>
      <c r="P750" s="880">
        <f>IFERROR(L750/O750,0)</f>
        <v>0</v>
      </c>
      <c r="Q750" s="814" t="s">
        <v>658</v>
      </c>
      <c r="R750" s="785" t="str">
        <f>IFERROR(VLOOKUP($Q750,'391'!$S:$Z,8,0),"")</f>
        <v/>
      </c>
      <c r="S750" s="796"/>
      <c r="T750" s="797"/>
      <c r="U750" s="797"/>
      <c r="V750" s="797"/>
      <c r="W750" s="785">
        <f>IFERROR(VLOOKUP($Q750,'391'!$S:$AG,15,0),0)</f>
        <v>0</v>
      </c>
      <c r="X750" s="1090">
        <f t="shared" si="461"/>
        <v>0</v>
      </c>
      <c r="Y750" s="785"/>
      <c r="Z750" s="785"/>
      <c r="AA750" s="797"/>
      <c r="AB750" s="797"/>
      <c r="AC750" s="551"/>
      <c r="AD750" s="551"/>
      <c r="AE750" s="551"/>
      <c r="AF750" s="551"/>
      <c r="AG750" s="551"/>
      <c r="AH750" s="551"/>
      <c r="AI750" s="704"/>
      <c r="AJ750" s="704"/>
      <c r="AK750" s="704"/>
      <c r="AL750" s="704"/>
      <c r="AM750" s="704"/>
      <c r="AN750" s="704"/>
      <c r="AO750" s="704"/>
      <c r="AP750" s="704"/>
      <c r="AQ750" s="704"/>
      <c r="AR750" s="704"/>
      <c r="AS750" s="704"/>
    </row>
    <row r="751" spans="1:45" s="6" customFormat="1" ht="30" hidden="1" customHeight="1" x14ac:dyDescent="0.25">
      <c r="A751" s="2073">
        <f>IF(L759=0,"",MAX($A$16:A750)+1)</f>
        <v>43</v>
      </c>
      <c r="B751" s="2046" t="s">
        <v>2179</v>
      </c>
      <c r="C751" s="122"/>
      <c r="D751" s="887" t="s">
        <v>10</v>
      </c>
      <c r="E751" s="962">
        <v>43865</v>
      </c>
      <c r="F751" s="74">
        <f t="shared" ref="F751:F754" si="462">$L$7-E751</f>
        <v>2396</v>
      </c>
      <c r="G751" s="12">
        <v>0</v>
      </c>
      <c r="H751" s="12"/>
      <c r="I751" s="12"/>
      <c r="J751" s="1388"/>
      <c r="K751" s="12">
        <f>IFERROR(SUMIF(INTAKE!$A:$A,$T751,INTAKE!$P:$P),0)</f>
        <v>0</v>
      </c>
      <c r="L751" s="1534">
        <f t="shared" si="455"/>
        <v>0</v>
      </c>
      <c r="M751" s="147"/>
      <c r="N751" s="248"/>
      <c r="O751" s="147">
        <v>0</v>
      </c>
      <c r="P751" s="734">
        <v>0</v>
      </c>
      <c r="Q751" s="795"/>
      <c r="R751" s="785">
        <f>IFERROR(VLOOKUP($Q751,'391'!$S:$Z,8,0),"")</f>
        <v>0</v>
      </c>
      <c r="S751" s="786"/>
      <c r="T751" s="787"/>
      <c r="U751" s="787"/>
      <c r="V751" s="787"/>
      <c r="W751" s="785">
        <f>IFERROR(VLOOKUP($Q751,'391'!$S:$AG,15,0),0)</f>
        <v>0</v>
      </c>
      <c r="X751" s="1090">
        <f t="shared" si="461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3"/>
      <c r="B752" s="2068"/>
      <c r="C752" s="122"/>
      <c r="D752" s="887" t="s">
        <v>10</v>
      </c>
      <c r="E752" s="962">
        <v>44723</v>
      </c>
      <c r="F752" s="74">
        <f t="shared" si="462"/>
        <v>1538</v>
      </c>
      <c r="G752" s="12">
        <v>0</v>
      </c>
      <c r="H752" s="12"/>
      <c r="I752" s="12"/>
      <c r="J752" s="12"/>
      <c r="K752" s="1379">
        <f>IFERROR(SUMIF(INTAKE!$A:$A,$T752,INTAKE!$P:$P),0)</f>
        <v>0</v>
      </c>
      <c r="L752" s="1534">
        <f t="shared" si="455"/>
        <v>0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ref="T752:T758" si="463">$Q$759&amp;C752&amp;E752</f>
        <v>Choline Chloride (BELGIUM)44723</v>
      </c>
      <c r="U752" s="787"/>
      <c r="V752" s="787"/>
      <c r="W752" s="785">
        <f>IFERROR(VLOOKUP($Q752,'391'!$S:$AG,15,0),0)</f>
        <v>0</v>
      </c>
      <c r="X752" s="1090">
        <f t="shared" si="461"/>
        <v>0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hidden="1" customHeight="1" x14ac:dyDescent="0.25">
      <c r="A753" s="2073"/>
      <c r="B753" s="2068"/>
      <c r="C753" s="122"/>
      <c r="D753" s="887" t="s">
        <v>10</v>
      </c>
      <c r="E753" s="962">
        <v>44755</v>
      </c>
      <c r="F753" s="74">
        <f t="shared" si="462"/>
        <v>1506</v>
      </c>
      <c r="G753" s="12">
        <v>0</v>
      </c>
      <c r="H753" s="12"/>
      <c r="I753" s="12"/>
      <c r="J753" s="1379"/>
      <c r="K753" s="1379">
        <f>IFERROR(SUMIF(INTAKE!$A:$A,$T753,INTAKE!$P:$P),0)</f>
        <v>0</v>
      </c>
      <c r="L753" s="1534">
        <f t="shared" si="455"/>
        <v>0</v>
      </c>
      <c r="M753" s="101"/>
      <c r="N753" s="249"/>
      <c r="O753" s="101"/>
      <c r="P753" s="738"/>
      <c r="Q753" s="795"/>
      <c r="R753" s="785">
        <f>IFERROR(VLOOKUP($Q753,'391'!$S:$Z,8,0),"")</f>
        <v>0</v>
      </c>
      <c r="S753" s="786"/>
      <c r="T753" s="787" t="str">
        <f t="shared" si="463"/>
        <v>Choline Chloride (BELGIUM)44755</v>
      </c>
      <c r="U753" s="787"/>
      <c r="V753" s="787"/>
      <c r="W753" s="785">
        <f>IFERROR(VLOOKUP($Q753,'391'!$S:$AG,15,0),0)</f>
        <v>0</v>
      </c>
      <c r="X753" s="1090">
        <f t="shared" si="461"/>
        <v>0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hidden="1" customHeight="1" x14ac:dyDescent="0.25">
      <c r="A754" s="2073"/>
      <c r="B754" s="2068"/>
      <c r="C754" s="122"/>
      <c r="D754" s="887" t="s">
        <v>10</v>
      </c>
      <c r="E754" s="962">
        <v>45576</v>
      </c>
      <c r="F754" s="74">
        <f t="shared" si="462"/>
        <v>685</v>
      </c>
      <c r="G754" s="12">
        <v>0</v>
      </c>
      <c r="H754" s="12"/>
      <c r="I754" s="12"/>
      <c r="J754" s="1368"/>
      <c r="K754" s="12">
        <f>IFERROR(SUMIF(INTAKE!$A:$A,$T754,INTAKE!$P:$P),0)</f>
        <v>0</v>
      </c>
      <c r="L754" s="1703">
        <f t="shared" si="455"/>
        <v>0</v>
      </c>
      <c r="M754" s="101"/>
      <c r="N754" s="249"/>
      <c r="O754" s="101"/>
      <c r="P754" s="738"/>
      <c r="Q754" s="795"/>
      <c r="R754" s="785">
        <f>IFERROR(VLOOKUP($Q754,'391'!$S:$Z,8,0),"")</f>
        <v>0</v>
      </c>
      <c r="S754" s="786"/>
      <c r="T754" s="787" t="str">
        <f t="shared" si="463"/>
        <v>Choline Chloride (BELGIUM)45576</v>
      </c>
      <c r="U754" s="787"/>
      <c r="V754" s="787"/>
      <c r="W754" s="785">
        <f>IFERROR(VLOOKUP($Q754,'391'!$S:$AG,15,0),0)</f>
        <v>0</v>
      </c>
      <c r="X754" s="1090">
        <f t="shared" si="461"/>
        <v>0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s="6" customFormat="1" ht="30" hidden="1" customHeight="1" x14ac:dyDescent="0.25">
      <c r="A755" s="2073"/>
      <c r="B755" s="2068"/>
      <c r="C755" s="1215"/>
      <c r="D755" s="852" t="s">
        <v>10</v>
      </c>
      <c r="E755" s="968">
        <v>45668</v>
      </c>
      <c r="F755" s="1216">
        <f>$L$7-E755</f>
        <v>593</v>
      </c>
      <c r="G755" s="1217">
        <v>1.7053025658242404E-13</v>
      </c>
      <c r="H755" s="1217"/>
      <c r="I755" s="12"/>
      <c r="J755" s="1217"/>
      <c r="K755" s="1379"/>
      <c r="L755" s="1534">
        <f t="shared" si="455"/>
        <v>1.7053025658242404E-13</v>
      </c>
      <c r="M755" s="101"/>
      <c r="N755" s="249"/>
      <c r="O755" s="101"/>
      <c r="P755" s="738"/>
      <c r="Q755" s="795"/>
      <c r="R755" s="785">
        <f>IFERROR(VLOOKUP($Q755,'391'!$S:$Z,8,0),"")</f>
        <v>0</v>
      </c>
      <c r="S755" s="786"/>
      <c r="T755" s="787" t="str">
        <f t="shared" si="463"/>
        <v>Choline Chloride (BELGIUM)45668</v>
      </c>
      <c r="U755" s="787"/>
      <c r="V755" s="787"/>
      <c r="W755" s="785">
        <f>IFERROR(VLOOKUP($Q755,'391'!$S:$AG,15,0),0)</f>
        <v>0</v>
      </c>
      <c r="X755" s="1090">
        <f t="shared" si="461"/>
        <v>1.7053025658242404E-13</v>
      </c>
      <c r="Y755" s="785"/>
      <c r="Z755" s="785"/>
      <c r="AA755" s="787"/>
      <c r="AB755" s="787"/>
      <c r="AC755" s="679"/>
      <c r="AD755" s="679"/>
      <c r="AE755" s="679"/>
      <c r="AF755" s="679"/>
      <c r="AG755" s="679"/>
      <c r="AH755" s="679"/>
      <c r="AI755" s="682"/>
      <c r="AJ755" s="682"/>
      <c r="AK755" s="682"/>
      <c r="AL755" s="682"/>
      <c r="AM755" s="682"/>
      <c r="AN755" s="682"/>
      <c r="AO755" s="682"/>
      <c r="AP755" s="682"/>
      <c r="AQ755" s="682"/>
      <c r="AR755" s="682"/>
      <c r="AS755" s="682"/>
    </row>
    <row r="756" spans="1:45" s="6" customFormat="1" ht="30" customHeight="1" x14ac:dyDescent="0.25">
      <c r="A756" s="2073"/>
      <c r="B756" s="2068"/>
      <c r="C756" s="1215" t="s">
        <v>129</v>
      </c>
      <c r="D756" s="852" t="s">
        <v>10</v>
      </c>
      <c r="E756" s="968">
        <v>46206</v>
      </c>
      <c r="F756" s="1216">
        <f>$L$7-E756</f>
        <v>55</v>
      </c>
      <c r="G756" s="1217">
        <v>25283.759999999998</v>
      </c>
      <c r="H756" s="1217"/>
      <c r="I756" s="1217"/>
      <c r="J756" s="1389">
        <f>usage!I82</f>
        <v>1228.07</v>
      </c>
      <c r="K756" s="1379"/>
      <c r="L756" s="1534">
        <f t="shared" si="455"/>
        <v>24055.69</v>
      </c>
      <c r="M756" s="23"/>
      <c r="N756" s="1460"/>
      <c r="O756" s="23"/>
      <c r="P756" s="736"/>
      <c r="Q756" s="795"/>
      <c r="R756" s="785">
        <f>IFERROR(VLOOKUP($Q756,'391'!$S:$Z,8,0),"")</f>
        <v>0</v>
      </c>
      <c r="S756" s="786"/>
      <c r="T756" s="787" t="str">
        <f t="shared" si="463"/>
        <v>Choline Chloride (BELGIUM)LA346206</v>
      </c>
      <c r="U756" s="787"/>
      <c r="V756" s="787"/>
      <c r="W756" s="785">
        <f>IFERROR(VLOOKUP($Q756,'391'!$S:$AG,15,0),0)</f>
        <v>0</v>
      </c>
      <c r="X756" s="1090">
        <f t="shared" si="461"/>
        <v>25283.759999999998</v>
      </c>
      <c r="Y756" s="785"/>
      <c r="Z756" s="785"/>
      <c r="AA756" s="787"/>
      <c r="AB756" s="787"/>
      <c r="AC756" s="679"/>
      <c r="AD756" s="679"/>
      <c r="AE756" s="679"/>
      <c r="AF756" s="679"/>
      <c r="AG756" s="679"/>
      <c r="AH756" s="679"/>
      <c r="AI756" s="682"/>
      <c r="AJ756" s="682"/>
      <c r="AK756" s="682"/>
      <c r="AL756" s="682"/>
      <c r="AM756" s="682"/>
      <c r="AN756" s="682"/>
      <c r="AO756" s="682"/>
      <c r="AP756" s="682"/>
      <c r="AQ756" s="682"/>
      <c r="AR756" s="682"/>
      <c r="AS756" s="682"/>
    </row>
    <row r="757" spans="1:45" s="6" customFormat="1" ht="30" customHeight="1" x14ac:dyDescent="0.25">
      <c r="A757" s="2073"/>
      <c r="B757" s="2068"/>
      <c r="C757" s="1215" t="s">
        <v>1171</v>
      </c>
      <c r="D757" s="910" t="s">
        <v>10</v>
      </c>
      <c r="E757" s="1260">
        <v>46248</v>
      </c>
      <c r="F757" s="292">
        <f>$L$7-E757</f>
        <v>13</v>
      </c>
      <c r="G757" s="1261">
        <v>21152.730000000003</v>
      </c>
      <c r="H757" s="1217"/>
      <c r="I757" s="1832"/>
      <c r="J757" s="1833"/>
      <c r="K757" s="12"/>
      <c r="L757" s="1534">
        <f t="shared" si="455"/>
        <v>21152.730000000003</v>
      </c>
      <c r="M757" s="23"/>
      <c r="N757" s="1460"/>
      <c r="O757" s="23"/>
      <c r="P757" s="736"/>
      <c r="Q757" s="795"/>
      <c r="R757" s="785">
        <f>IFERROR(VLOOKUP($Q757,'391'!$S:$Z,8,0),"")</f>
        <v>0</v>
      </c>
      <c r="S757" s="786"/>
      <c r="T757" s="787" t="str">
        <f t="shared" si="463"/>
        <v>Choline Chloride (BELGIUM)LA746248</v>
      </c>
      <c r="U757" s="787"/>
      <c r="V757" s="787"/>
      <c r="W757" s="785">
        <f>IFERROR(VLOOKUP($Q757,'391'!$S:$AG,15,0),0)</f>
        <v>0</v>
      </c>
      <c r="X757" s="1090">
        <f t="shared" si="461"/>
        <v>21152.730000000003</v>
      </c>
      <c r="Y757" s="785"/>
      <c r="Z757" s="785"/>
      <c r="AA757" s="787"/>
      <c r="AB757" s="787"/>
      <c r="AC757" s="679"/>
      <c r="AD757" s="679"/>
      <c r="AE757" s="679"/>
      <c r="AF757" s="679"/>
      <c r="AG757" s="679"/>
      <c r="AH757" s="679"/>
      <c r="AI757" s="682"/>
      <c r="AJ757" s="682"/>
      <c r="AK757" s="682"/>
      <c r="AL757" s="682"/>
      <c r="AM757" s="682"/>
      <c r="AN757" s="682"/>
      <c r="AO757" s="682"/>
      <c r="AP757" s="682"/>
      <c r="AQ757" s="682"/>
      <c r="AR757" s="682"/>
      <c r="AS757" s="682"/>
    </row>
    <row r="758" spans="1:45" ht="30" hidden="1" customHeight="1" x14ac:dyDescent="0.25">
      <c r="A758" s="2073"/>
      <c r="B758" s="2047"/>
      <c r="C758" s="1215" t="s">
        <v>129</v>
      </c>
      <c r="D758" s="884" t="s">
        <v>10</v>
      </c>
      <c r="E758" s="1213">
        <v>45726</v>
      </c>
      <c r="F758" s="293">
        <f>$L$7-E758</f>
        <v>535</v>
      </c>
      <c r="G758" s="1214">
        <v>0</v>
      </c>
      <c r="H758" s="1214"/>
      <c r="I758" s="1217"/>
      <c r="J758" s="1390"/>
      <c r="K758" s="1379"/>
      <c r="L758" s="1534">
        <f t="shared" si="455"/>
        <v>0</v>
      </c>
      <c r="M758" s="47"/>
      <c r="N758" s="920"/>
      <c r="O758" s="47"/>
      <c r="P758" s="740"/>
      <c r="Q758" s="666" t="s">
        <v>1246</v>
      </c>
      <c r="R758" s="785">
        <f>IFERROR(VLOOKUP($Q758,'391'!$S:$Z,8,0),"0")</f>
        <v>5798.43</v>
      </c>
      <c r="T758" s="787" t="str">
        <f t="shared" si="463"/>
        <v>Choline Chloride (BELGIUM)LA345726</v>
      </c>
      <c r="U758" s="787"/>
      <c r="V758" s="787"/>
      <c r="W758" s="785">
        <f>IFERROR(VLOOKUP($Q758,'391'!$S:$AG,15,0),0)</f>
        <v>49105.53</v>
      </c>
      <c r="X758" s="1090">
        <f t="shared" si="461"/>
        <v>-49105.53</v>
      </c>
      <c r="Y758" s="785"/>
      <c r="Z758" s="785"/>
      <c r="AA758" s="787"/>
      <c r="AB758" s="787"/>
      <c r="AC758" s="679"/>
    </row>
    <row r="759" spans="1:45" s="265" customFormat="1" ht="30" customHeight="1" x14ac:dyDescent="0.25">
      <c r="A759" s="2022" t="s">
        <v>1561</v>
      </c>
      <c r="B759" s="2023"/>
      <c r="C759" s="88"/>
      <c r="D759" s="864"/>
      <c r="E759" s="864"/>
      <c r="F759" s="865"/>
      <c r="G759" s="1337">
        <v>46436.490000000005</v>
      </c>
      <c r="H759" s="1337">
        <f>SUM(H751:H758)</f>
        <v>0</v>
      </c>
      <c r="I759" s="1337">
        <f t="shared" ref="I759:L759" si="464">SUM(I751:I758)</f>
        <v>0</v>
      </c>
      <c r="J759" s="1337">
        <f t="shared" si="464"/>
        <v>1228.07</v>
      </c>
      <c r="K759" s="1337">
        <f t="shared" si="464"/>
        <v>0</v>
      </c>
      <c r="L759" s="1337">
        <f t="shared" si="464"/>
        <v>45208.42</v>
      </c>
      <c r="M759" s="59">
        <f>IFERROR((S759/$S$2),"")</f>
        <v>966.40500000000009</v>
      </c>
      <c r="N759" s="854">
        <f>IFERROR(L759/M759,0)</f>
        <v>46.779993894899128</v>
      </c>
      <c r="O759" s="59">
        <f>IFERROR(SUMIF(ETM!$A:$A,$Q759,ETM!$E:$E),"")</f>
        <v>1154.6666666666667</v>
      </c>
      <c r="P759" s="880">
        <f>IFERROR(L759/O759,0)</f>
        <v>39.152788683602765</v>
      </c>
      <c r="Q759" s="814" t="s">
        <v>659</v>
      </c>
      <c r="R759" s="785" t="str">
        <f>IFERROR(VLOOKUP($Q759,'391'!$S:$Z,8,0),"0")</f>
        <v>0</v>
      </c>
      <c r="S759" s="800">
        <f>+R758+R759</f>
        <v>5798.43</v>
      </c>
      <c r="T759" s="797"/>
      <c r="U759" s="797"/>
      <c r="V759" s="797"/>
      <c r="W759" s="785">
        <f>IFERROR(VLOOKUP($Q759,'391'!$S:$AG,15,0),0)</f>
        <v>0</v>
      </c>
      <c r="X759" s="1231">
        <f>G759-(W759+W758)</f>
        <v>-2669.0399999999936</v>
      </c>
      <c r="Y759" s="785"/>
      <c r="Z759" s="785"/>
      <c r="AA759" s="797"/>
      <c r="AB759" s="797"/>
      <c r="AC759" s="551"/>
      <c r="AD759" s="551"/>
      <c r="AE759" s="551"/>
      <c r="AF759" s="551"/>
      <c r="AG759" s="551"/>
      <c r="AH759" s="551"/>
      <c r="AI759" s="704"/>
      <c r="AJ759" s="704"/>
      <c r="AK759" s="704"/>
      <c r="AL759" s="704"/>
      <c r="AM759" s="704"/>
      <c r="AN759" s="704"/>
      <c r="AO759" s="704"/>
      <c r="AP759" s="704"/>
      <c r="AQ759" s="704"/>
      <c r="AR759" s="704"/>
      <c r="AS759" s="704"/>
    </row>
    <row r="760" spans="1:45" s="13" customFormat="1" ht="30" hidden="1" customHeight="1" x14ac:dyDescent="0.25">
      <c r="A760" s="2024">
        <f>IF(L767=0,"",MAX($A$16:A759)+1)</f>
        <v>44</v>
      </c>
      <c r="B760" s="2046" t="s">
        <v>1322</v>
      </c>
      <c r="C760" s="110" t="s">
        <v>268</v>
      </c>
      <c r="D760" s="959" t="s">
        <v>10</v>
      </c>
      <c r="E760" s="933">
        <v>44658</v>
      </c>
      <c r="F760" s="74">
        <f t="shared" ref="F760:F766" si="465">$L$7-E760</f>
        <v>1603</v>
      </c>
      <c r="G760" s="63">
        <v>0</v>
      </c>
      <c r="H760" s="56"/>
      <c r="I760" s="63"/>
      <c r="J760" s="1378"/>
      <c r="K760" s="63">
        <f>IFERROR(SUMIF(INTAKE!$A:$A,$T760,INTAKE!$P:$P),0)</f>
        <v>0</v>
      </c>
      <c r="L760" s="1534">
        <f t="shared" ref="L760:L766" si="466">+G760+H760+I760-J760-K760</f>
        <v>0</v>
      </c>
      <c r="M760" s="50"/>
      <c r="N760" s="167"/>
      <c r="O760" s="50"/>
      <c r="P760" s="744"/>
      <c r="Q760" s="795"/>
      <c r="R760" s="785">
        <f>IFERROR(VLOOKUP($Q760,'391'!$S:$Z,8,0),"")</f>
        <v>0</v>
      </c>
      <c r="S760" s="796"/>
      <c r="T760" s="797" t="str">
        <f t="shared" ref="T760:T766" si="467">$Q$767&amp;C760&amp;E760</f>
        <v>Pep 125V3.144658</v>
      </c>
      <c r="U760" s="797"/>
      <c r="V760" s="797"/>
      <c r="W760" s="785">
        <f>IFERROR(VLOOKUP($Q760,'391'!$S:$AG,15,0),0)</f>
        <v>0</v>
      </c>
      <c r="X760" s="1090">
        <f t="shared" ref="X760:X796" si="468">G760-W760</f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5"/>
      <c r="B761" s="2068"/>
      <c r="C761" s="110"/>
      <c r="D761" s="959" t="s">
        <v>10</v>
      </c>
      <c r="E761" s="933">
        <v>46022</v>
      </c>
      <c r="F761" s="74">
        <f t="shared" si="465"/>
        <v>239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6"/>
        <v>0</v>
      </c>
      <c r="M761" s="48"/>
      <c r="N761" s="163"/>
      <c r="O761" s="48"/>
      <c r="P761" s="738"/>
      <c r="Q761" s="795"/>
      <c r="R761" s="785">
        <f>IFERROR(VLOOKUP($Q761,'391'!$S:$Z,8,0),"")</f>
        <v>0</v>
      </c>
      <c r="S761" s="796"/>
      <c r="T761" s="797" t="str">
        <f t="shared" si="467"/>
        <v>Pep 12546022</v>
      </c>
      <c r="U761" s="797"/>
      <c r="V761" s="797"/>
      <c r="W761" s="785">
        <f>IFERROR(VLOOKUP($Q761,'391'!$S:$AG,15,0),0)</f>
        <v>0</v>
      </c>
      <c r="X761" s="1090">
        <f t="shared" si="468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customHeight="1" x14ac:dyDescent="0.25">
      <c r="A762" s="2025"/>
      <c r="B762" s="2068"/>
      <c r="C762" s="110" t="s">
        <v>2110</v>
      </c>
      <c r="D762" s="959" t="s">
        <v>10</v>
      </c>
      <c r="E762" s="933">
        <v>46225</v>
      </c>
      <c r="F762" s="74">
        <f t="shared" si="465"/>
        <v>36</v>
      </c>
      <c r="G762" s="63">
        <v>0</v>
      </c>
      <c r="H762" s="63"/>
      <c r="I762" s="63"/>
      <c r="J762" s="1378"/>
      <c r="K762" s="63">
        <f>IFERROR(SUMIF(INTAKE!$A:$A,$T762,INTAKE!$P:$P),0)</f>
        <v>0</v>
      </c>
      <c r="L762" s="1703">
        <f t="shared" si="466"/>
        <v>0</v>
      </c>
      <c r="M762" s="48"/>
      <c r="N762" s="163"/>
      <c r="O762" s="48"/>
      <c r="P762" s="738"/>
      <c r="Q762" s="795"/>
      <c r="R762" s="785">
        <f>IFERROR(VLOOKUP($Q762,'391'!$S:$Z,8,0),"")</f>
        <v>0</v>
      </c>
      <c r="S762" s="796"/>
      <c r="T762" s="797" t="str">
        <f t="shared" si="467"/>
        <v>Pep 125D246225</v>
      </c>
      <c r="U762" s="797"/>
      <c r="V762" s="797"/>
      <c r="W762" s="785">
        <f>IFERROR(VLOOKUP($Q762,'391'!$S:$AG,15,0),0)</f>
        <v>0</v>
      </c>
      <c r="X762" s="1090">
        <f t="shared" si="468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13" customFormat="1" ht="30" customHeight="1" x14ac:dyDescent="0.25">
      <c r="A763" s="2025"/>
      <c r="B763" s="2068"/>
      <c r="C763" s="110" t="s">
        <v>2110</v>
      </c>
      <c r="D763" s="959" t="s">
        <v>10</v>
      </c>
      <c r="E763" s="933">
        <v>46247</v>
      </c>
      <c r="F763" s="74">
        <f t="shared" ref="F763" si="469">$L$7-E763</f>
        <v>14</v>
      </c>
      <c r="G763" s="63">
        <v>500</v>
      </c>
      <c r="H763" s="63"/>
      <c r="I763" s="63"/>
      <c r="J763" s="1378"/>
      <c r="K763" s="63">
        <f>IFERROR(SUMIF(INTAKE!$A:$A,$T763,INTAKE!$P:$P),0)</f>
        <v>0</v>
      </c>
      <c r="L763" s="1703">
        <f t="shared" si="466"/>
        <v>500</v>
      </c>
      <c r="M763" s="48"/>
      <c r="N763" s="163"/>
      <c r="O763" s="48"/>
      <c r="P763" s="738"/>
      <c r="Q763" s="795"/>
      <c r="R763" s="785">
        <f>IFERROR(VLOOKUP($Q763,'391'!$S:$Z,8,0),"")</f>
        <v>0</v>
      </c>
      <c r="S763" s="796"/>
      <c r="T763" s="797" t="str">
        <f t="shared" si="467"/>
        <v>Pep 125D246247</v>
      </c>
      <c r="U763" s="797"/>
      <c r="V763" s="797"/>
      <c r="W763" s="785">
        <f>IFERROR(VLOOKUP($Q763,'391'!$S:$AG,15,0),0)</f>
        <v>0</v>
      </c>
      <c r="X763" s="1090">
        <f t="shared" si="468"/>
        <v>500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13" customFormat="1" ht="30" hidden="1" customHeight="1" x14ac:dyDescent="0.25">
      <c r="A764" s="2025"/>
      <c r="B764" s="2068"/>
      <c r="C764" s="110"/>
      <c r="D764" s="959" t="s">
        <v>10</v>
      </c>
      <c r="E764" s="933">
        <v>46157</v>
      </c>
      <c r="F764" s="74">
        <f t="shared" si="465"/>
        <v>104</v>
      </c>
      <c r="G764" s="63">
        <v>0</v>
      </c>
      <c r="H764" s="63"/>
      <c r="I764" s="63"/>
      <c r="J764" s="1378"/>
      <c r="K764" s="63">
        <f>IFERROR(SUMIF(INTAKE!$A:$A,$T764,INTAKE!$P:$P),0)</f>
        <v>0</v>
      </c>
      <c r="L764" s="1703">
        <f t="shared" si="466"/>
        <v>0</v>
      </c>
      <c r="M764" s="45"/>
      <c r="N764" s="162"/>
      <c r="O764" s="45"/>
      <c r="P764" s="736"/>
      <c r="Q764" s="795"/>
      <c r="R764" s="785">
        <f>IFERROR(VLOOKUP($Q764,'391'!$S:$Z,8,0),"")</f>
        <v>0</v>
      </c>
      <c r="S764" s="796"/>
      <c r="T764" s="797" t="str">
        <f t="shared" si="467"/>
        <v>Pep 12546157</v>
      </c>
      <c r="U764" s="797"/>
      <c r="V764" s="797"/>
      <c r="W764" s="785">
        <f>IFERROR(VLOOKUP($Q764,'391'!$S:$AG,15,0),0)</f>
        <v>0</v>
      </c>
      <c r="X764" s="1090">
        <f t="shared" si="468"/>
        <v>0</v>
      </c>
      <c r="Y764" s="785"/>
      <c r="Z764" s="785"/>
      <c r="AA764" s="797"/>
      <c r="AB764" s="797"/>
      <c r="AC764" s="683"/>
      <c r="AD764" s="683"/>
      <c r="AE764" s="683"/>
      <c r="AF764" s="683"/>
      <c r="AG764" s="683"/>
      <c r="AH764" s="683"/>
      <c r="AI764" s="705"/>
      <c r="AJ764" s="705"/>
      <c r="AK764" s="705"/>
      <c r="AL764" s="705"/>
      <c r="AM764" s="705"/>
      <c r="AN764" s="705"/>
      <c r="AO764" s="705"/>
      <c r="AP764" s="705"/>
      <c r="AQ764" s="705"/>
      <c r="AR764" s="705"/>
      <c r="AS764" s="705"/>
    </row>
    <row r="765" spans="1:45" s="13" customFormat="1" ht="30" hidden="1" customHeight="1" x14ac:dyDescent="0.25">
      <c r="A765" s="2025"/>
      <c r="B765" s="2068"/>
      <c r="C765" s="110"/>
      <c r="D765" s="959" t="s">
        <v>10</v>
      </c>
      <c r="E765" s="933">
        <v>42879</v>
      </c>
      <c r="F765" s="74">
        <f t="shared" si="465"/>
        <v>3382</v>
      </c>
      <c r="G765" s="63">
        <v>0</v>
      </c>
      <c r="H765" s="56"/>
      <c r="I765" s="63"/>
      <c r="J765" s="1378"/>
      <c r="K765" s="63">
        <f>IFERROR(SUMIF(INTAKE!$A:$A,$T765,INTAKE!$P:$P),0)</f>
        <v>0</v>
      </c>
      <c r="L765" s="1534">
        <f t="shared" si="466"/>
        <v>0</v>
      </c>
      <c r="M765" s="45"/>
      <c r="N765" s="162"/>
      <c r="O765" s="45"/>
      <c r="P765" s="736"/>
      <c r="Q765" s="795"/>
      <c r="R765" s="785">
        <f>IFERROR(VLOOKUP($Q765,'391'!$S:$Z,8,0),"")</f>
        <v>0</v>
      </c>
      <c r="S765" s="796"/>
      <c r="T765" s="797" t="str">
        <f t="shared" si="467"/>
        <v>Pep 12542879</v>
      </c>
      <c r="U765" s="797"/>
      <c r="V765" s="797"/>
      <c r="W765" s="785">
        <f>IFERROR(VLOOKUP($Q765,'391'!$S:$AG,15,0),0)</f>
        <v>0</v>
      </c>
      <c r="X765" s="1090">
        <f t="shared" si="468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405" customFormat="1" ht="30" customHeight="1" x14ac:dyDescent="0.25">
      <c r="A766" s="2026"/>
      <c r="B766" s="2047"/>
      <c r="C766" s="61" t="s">
        <v>46</v>
      </c>
      <c r="D766" s="863" t="s">
        <v>10</v>
      </c>
      <c r="E766" s="934">
        <v>46225</v>
      </c>
      <c r="F766" s="39">
        <f t="shared" si="465"/>
        <v>36</v>
      </c>
      <c r="G766" s="37">
        <v>145.72000000000003</v>
      </c>
      <c r="H766" s="37"/>
      <c r="I766" s="37">
        <f>SUM(K760:K764)</f>
        <v>0</v>
      </c>
      <c r="J766" s="1385">
        <f>+usage!I108</f>
        <v>35.43</v>
      </c>
      <c r="K766" s="63">
        <f>IFERROR(SUMIF(INTAKE!$A:$A,$T766,INTAKE!$P:$P),0)</f>
        <v>0</v>
      </c>
      <c r="L766" s="1534">
        <f t="shared" si="466"/>
        <v>110.29000000000002</v>
      </c>
      <c r="M766" s="35"/>
      <c r="N766" s="87"/>
      <c r="O766" s="35"/>
      <c r="P766" s="740"/>
      <c r="Q766" s="795"/>
      <c r="R766" s="785">
        <f>IFERROR(VLOOKUP($Q766,'391'!$S:$Z,8,0),"")</f>
        <v>0</v>
      </c>
      <c r="S766" s="796"/>
      <c r="T766" s="797" t="str">
        <f t="shared" si="467"/>
        <v>Pep 125Feedmill46225</v>
      </c>
      <c r="U766" s="797"/>
      <c r="V766" s="797"/>
      <c r="W766" s="785">
        <f>IFERROR(VLOOKUP($Q766,'391'!$S:$AG,15,0),0)</f>
        <v>0</v>
      </c>
      <c r="X766" s="1090">
        <f t="shared" si="468"/>
        <v>145.72000000000003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265" customFormat="1" ht="30" customHeight="1" x14ac:dyDescent="0.25">
      <c r="A767" s="2022" t="s">
        <v>95</v>
      </c>
      <c r="B767" s="2023"/>
      <c r="C767" s="88"/>
      <c r="D767" s="900"/>
      <c r="E767" s="864"/>
      <c r="F767" s="865"/>
      <c r="G767" s="1297">
        <v>645.72</v>
      </c>
      <c r="H767" s="1297">
        <f t="shared" ref="H767:L767" si="470">SUM(H760:H766)</f>
        <v>0</v>
      </c>
      <c r="I767" s="1297">
        <f t="shared" si="470"/>
        <v>0</v>
      </c>
      <c r="J767" s="1297">
        <f t="shared" si="470"/>
        <v>35.43</v>
      </c>
      <c r="K767" s="1297">
        <f t="shared" si="470"/>
        <v>0</v>
      </c>
      <c r="L767" s="1297">
        <f t="shared" si="470"/>
        <v>610.29</v>
      </c>
      <c r="M767" s="59">
        <f>IFERROR((R767/$S$2),"")</f>
        <v>27.693333333333332</v>
      </c>
      <c r="N767" s="366">
        <f>IFERROR(L767/M767,0)</f>
        <v>22.037433798748193</v>
      </c>
      <c r="O767" s="59">
        <f>IFERROR(SUMIF(ETM!$A:$A,$Q767,ETM!$E:$E),"")</f>
        <v>38.833333333333336</v>
      </c>
      <c r="P767" s="880">
        <f>IFERROR(L767/O767,0)</f>
        <v>15.715622317596564</v>
      </c>
      <c r="Q767" s="814" t="s">
        <v>660</v>
      </c>
      <c r="R767" s="785">
        <f>IFERROR(VLOOKUP($Q767,'391'!$S:$Z,8,0),"")</f>
        <v>166.16</v>
      </c>
      <c r="S767" s="796"/>
      <c r="T767" s="797"/>
      <c r="U767" s="797"/>
      <c r="V767" s="797"/>
      <c r="W767" s="785">
        <f>IFERROR(VLOOKUP($Q767,'391'!$S:$AG,15,0),0)</f>
        <v>772.99</v>
      </c>
      <c r="X767" s="1090">
        <f t="shared" si="468"/>
        <v>-127.26999999999998</v>
      </c>
      <c r="Y767" s="785"/>
      <c r="Z767" s="785"/>
      <c r="AA767" s="797"/>
      <c r="AB767" s="797"/>
      <c r="AC767" s="551"/>
      <c r="AD767" s="551"/>
      <c r="AE767" s="551"/>
      <c r="AF767" s="551"/>
      <c r="AG767" s="551"/>
      <c r="AH767" s="551"/>
      <c r="AI767" s="704"/>
      <c r="AJ767" s="704"/>
      <c r="AK767" s="704"/>
      <c r="AL767" s="704"/>
      <c r="AM767" s="704"/>
      <c r="AN767" s="704"/>
      <c r="AO767" s="704"/>
      <c r="AP767" s="704"/>
      <c r="AQ767" s="704"/>
      <c r="AR767" s="704"/>
      <c r="AS767" s="704"/>
    </row>
    <row r="768" spans="1:45" s="13" customFormat="1" ht="30" hidden="1" customHeight="1" x14ac:dyDescent="0.25">
      <c r="A768" s="2024">
        <f>IF(L776=0,"",MAX($A$16:A767)+1)</f>
        <v>45</v>
      </c>
      <c r="B768" s="2046" t="s">
        <v>262</v>
      </c>
      <c r="C768" s="1763"/>
      <c r="D768" s="963" t="s">
        <v>10</v>
      </c>
      <c r="E768" s="964">
        <v>46109</v>
      </c>
      <c r="F768" s="362">
        <f t="shared" ref="F768:F770" si="471">$L$7-E768</f>
        <v>152</v>
      </c>
      <c r="G768" s="1764">
        <v>0</v>
      </c>
      <c r="H768" s="1764"/>
      <c r="I768" s="1764"/>
      <c r="J768" s="1765"/>
      <c r="K768" s="1370">
        <f>IFERROR(SUMIF(INTAKE!$A:$A,$T768,INTAKE!$P:$P),0)</f>
        <v>0</v>
      </c>
      <c r="L768" s="1703">
        <f t="shared" ref="L768:L775" si="472">+G768+H768+I768-J768-K768</f>
        <v>0</v>
      </c>
      <c r="M768" s="50"/>
      <c r="N768" s="50"/>
      <c r="O768" s="50"/>
      <c r="P768" s="744"/>
      <c r="Q768" s="795"/>
      <c r="R768" s="785">
        <f>IFERROR(VLOOKUP($Q768,'391'!$S:$Z,8,0),"")</f>
        <v>0</v>
      </c>
      <c r="S768" s="796"/>
      <c r="T768" s="797" t="str">
        <f>$Q$776&amp;C768&amp;E768</f>
        <v>Zinc Oxide46109</v>
      </c>
      <c r="U768" s="797"/>
      <c r="V768" s="797"/>
      <c r="W768" s="785">
        <f>IFERROR(VLOOKUP($Q768,'391'!$S:$AG,15,0),0)</f>
        <v>0</v>
      </c>
      <c r="X768" s="1090">
        <f t="shared" si="468"/>
        <v>0</v>
      </c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25"/>
      <c r="B769" s="2068"/>
      <c r="C769" s="1763"/>
      <c r="D769" s="963" t="s">
        <v>10</v>
      </c>
      <c r="E769" s="964">
        <v>46127</v>
      </c>
      <c r="F769" s="362">
        <f t="shared" si="471"/>
        <v>134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2"/>
        <v>0</v>
      </c>
      <c r="M769" s="173"/>
      <c r="N769" s="173"/>
      <c r="O769" s="173"/>
      <c r="P769" s="754"/>
      <c r="Q769" s="795"/>
      <c r="R769" s="785">
        <f>IFERROR(VLOOKUP($Q769,'391'!$S:$Z,8,0),"")</f>
        <v>0</v>
      </c>
      <c r="S769" s="796"/>
      <c r="T769" s="797" t="str">
        <f t="shared" ref="T769:T775" si="473">$Q$776&amp;C769&amp;E769</f>
        <v>Zinc Oxide46127</v>
      </c>
      <c r="U769" s="797"/>
      <c r="V769" s="797"/>
      <c r="W769" s="785">
        <f>IFERROR(VLOOKUP($Q769,'391'!$S:$AG,15,0),0)</f>
        <v>0</v>
      </c>
      <c r="X769" s="1090">
        <f t="shared" si="468"/>
        <v>0</v>
      </c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25"/>
      <c r="B770" s="2068"/>
      <c r="C770" s="1763" t="s">
        <v>2112</v>
      </c>
      <c r="D770" s="963" t="s">
        <v>10</v>
      </c>
      <c r="E770" s="964">
        <v>46246</v>
      </c>
      <c r="F770" s="362">
        <f t="shared" si="471"/>
        <v>15</v>
      </c>
      <c r="G770" s="1764">
        <v>2500</v>
      </c>
      <c r="H770" s="1764"/>
      <c r="I770" s="1764"/>
      <c r="J770" s="1765"/>
      <c r="K770" s="1370">
        <f>IFERROR(SUMIF(INTAKE!$A:$A,$T770,INTAKE!$P:$P),0)</f>
        <v>0</v>
      </c>
      <c r="L770" s="1712">
        <f t="shared" si="472"/>
        <v>2500</v>
      </c>
      <c r="M770" s="173"/>
      <c r="N770" s="173"/>
      <c r="O770" s="173"/>
      <c r="P770" s="754"/>
      <c r="Q770" s="795"/>
      <c r="R770" s="785">
        <f>IFERROR(VLOOKUP($Q770,'391'!$S:$Z,8,0),"")</f>
        <v>0</v>
      </c>
      <c r="S770" s="796"/>
      <c r="T770" s="797" t="str">
        <f t="shared" si="473"/>
        <v>Zinc OxideZ2.246246</v>
      </c>
      <c r="U770" s="797"/>
      <c r="V770" s="797"/>
      <c r="W770" s="785">
        <f>IFERROR(VLOOKUP($Q770,'391'!$S:$AG,15,0),0)</f>
        <v>0</v>
      </c>
      <c r="X770" s="1090">
        <f t="shared" si="468"/>
        <v>2500</v>
      </c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customHeight="1" x14ac:dyDescent="0.25">
      <c r="A771" s="2025"/>
      <c r="B771" s="2072"/>
      <c r="C771" s="1763" t="s">
        <v>1845</v>
      </c>
      <c r="D771" s="963" t="s">
        <v>10</v>
      </c>
      <c r="E771" s="964">
        <v>46246</v>
      </c>
      <c r="F771" s="362">
        <f t="shared" ref="F771:F772" si="474">$L$7-E771</f>
        <v>15</v>
      </c>
      <c r="G771" s="1764">
        <v>5000</v>
      </c>
      <c r="H771" s="1764"/>
      <c r="I771" s="1764"/>
      <c r="J771" s="1765"/>
      <c r="K771" s="1370">
        <f>IFERROR(SUMIF(INTAKE!$A:$A,$T771,INTAKE!$P:$P),0)</f>
        <v>0</v>
      </c>
      <c r="L771" s="1703">
        <f t="shared" si="472"/>
        <v>5000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3"/>
        <v>Zinc OxideV9.246246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5"/>
      <c r="B772" s="2072"/>
      <c r="C772" s="1763" t="s">
        <v>1308</v>
      </c>
      <c r="D772" s="963" t="s">
        <v>10</v>
      </c>
      <c r="E772" s="964">
        <v>46259</v>
      </c>
      <c r="F772" s="362">
        <f t="shared" si="474"/>
        <v>2</v>
      </c>
      <c r="G772" s="1764">
        <v>8000</v>
      </c>
      <c r="H772" s="1764"/>
      <c r="I772" s="1764"/>
      <c r="J772" s="1765"/>
      <c r="K772" s="1370">
        <f>IFERROR(SUMIF(INTAKE!$A:$A,$T772,INTAKE!$P:$P),0)</f>
        <v>0</v>
      </c>
      <c r="L772" s="1703">
        <f t="shared" si="472"/>
        <v>8000</v>
      </c>
      <c r="M772" s="1766"/>
      <c r="N772" s="1766"/>
      <c r="O772" s="1766"/>
      <c r="P772" s="1767"/>
      <c r="Q772" s="795"/>
      <c r="R772" s="785"/>
      <c r="S772" s="796"/>
      <c r="T772" s="797" t="str">
        <f t="shared" si="473"/>
        <v>Zinc OxideZ2.146259</v>
      </c>
      <c r="U772" s="797"/>
      <c r="V772" s="797"/>
      <c r="W772" s="785"/>
      <c r="X772" s="1090"/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13" customFormat="1" ht="29.25" hidden="1" customHeight="1" x14ac:dyDescent="0.25">
      <c r="A773" s="2025"/>
      <c r="B773" s="2072"/>
      <c r="C773" s="1763"/>
      <c r="D773" s="963" t="s">
        <v>10</v>
      </c>
      <c r="E773" s="964">
        <v>46259</v>
      </c>
      <c r="F773" s="362">
        <f t="shared" ref="F773" si="475">$L$7-E773</f>
        <v>2</v>
      </c>
      <c r="G773" s="1764"/>
      <c r="H773" s="1764"/>
      <c r="I773" s="1764"/>
      <c r="J773" s="1765"/>
      <c r="K773" s="1370">
        <f>IFERROR(SUMIF(INTAKE!$A:$A,$T773,INTAKE!$P:$P),0)</f>
        <v>0</v>
      </c>
      <c r="L773" s="1703">
        <f t="shared" ref="L773" si="476">+G773+H773+I773-J773-K773</f>
        <v>0</v>
      </c>
      <c r="M773" s="1766"/>
      <c r="N773" s="1766"/>
      <c r="O773" s="1766"/>
      <c r="P773" s="1767"/>
      <c r="Q773" s="795"/>
      <c r="R773" s="785"/>
      <c r="S773" s="796"/>
      <c r="T773" s="797" t="str">
        <f t="shared" si="473"/>
        <v>Zinc Oxide46259</v>
      </c>
      <c r="U773" s="797"/>
      <c r="V773" s="797"/>
      <c r="W773" s="785"/>
      <c r="X773" s="1090"/>
      <c r="Y773" s="785"/>
      <c r="Z773" s="785"/>
      <c r="AA773" s="797"/>
      <c r="AB773" s="797"/>
      <c r="AC773" s="683"/>
      <c r="AD773" s="683"/>
      <c r="AE773" s="683"/>
      <c r="AF773" s="683"/>
      <c r="AG773" s="683"/>
      <c r="AH773" s="683"/>
      <c r="AI773" s="705"/>
      <c r="AJ773" s="705"/>
      <c r="AK773" s="705"/>
      <c r="AL773" s="705"/>
      <c r="AM773" s="705"/>
      <c r="AN773" s="705"/>
      <c r="AO773" s="705"/>
      <c r="AP773" s="705"/>
      <c r="AQ773" s="705"/>
      <c r="AR773" s="705"/>
      <c r="AS773" s="705"/>
    </row>
    <row r="774" spans="1:45" s="13" customFormat="1" ht="29.25" hidden="1" customHeight="1" x14ac:dyDescent="0.25">
      <c r="A774" s="2025"/>
      <c r="B774" s="2072"/>
      <c r="C774" s="1763"/>
      <c r="D774" s="963" t="s">
        <v>10</v>
      </c>
      <c r="E774" s="964">
        <v>45909</v>
      </c>
      <c r="F774" s="362">
        <f t="shared" ref="F774:F775" si="477">$L$7-E774</f>
        <v>352</v>
      </c>
      <c r="G774" s="1764">
        <v>0</v>
      </c>
      <c r="H774" s="1764"/>
      <c r="I774" s="1764"/>
      <c r="J774" s="1765"/>
      <c r="K774" s="1370">
        <f>IFERROR(SUMIF(INTAKE!$A:$A,$T774,INTAKE!$P:$P),0)</f>
        <v>0</v>
      </c>
      <c r="L774" s="1703">
        <f t="shared" si="472"/>
        <v>0</v>
      </c>
      <c r="M774" s="1766"/>
      <c r="N774" s="1766"/>
      <c r="O774" s="1766"/>
      <c r="P774" s="1767"/>
      <c r="Q774" s="795"/>
      <c r="R774" s="785"/>
      <c r="S774" s="796"/>
      <c r="T774" s="797" t="str">
        <f t="shared" si="473"/>
        <v>Zinc Oxide45909</v>
      </c>
      <c r="U774" s="797"/>
      <c r="V774" s="797"/>
      <c r="W774" s="785"/>
      <c r="X774" s="1090"/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29.25" customHeight="1" x14ac:dyDescent="0.25">
      <c r="A775" s="2025"/>
      <c r="B775" s="2068"/>
      <c r="C775" s="194" t="s">
        <v>46</v>
      </c>
      <c r="D775" s="965" t="s">
        <v>10</v>
      </c>
      <c r="E775" s="966">
        <v>46246</v>
      </c>
      <c r="F775" s="967">
        <f t="shared" si="477"/>
        <v>15</v>
      </c>
      <c r="G775" s="1391">
        <v>2353.3999999999996</v>
      </c>
      <c r="H775" s="1370"/>
      <c r="I775" s="1391">
        <f>+SUM(K768:K774)</f>
        <v>0</v>
      </c>
      <c r="J775" s="1391">
        <f>+usage!I128</f>
        <v>189.45</v>
      </c>
      <c r="K775" s="1370">
        <f>IFERROR(SUMIF(INTAKE!$A:$A,$T775,INTAKE!$P:$P),0)</f>
        <v>0</v>
      </c>
      <c r="L775" s="1534">
        <f t="shared" si="472"/>
        <v>2163.9499999999998</v>
      </c>
      <c r="M775" s="173"/>
      <c r="N775" s="173"/>
      <c r="O775" s="173"/>
      <c r="P775" s="754"/>
      <c r="Q775" s="666" t="s">
        <v>1616</v>
      </c>
      <c r="R775" s="785" t="str">
        <f>IFERROR(VLOOKUP($Q775,'391'!$S:$Z,8,0),"0")</f>
        <v>0</v>
      </c>
      <c r="S775" s="819">
        <f>+R775+R776</f>
        <v>4573.75</v>
      </c>
      <c r="T775" s="797" t="str">
        <f t="shared" si="473"/>
        <v>Zinc OxideFeedmill46246</v>
      </c>
      <c r="U775" s="797"/>
      <c r="V775" s="797"/>
      <c r="W775" s="785">
        <f>IFERROR(VLOOKUP($Q775,'391'!$S:$AG,15,0),0)</f>
        <v>0</v>
      </c>
      <c r="X775" s="1090">
        <f t="shared" si="468"/>
        <v>2353.3999999999996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265" customFormat="1" ht="30" customHeight="1" x14ac:dyDescent="0.25">
      <c r="A776" s="2022" t="s">
        <v>37</v>
      </c>
      <c r="B776" s="2023"/>
      <c r="C776" s="88"/>
      <c r="D776" s="864"/>
      <c r="E776" s="864"/>
      <c r="F776" s="865"/>
      <c r="G776" s="1297">
        <v>17853.400000000001</v>
      </c>
      <c r="H776" s="1297">
        <f t="shared" ref="H776:L776" si="478">SUM(H768:H775)</f>
        <v>0</v>
      </c>
      <c r="I776" s="1297">
        <f t="shared" si="478"/>
        <v>0</v>
      </c>
      <c r="J776" s="1297">
        <f t="shared" si="478"/>
        <v>189.45</v>
      </c>
      <c r="K776" s="1297">
        <f t="shared" si="478"/>
        <v>0</v>
      </c>
      <c r="L776" s="1297">
        <f t="shared" si="478"/>
        <v>17663.95</v>
      </c>
      <c r="M776" s="59">
        <f>IFERROR((S775/$S$2),"")</f>
        <v>762.29166666666663</v>
      </c>
      <c r="N776" s="854">
        <f>IFERROR(L776/M776,0)</f>
        <v>23.172167258813886</v>
      </c>
      <c r="O776" s="59">
        <f>IFERROR(SUMIF(ETM!$A:$A,$Q776,ETM!$E:$E),"")</f>
        <v>743.66666666666663</v>
      </c>
      <c r="P776" s="880">
        <f>IFERROR(L776/O776,0)</f>
        <v>23.752510085163607</v>
      </c>
      <c r="Q776" s="814" t="s">
        <v>262</v>
      </c>
      <c r="R776" s="785">
        <f>IFERROR(VLOOKUP($Q776,'391'!$S:$Z,8,0),"")</f>
        <v>4573.75</v>
      </c>
      <c r="S776" s="796"/>
      <c r="T776" s="797"/>
      <c r="U776" s="797"/>
      <c r="V776" s="797"/>
      <c r="W776" s="785">
        <f>IFERROR(VLOOKUP($Q776,'391'!$S:$AG,15,0),0)</f>
        <v>12511.25</v>
      </c>
      <c r="X776" s="1090">
        <f t="shared" si="468"/>
        <v>5342.1500000000015</v>
      </c>
      <c r="Y776" s="785"/>
      <c r="Z776" s="785"/>
      <c r="AA776" s="797"/>
      <c r="AB776" s="797"/>
      <c r="AC776" s="551"/>
      <c r="AD776" s="551"/>
      <c r="AE776" s="551"/>
      <c r="AF776" s="551"/>
      <c r="AG776" s="551"/>
      <c r="AH776" s="551"/>
      <c r="AI776" s="704"/>
      <c r="AJ776" s="704"/>
      <c r="AK776" s="704"/>
      <c r="AL776" s="704"/>
      <c r="AM776" s="704"/>
      <c r="AN776" s="704"/>
      <c r="AO776" s="704"/>
      <c r="AP776" s="704"/>
      <c r="AQ776" s="704"/>
      <c r="AR776" s="704"/>
      <c r="AS776" s="704"/>
    </row>
    <row r="777" spans="1:45" s="13" customFormat="1" ht="30" hidden="1" customHeight="1" x14ac:dyDescent="0.25">
      <c r="A777" s="2024">
        <f>IF(L785=0,"",MAX($A$16:A776)+1)</f>
        <v>46</v>
      </c>
      <c r="B777" s="2093" t="s">
        <v>2166</v>
      </c>
      <c r="C777" s="160"/>
      <c r="D777" s="959" t="s">
        <v>10</v>
      </c>
      <c r="E777" s="935">
        <v>45295</v>
      </c>
      <c r="F777" s="75">
        <f t="shared" ref="F777:F784" si="479">$L$7-E777</f>
        <v>966</v>
      </c>
      <c r="G777" s="64">
        <v>0</v>
      </c>
      <c r="H777" s="64"/>
      <c r="I777" s="64"/>
      <c r="J777" s="1367"/>
      <c r="K777" s="64">
        <f>IFERROR(SUMIF(INTAKE!$A:$A,$T777,INTAKE!$P:$P),0)</f>
        <v>0</v>
      </c>
      <c r="L777" s="1534">
        <f t="shared" ref="L777:L784" si="480">+G777+H777+I777-J777-K777</f>
        <v>0</v>
      </c>
      <c r="M777" s="50"/>
      <c r="N777" s="167"/>
      <c r="O777" s="50"/>
      <c r="P777" s="747"/>
      <c r="Q777" s="795"/>
      <c r="R777" s="785">
        <f>IFERROR(VLOOKUP($Q777,'391'!$S:$Z,8,0),"")</f>
        <v>0</v>
      </c>
      <c r="S777" s="796"/>
      <c r="T777" s="797" t="str">
        <f>$Q$784&amp;C777&amp;E777</f>
        <v>Denagard 80% Coated(China)45295</v>
      </c>
      <c r="U777" s="797"/>
      <c r="V777" s="797"/>
      <c r="W777" s="785">
        <f>IFERROR(VLOOKUP($Q777,'391'!$S:$AG,15,0),0)</f>
        <v>0</v>
      </c>
      <c r="X777" s="1090">
        <f t="shared" si="468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hidden="1" customHeight="1" x14ac:dyDescent="0.25">
      <c r="A778" s="2025"/>
      <c r="B778" s="2094"/>
      <c r="C778" s="160"/>
      <c r="D778" s="959" t="s">
        <v>10</v>
      </c>
      <c r="E778" s="935">
        <v>45755</v>
      </c>
      <c r="F778" s="75">
        <f t="shared" si="479"/>
        <v>506</v>
      </c>
      <c r="G778" s="64">
        <v>0</v>
      </c>
      <c r="H778" s="64"/>
      <c r="I778" s="64"/>
      <c r="J778" s="1367"/>
      <c r="K778" s="64">
        <f>IFERROR(SUMIF(INTAKE!$A:$A,$T778,INTAKE!$P:$P),0)</f>
        <v>0</v>
      </c>
      <c r="L778" s="1703">
        <f t="shared" si="480"/>
        <v>0</v>
      </c>
      <c r="M778" s="46"/>
      <c r="N778" s="176"/>
      <c r="O778" s="46"/>
      <c r="P778" s="748"/>
      <c r="Q778" s="795"/>
      <c r="R778" s="785">
        <f>IFERROR(VLOOKUP($Q778,'391'!$S:$Z,8,0),"")</f>
        <v>0</v>
      </c>
      <c r="S778" s="796"/>
      <c r="T778" s="797" t="str">
        <f t="shared" ref="T778" si="481">$Q$785&amp;C778&amp;E778</f>
        <v>Tiamutin 80%45755</v>
      </c>
      <c r="U778" s="797"/>
      <c r="V778" s="797"/>
      <c r="W778" s="785">
        <f>IFERROR(VLOOKUP($Q778,'391'!$S:$AG,15,0),0)</f>
        <v>0</v>
      </c>
      <c r="X778" s="1090">
        <f t="shared" si="468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hidden="1" customHeight="1" x14ac:dyDescent="0.25">
      <c r="A779" s="2025"/>
      <c r="B779" s="2094"/>
      <c r="C779" s="160"/>
      <c r="D779" s="959" t="s">
        <v>10</v>
      </c>
      <c r="E779" s="935">
        <v>45771</v>
      </c>
      <c r="F779" s="75">
        <f t="shared" ref="F779:F782" si="482">$L$7-E779</f>
        <v>490</v>
      </c>
      <c r="G779" s="64">
        <v>0</v>
      </c>
      <c r="H779" s="64"/>
      <c r="I779" s="64"/>
      <c r="J779" s="1367"/>
      <c r="K779" s="64">
        <f>IFERROR(SUMIF(INTAKE!$A:$A,$T779,INTAKE!$P:$P),0)</f>
        <v>0</v>
      </c>
      <c r="L779" s="1703">
        <f t="shared" si="480"/>
        <v>0</v>
      </c>
      <c r="M779" s="48"/>
      <c r="N779" s="163"/>
      <c r="O779" s="48"/>
      <c r="P779" s="750"/>
      <c r="Q779" s="666" t="s">
        <v>1392</v>
      </c>
      <c r="R779" s="785">
        <f>IFERROR(VLOOKUP($Q779,'391'!$S:$Z,8,0),"0")</f>
        <v>1071.1300000000001</v>
      </c>
      <c r="S779" s="796"/>
      <c r="T779" s="797" t="str">
        <f>$Q$779&amp;C779&amp;E779</f>
        <v>TIAMULIN FUMARATE PREMIX 80% (China)45771</v>
      </c>
      <c r="U779" s="797"/>
      <c r="V779" s="797"/>
      <c r="W779" s="785">
        <f>IFERROR(VLOOKUP($Q779,'391'!$S:$AG,15,0),0)</f>
        <v>3515.05</v>
      </c>
      <c r="X779" s="1090">
        <f t="shared" si="468"/>
        <v>-3515.05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25"/>
      <c r="B780" s="2094"/>
      <c r="C780" s="160"/>
      <c r="D780" s="959" t="s">
        <v>10</v>
      </c>
      <c r="E780" s="935">
        <v>46211</v>
      </c>
      <c r="F780" s="75">
        <f t="shared" si="482"/>
        <v>50</v>
      </c>
      <c r="G780" s="1897">
        <v>0</v>
      </c>
      <c r="H780" s="1897"/>
      <c r="I780" s="1897"/>
      <c r="J780" s="1898"/>
      <c r="K780" s="64">
        <f>IFERROR(SUMIF(INTAKE!$A:$A,$T780,INTAKE!$P:$P),0)</f>
        <v>0</v>
      </c>
      <c r="L780" s="1703">
        <f t="shared" si="480"/>
        <v>0</v>
      </c>
      <c r="M780" s="45"/>
      <c r="N780" s="45"/>
      <c r="O780" s="45"/>
      <c r="P780" s="756"/>
      <c r="Q780" s="666"/>
      <c r="R780" s="785">
        <f>IFERROR(VLOOKUP($Q780,'391'!$S:$Z,8,0),"")</f>
        <v>0</v>
      </c>
      <c r="S780" s="796"/>
      <c r="T780" s="797" t="str">
        <f>$Q$779&amp;C780&amp;E780</f>
        <v>TIAMULIN FUMARATE PREMIX 80% (China)46211</v>
      </c>
      <c r="U780" s="797"/>
      <c r="V780" s="797"/>
      <c r="W780" s="785">
        <f>IFERROR(VLOOKUP($Q780,'391'!$S:$AG,15,0),0)</f>
        <v>0</v>
      </c>
      <c r="X780" s="1090">
        <f t="shared" si="468"/>
        <v>0</v>
      </c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3" customFormat="1" ht="30" customHeight="1" x14ac:dyDescent="0.25">
      <c r="A781" s="2025"/>
      <c r="B781" s="2094"/>
      <c r="C781" s="160" t="s">
        <v>1249</v>
      </c>
      <c r="D781" s="959" t="s">
        <v>10</v>
      </c>
      <c r="E781" s="935">
        <v>46232</v>
      </c>
      <c r="F781" s="75">
        <f t="shared" ref="F781" si="483">$L$7-E781</f>
        <v>29</v>
      </c>
      <c r="G781" s="1897">
        <v>1050</v>
      </c>
      <c r="H781" s="1897"/>
      <c r="I781" s="1897"/>
      <c r="J781" s="1898"/>
      <c r="K781" s="64">
        <f>IFERROR(SUMIF(INTAKE!$A:$A,$T781,INTAKE!$P:$P),0)</f>
        <v>100</v>
      </c>
      <c r="L781" s="1703">
        <f t="shared" si="480"/>
        <v>950</v>
      </c>
      <c r="M781" s="45"/>
      <c r="N781" s="45"/>
      <c r="O781" s="45"/>
      <c r="P781" s="756"/>
      <c r="Q781" s="795"/>
      <c r="R781" s="785">
        <f>IFERROR(VLOOKUP($Q781,'391'!$S:$Z,8,0),"0")</f>
        <v>0</v>
      </c>
      <c r="S781" s="796"/>
      <c r="T781" s="797" t="str">
        <f>$Q$779&amp;C781&amp;E781</f>
        <v>TIAMULIN FUMARATE PREMIX 80% (China)E146232</v>
      </c>
      <c r="U781" s="797"/>
      <c r="V781" s="797"/>
      <c r="W781" s="785">
        <f>IFERROR(VLOOKUP($Q781,'391'!$S:$AG,15,0),0)</f>
        <v>0</v>
      </c>
      <c r="X781" s="1090">
        <f t="shared" si="468"/>
        <v>1050</v>
      </c>
      <c r="Y781" s="785"/>
      <c r="Z781" s="785"/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13" customFormat="1" ht="30" customHeight="1" x14ac:dyDescent="0.25">
      <c r="A782" s="2025"/>
      <c r="B782" s="2094"/>
      <c r="C782" s="160" t="s">
        <v>1313</v>
      </c>
      <c r="D782" s="959" t="s">
        <v>10</v>
      </c>
      <c r="E782" s="935">
        <v>46254</v>
      </c>
      <c r="F782" s="75">
        <f t="shared" si="482"/>
        <v>7</v>
      </c>
      <c r="G782" s="1897">
        <v>2000</v>
      </c>
      <c r="H782" s="1897"/>
      <c r="I782" s="1897"/>
      <c r="J782" s="1898"/>
      <c r="K782" s="64">
        <f>IFERROR(SUMIF(INTAKE!$A:$A,$T782,INTAKE!$P:$P),0)</f>
        <v>0</v>
      </c>
      <c r="L782" s="1703">
        <f t="shared" si="480"/>
        <v>2000</v>
      </c>
      <c r="M782" s="45"/>
      <c r="N782" s="45"/>
      <c r="O782" s="45"/>
      <c r="P782" s="756"/>
      <c r="Q782" s="795" t="s">
        <v>954</v>
      </c>
      <c r="R782" s="785" t="str">
        <f>IFERROR(VLOOKUP($Q782,'391'!$S:$Z,8,0),"0")</f>
        <v>0</v>
      </c>
      <c r="S782" s="796"/>
      <c r="T782" s="797" t="str">
        <f>$Q$779&amp;C782&amp;E782</f>
        <v>TIAMULIN FUMARATE PREMIX 80% (China)E246254</v>
      </c>
      <c r="U782" s="797"/>
      <c r="V782" s="797"/>
      <c r="W782" s="785">
        <f>IFERROR(VLOOKUP($Q782,'391'!$S:$AG,15,0),0)</f>
        <v>0</v>
      </c>
      <c r="X782" s="1090">
        <f t="shared" si="468"/>
        <v>2000</v>
      </c>
      <c r="Y782" s="785"/>
      <c r="Z782" s="785"/>
      <c r="AA782" s="797"/>
      <c r="AB782" s="797"/>
      <c r="AC782" s="683"/>
      <c r="AD782" s="683"/>
      <c r="AE782" s="683"/>
      <c r="AF782" s="683"/>
      <c r="AG782" s="683"/>
      <c r="AH782" s="683"/>
      <c r="AI782" s="705"/>
      <c r="AJ782" s="705"/>
      <c r="AK782" s="705"/>
      <c r="AL782" s="705"/>
      <c r="AM782" s="705"/>
      <c r="AN782" s="705"/>
      <c r="AO782" s="705"/>
      <c r="AP782" s="705"/>
      <c r="AQ782" s="705"/>
      <c r="AR782" s="705"/>
      <c r="AS782" s="705"/>
    </row>
    <row r="783" spans="1:45" s="13" customFormat="1" ht="30" hidden="1" customHeight="1" x14ac:dyDescent="0.25">
      <c r="A783" s="2025"/>
      <c r="B783" s="2095"/>
      <c r="C783" s="160"/>
      <c r="D783" s="959"/>
      <c r="E783" s="935"/>
      <c r="F783" s="75"/>
      <c r="G783" s="1897">
        <v>0</v>
      </c>
      <c r="H783" s="1897"/>
      <c r="I783" s="1897"/>
      <c r="J783" s="1898"/>
      <c r="K783" s="64">
        <f>IFERROR(SUMIF(INTAKE!$A:$A,$T783,INTAKE!$P:$P),0)</f>
        <v>0</v>
      </c>
      <c r="L783" s="1703">
        <f t="shared" si="480"/>
        <v>0</v>
      </c>
      <c r="M783" s="1487"/>
      <c r="N783" s="1487"/>
      <c r="O783" s="1487"/>
      <c r="P783" s="1899"/>
      <c r="Q783" s="784"/>
      <c r="R783" s="785"/>
      <c r="S783" s="796"/>
      <c r="T783" s="797" t="str">
        <f>$Q$779&amp;C783&amp;E783</f>
        <v>TIAMULIN FUMARATE PREMIX 80% (China)</v>
      </c>
      <c r="U783" s="797"/>
      <c r="V783" s="797"/>
      <c r="W783" s="785"/>
      <c r="X783" s="1090"/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4" customFormat="1" ht="30" customHeight="1" x14ac:dyDescent="0.25">
      <c r="A784" s="2026"/>
      <c r="B784" s="2096"/>
      <c r="C784" s="106" t="s">
        <v>46</v>
      </c>
      <c r="D784" s="850" t="s">
        <v>10</v>
      </c>
      <c r="E784" s="968">
        <v>46232</v>
      </c>
      <c r="F784" s="283">
        <f t="shared" si="479"/>
        <v>29</v>
      </c>
      <c r="G784" s="58">
        <v>217.47000000000008</v>
      </c>
      <c r="H784" s="58"/>
      <c r="I784" s="58">
        <f>SUM(K777:K783)</f>
        <v>100</v>
      </c>
      <c r="J784" s="1365">
        <f>usage!I140</f>
        <v>29.84</v>
      </c>
      <c r="K784" s="64">
        <f>IFERROR(SUMIF(INTAKE!$A:$A,$T784,INTAKE!$P:$P),0)</f>
        <v>0</v>
      </c>
      <c r="L784" s="1534">
        <f t="shared" si="480"/>
        <v>287.63000000000011</v>
      </c>
      <c r="M784" s="47"/>
      <c r="N784" s="47"/>
      <c r="O784" s="47"/>
      <c r="P784" s="740"/>
      <c r="Q784" s="666" t="s">
        <v>1279</v>
      </c>
      <c r="R784" s="785" t="str">
        <f>IFERROR(VLOOKUP($Q784,'391'!$S:$Z,8,0),"0")</f>
        <v>0</v>
      </c>
      <c r="S784" s="796"/>
      <c r="T784" s="797" t="str">
        <f>$Q$785&amp;C784&amp;E784</f>
        <v>Tiamutin 80%Feedmill46232</v>
      </c>
      <c r="U784" s="797"/>
      <c r="V784" s="797"/>
      <c r="W784" s="785">
        <f>IFERROR(VLOOKUP($Q784,'391'!$S:$AG,15,0),0)</f>
        <v>0</v>
      </c>
      <c r="X784" s="1090">
        <f t="shared" si="468"/>
        <v>217.47000000000008</v>
      </c>
      <c r="Y784" s="1088">
        <f>+W784+W781+W782+W779+W785</f>
        <v>3515.05</v>
      </c>
      <c r="Z784" s="1091">
        <f>+G785-Y784</f>
        <v>-247.57999999999993</v>
      </c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265" customFormat="1" ht="30" customHeight="1" x14ac:dyDescent="0.25">
      <c r="A785" s="2022" t="s">
        <v>948</v>
      </c>
      <c r="B785" s="2023"/>
      <c r="C785" s="88"/>
      <c r="D785" s="864"/>
      <c r="E785" s="864"/>
      <c r="F785" s="865"/>
      <c r="G785" s="1297">
        <v>3267.4700000000003</v>
      </c>
      <c r="H785" s="1344">
        <f>SUM(H777:H784)</f>
        <v>0</v>
      </c>
      <c r="I785" s="1297">
        <f>SUM(I777:I784)</f>
        <v>100</v>
      </c>
      <c r="J785" s="1297">
        <f t="shared" ref="J785:K785" si="484">SUM(J777:J784)</f>
        <v>29.84</v>
      </c>
      <c r="K785" s="1297">
        <f t="shared" si="484"/>
        <v>100</v>
      </c>
      <c r="L785" s="1297">
        <f>SUM(L777:L784)</f>
        <v>3237.63</v>
      </c>
      <c r="M785" s="59">
        <f>+IFERROR(S785/$S$2,"")</f>
        <v>178.52166666666668</v>
      </c>
      <c r="N785" s="854">
        <f>IFERROR(L785/M785,0)</f>
        <v>18.135781837872152</v>
      </c>
      <c r="O785" s="59">
        <f>IFERROR(SUMIF(ETM!$A:$A,$Q785,ETM!$E:$E),"")</f>
        <v>71.333333333333329</v>
      </c>
      <c r="P785" s="880">
        <f>IFERROR(L785/O785,0)</f>
        <v>45.387336448598134</v>
      </c>
      <c r="Q785" s="818" t="s">
        <v>834</v>
      </c>
      <c r="R785" s="785" t="str">
        <f>IFERROR(VLOOKUP($Q785,'391'!$S:$Z,8,0),"0")</f>
        <v>0</v>
      </c>
      <c r="S785" s="819">
        <f>+R785+R784+R782+R779</f>
        <v>1071.1300000000001</v>
      </c>
      <c r="T785" s="797"/>
      <c r="U785" s="797"/>
      <c r="V785" s="797"/>
      <c r="W785" s="785">
        <f>IFERROR(VLOOKUP($Q785,'391'!$S:$AG,15,0),0)</f>
        <v>0</v>
      </c>
      <c r="X785" s="1090">
        <f t="shared" si="468"/>
        <v>3267.4700000000003</v>
      </c>
      <c r="Y785" s="785"/>
      <c r="Z785" s="785"/>
      <c r="AA785" s="797"/>
      <c r="AB785" s="797"/>
      <c r="AC785" s="551"/>
      <c r="AD785" s="551"/>
      <c r="AE785" s="551"/>
      <c r="AF785" s="551"/>
      <c r="AG785" s="551"/>
      <c r="AH785" s="551"/>
      <c r="AI785" s="704"/>
      <c r="AJ785" s="704"/>
      <c r="AK785" s="704"/>
      <c r="AL785" s="704"/>
      <c r="AM785" s="704"/>
      <c r="AN785" s="704"/>
      <c r="AO785" s="704"/>
      <c r="AP785" s="704"/>
      <c r="AQ785" s="704"/>
      <c r="AR785" s="704"/>
      <c r="AS785" s="704"/>
    </row>
    <row r="786" spans="1:45" s="13" customFormat="1" ht="30" hidden="1" customHeight="1" x14ac:dyDescent="0.25">
      <c r="A786" s="2024" t="str">
        <f>IF(L791=0,"",MAX($A$16:A785)+1)</f>
        <v/>
      </c>
      <c r="B786" s="2093" t="s">
        <v>915</v>
      </c>
      <c r="C786" s="1197" t="s">
        <v>1213</v>
      </c>
      <c r="D786" s="959" t="s">
        <v>10</v>
      </c>
      <c r="E786" s="935">
        <v>45282</v>
      </c>
      <c r="F786" s="75">
        <f>$L$7-E786</f>
        <v>979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ref="L786:L816" si="485">+G786+H786+I786-J786-K786</f>
        <v>0</v>
      </c>
      <c r="M786" s="50"/>
      <c r="N786" s="167"/>
      <c r="O786" s="50"/>
      <c r="P786" s="747"/>
      <c r="Q786" s="795"/>
      <c r="R786" s="785">
        <f>IFERROR(VLOOKUP($Q786,'391'!$S:$Z,8,0),"")</f>
        <v>0</v>
      </c>
      <c r="S786" s="796"/>
      <c r="T786" s="797" t="str">
        <f>$Q$791&amp;C786&amp;E786</f>
        <v>Rodotium 80% (Bulgaria)E345282</v>
      </c>
      <c r="U786" s="797"/>
      <c r="V786" s="797"/>
      <c r="W786" s="785">
        <f>IFERROR(VLOOKUP($Q786,'391'!$S:$AG,15,0),0)</f>
        <v>0</v>
      </c>
      <c r="X786" s="1090">
        <f t="shared" si="468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3" customFormat="1" ht="30" hidden="1" customHeight="1" x14ac:dyDescent="0.25">
      <c r="A787" s="2025"/>
      <c r="B787" s="2094"/>
      <c r="C787" s="1197"/>
      <c r="D787" s="959" t="s">
        <v>10</v>
      </c>
      <c r="E787" s="935">
        <v>45282</v>
      </c>
      <c r="F787" s="75">
        <f>$L$7-E787</f>
        <v>979</v>
      </c>
      <c r="G787" s="64">
        <v>0</v>
      </c>
      <c r="H787" s="64"/>
      <c r="I787" s="64"/>
      <c r="J787" s="1367"/>
      <c r="K787" s="64">
        <f>IFERROR(SUMIF(INTAKE!$A:$A,$T787,INTAKE!$P:$P),0)</f>
        <v>0</v>
      </c>
      <c r="L787" s="1534">
        <f t="shared" si="485"/>
        <v>0</v>
      </c>
      <c r="M787" s="46"/>
      <c r="N787" s="176"/>
      <c r="O787" s="46"/>
      <c r="P787" s="748"/>
      <c r="Q787" s="795"/>
      <c r="R787" s="785">
        <f>IFERROR(VLOOKUP($Q787,'391'!$S:$Z,8,0),"")</f>
        <v>0</v>
      </c>
      <c r="S787" s="796"/>
      <c r="T787" s="797" t="str">
        <f>$Q$791&amp;C787&amp;E787</f>
        <v>Rodotium 80% (Bulgaria)45282</v>
      </c>
      <c r="U787" s="797"/>
      <c r="V787" s="797"/>
      <c r="W787" s="785">
        <f>IFERROR(VLOOKUP($Q787,'391'!$S:$AG,15,0),0)</f>
        <v>0</v>
      </c>
      <c r="X787" s="1090">
        <f t="shared" si="468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13" customFormat="1" ht="30" hidden="1" customHeight="1" x14ac:dyDescent="0.25">
      <c r="A788" s="2025"/>
      <c r="B788" s="2094"/>
      <c r="C788" s="1197"/>
      <c r="D788" s="959" t="s">
        <v>10</v>
      </c>
      <c r="E788" s="935">
        <v>45177</v>
      </c>
      <c r="F788" s="75">
        <f>$L$7-E788</f>
        <v>1084</v>
      </c>
      <c r="G788" s="64">
        <v>0</v>
      </c>
      <c r="H788" s="64"/>
      <c r="I788" s="64"/>
      <c r="J788" s="1367"/>
      <c r="K788" s="64">
        <f>IFERROR(SUMIF(INTAKE!$A:$A,$T788,INTAKE!$P:$P),0)</f>
        <v>0</v>
      </c>
      <c r="L788" s="1534">
        <f t="shared" si="485"/>
        <v>0</v>
      </c>
      <c r="M788" s="48"/>
      <c r="N788" s="163"/>
      <c r="O788" s="48"/>
      <c r="P788" s="750"/>
      <c r="Q788" s="795"/>
      <c r="R788" s="785">
        <f>IFERROR(VLOOKUP($Q788,'391'!$S:$Z,8,0),"")</f>
        <v>0</v>
      </c>
      <c r="S788" s="796"/>
      <c r="T788" s="797" t="str">
        <f>$Q$791&amp;C788&amp;E788</f>
        <v>Rodotium 80% (Bulgaria)45177</v>
      </c>
      <c r="U788" s="797"/>
      <c r="V788" s="797"/>
      <c r="W788" s="785">
        <f>IFERROR(VLOOKUP($Q788,'391'!$S:$AG,15,0),0)</f>
        <v>0</v>
      </c>
      <c r="X788" s="1090">
        <f t="shared" si="468"/>
        <v>0</v>
      </c>
      <c r="Y788" s="785"/>
      <c r="Z788" s="785"/>
      <c r="AA788" s="797"/>
      <c r="AB788" s="797"/>
      <c r="AC788" s="683"/>
      <c r="AD788" s="683"/>
      <c r="AE788" s="683"/>
      <c r="AF788" s="683"/>
      <c r="AG788" s="683"/>
      <c r="AH788" s="683"/>
      <c r="AI788" s="705"/>
      <c r="AJ788" s="705"/>
      <c r="AK788" s="705"/>
      <c r="AL788" s="705"/>
      <c r="AM788" s="705"/>
      <c r="AN788" s="705"/>
      <c r="AO788" s="705"/>
      <c r="AP788" s="705"/>
      <c r="AQ788" s="705"/>
      <c r="AR788" s="705"/>
      <c r="AS788" s="705"/>
    </row>
    <row r="789" spans="1:45" s="13" customFormat="1" ht="30" hidden="1" customHeight="1" x14ac:dyDescent="0.25">
      <c r="A789" s="2025"/>
      <c r="B789" s="2095"/>
      <c r="C789" s="1197"/>
      <c r="D789" s="959" t="s">
        <v>10</v>
      </c>
      <c r="E789" s="935">
        <v>44805</v>
      </c>
      <c r="F789" s="75">
        <f>$L$7-E789</f>
        <v>1456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5"/>
        <v>0</v>
      </c>
      <c r="M789" s="48"/>
      <c r="N789" s="163"/>
      <c r="O789" s="48"/>
      <c r="P789" s="750"/>
      <c r="Q789" s="795"/>
      <c r="R789" s="785">
        <f>IFERROR(VLOOKUP($Q789,'391'!$S:$Z,8,0),"")</f>
        <v>0</v>
      </c>
      <c r="S789" s="796"/>
      <c r="T789" s="797" t="str">
        <f>$Q$791&amp;C789&amp;E789</f>
        <v>Rodotium 80% (Bulgaria)44805</v>
      </c>
      <c r="U789" s="797"/>
      <c r="V789" s="797"/>
      <c r="W789" s="785">
        <f>IFERROR(VLOOKUP($Q789,'391'!$S:$AG,15,0),0)</f>
        <v>0</v>
      </c>
      <c r="X789" s="1090">
        <f t="shared" si="468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4" customFormat="1" ht="30" hidden="1" customHeight="1" x14ac:dyDescent="0.25">
      <c r="A790" s="2026"/>
      <c r="B790" s="2096"/>
      <c r="C790" s="106" t="s">
        <v>46</v>
      </c>
      <c r="D790" s="850" t="s">
        <v>10</v>
      </c>
      <c r="E790" s="968">
        <v>45282</v>
      </c>
      <c r="F790" s="283">
        <f>$L$7-E790</f>
        <v>979</v>
      </c>
      <c r="G790" s="58">
        <v>0</v>
      </c>
      <c r="H790" s="58"/>
      <c r="I790" s="58">
        <f>SUM(K786:K789)</f>
        <v>0</v>
      </c>
      <c r="J790" s="1365"/>
      <c r="K790" s="64">
        <f>IFERROR(SUMIF(INTAKE!$A:$A,$T790,INTAKE!$P:$P),0)</f>
        <v>0</v>
      </c>
      <c r="L790" s="1534">
        <f t="shared" si="485"/>
        <v>0</v>
      </c>
      <c r="M790" s="47"/>
      <c r="N790" s="47"/>
      <c r="O790" s="47"/>
      <c r="P790" s="740"/>
      <c r="Q790" s="795"/>
      <c r="R790" s="785">
        <f>IFERROR(VLOOKUP($Q790,'391'!$S:$Z,8,0),"")</f>
        <v>0</v>
      </c>
      <c r="S790" s="796"/>
      <c r="T790" s="797" t="str">
        <f>$Q$791&amp;C790&amp;E790</f>
        <v>Rodotium 80% (Bulgaria)Feedmill45282</v>
      </c>
      <c r="U790" s="797"/>
      <c r="V790" s="797"/>
      <c r="W790" s="785">
        <f>IFERROR(VLOOKUP($Q790,'391'!$S:$AG,15,0),0)</f>
        <v>0</v>
      </c>
      <c r="X790" s="1090">
        <f t="shared" si="468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265" customFormat="1" ht="30" hidden="1" customHeight="1" x14ac:dyDescent="0.25">
      <c r="A791" s="2022" t="s">
        <v>916</v>
      </c>
      <c r="B791" s="2023"/>
      <c r="C791" s="88"/>
      <c r="D791" s="864"/>
      <c r="E791" s="864"/>
      <c r="F791" s="865"/>
      <c r="G791" s="1297">
        <v>0</v>
      </c>
      <c r="H791" s="1344">
        <f>SUM(H786:H790)</f>
        <v>0</v>
      </c>
      <c r="I791" s="1297">
        <f>SUM(I786:I790)</f>
        <v>0</v>
      </c>
      <c r="J791" s="1297">
        <f t="shared" ref="J791:K791" si="486">SUM(J786:J790)</f>
        <v>0</v>
      </c>
      <c r="K791" s="1297">
        <f t="shared" si="486"/>
        <v>0</v>
      </c>
      <c r="L791" s="1534">
        <f t="shared" si="485"/>
        <v>0</v>
      </c>
      <c r="M791" s="59">
        <f>M785</f>
        <v>178.52166666666668</v>
      </c>
      <c r="N791" s="854">
        <f>IFERROR(L791/M791,0)</f>
        <v>0</v>
      </c>
      <c r="O791" s="59">
        <f>O785</f>
        <v>71.333333333333329</v>
      </c>
      <c r="P791" s="880">
        <f>IFERROR(L791/O791,0)</f>
        <v>0</v>
      </c>
      <c r="Q791" s="820" t="s">
        <v>915</v>
      </c>
      <c r="R791" s="785" t="str">
        <f>IFERROR(VLOOKUP($Q791,'391'!$S:$Z,8,0),"0")</f>
        <v>0</v>
      </c>
      <c r="S791" s="819"/>
      <c r="T791" s="797"/>
      <c r="U791" s="797"/>
      <c r="V791" s="797"/>
      <c r="W791" s="785">
        <f>IFERROR(VLOOKUP($Q791,'391'!$S:$AG,15,0),0)</f>
        <v>0</v>
      </c>
      <c r="X791" s="1090">
        <f t="shared" si="468"/>
        <v>0</v>
      </c>
      <c r="Y791" s="785"/>
      <c r="Z791" s="785"/>
      <c r="AA791" s="797"/>
      <c r="AB791" s="797"/>
      <c r="AC791" s="551"/>
      <c r="AD791" s="551"/>
      <c r="AE791" s="551"/>
      <c r="AF791" s="551"/>
      <c r="AG791" s="551"/>
      <c r="AH791" s="551"/>
      <c r="AI791" s="704"/>
      <c r="AJ791" s="704"/>
      <c r="AK791" s="704"/>
      <c r="AL791" s="704"/>
      <c r="AM791" s="704"/>
      <c r="AN791" s="704"/>
      <c r="AO791" s="704"/>
      <c r="AP791" s="704"/>
      <c r="AQ791" s="704"/>
      <c r="AR791" s="704"/>
      <c r="AS791" s="704"/>
    </row>
    <row r="792" spans="1:45" s="13" customFormat="1" ht="30" hidden="1" customHeight="1" x14ac:dyDescent="0.25">
      <c r="A792" s="2024" t="str">
        <f>IF(L799=0,"",MAX($A$16:A791)+1)</f>
        <v/>
      </c>
      <c r="B792" s="2027" t="s">
        <v>238</v>
      </c>
      <c r="C792" s="160" t="s">
        <v>1177</v>
      </c>
      <c r="D792" s="959" t="s">
        <v>10</v>
      </c>
      <c r="E792" s="935">
        <v>44902</v>
      </c>
      <c r="F792" s="75">
        <f t="shared" ref="F792:F798" si="487">$L$7-E792</f>
        <v>1359</v>
      </c>
      <c r="G792" s="64">
        <v>0</v>
      </c>
      <c r="H792" s="64"/>
      <c r="I792" s="64"/>
      <c r="J792" s="1367"/>
      <c r="K792" s="64">
        <f>IFERROR(SUMIF(INTAKE!$A:$A,$T792,INTAKE!$P:$P),0)</f>
        <v>0</v>
      </c>
      <c r="L792" s="1534">
        <f t="shared" si="485"/>
        <v>0</v>
      </c>
      <c r="M792" s="50"/>
      <c r="N792" s="167"/>
      <c r="O792" s="50"/>
      <c r="P792" s="744"/>
      <c r="Q792" s="818"/>
      <c r="R792" s="785">
        <f>IFERROR(VLOOKUP($Q792,'391'!$S:$Z,8,0),"")</f>
        <v>0</v>
      </c>
      <c r="S792" s="796"/>
      <c r="T792" s="797" t="str">
        <f t="shared" ref="T792:T798" si="488">$Q$799&amp;C792&amp;E792</f>
        <v>Pulmotil PremixD344902</v>
      </c>
      <c r="U792" s="797"/>
      <c r="V792" s="797"/>
      <c r="W792" s="785">
        <f>IFERROR(VLOOKUP($Q792,'391'!$S:$AG,15,0),0)</f>
        <v>0</v>
      </c>
      <c r="X792" s="1090">
        <f t="shared" si="468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5"/>
      <c r="B793" s="2028"/>
      <c r="C793" s="160" t="s">
        <v>524</v>
      </c>
      <c r="D793" s="959" t="s">
        <v>10</v>
      </c>
      <c r="E793" s="935">
        <v>44281</v>
      </c>
      <c r="F793" s="75">
        <f t="shared" si="487"/>
        <v>1980</v>
      </c>
      <c r="G793" s="64">
        <v>0</v>
      </c>
      <c r="H793" s="64"/>
      <c r="I793" s="64"/>
      <c r="J793" s="1367"/>
      <c r="K793" s="64"/>
      <c r="L793" s="1534">
        <f t="shared" si="485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88"/>
        <v>Pulmotil PremixX044281</v>
      </c>
      <c r="U793" s="797"/>
      <c r="V793" s="797"/>
      <c r="W793" s="785">
        <f>IFERROR(VLOOKUP($Q793,'391'!$S:$AG,15,0),0)</f>
        <v>0</v>
      </c>
      <c r="X793" s="1090">
        <f t="shared" si="468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5"/>
      <c r="B794" s="2028"/>
      <c r="C794" s="160" t="s">
        <v>524</v>
      </c>
      <c r="D794" s="959" t="s">
        <v>10</v>
      </c>
      <c r="E794" s="935">
        <v>44281</v>
      </c>
      <c r="F794" s="75">
        <f t="shared" si="487"/>
        <v>1980</v>
      </c>
      <c r="G794" s="64">
        <v>0</v>
      </c>
      <c r="H794" s="64"/>
      <c r="I794" s="64"/>
      <c r="J794" s="1367"/>
      <c r="K794" s="64"/>
      <c r="L794" s="1534">
        <f t="shared" si="485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88"/>
        <v>Pulmotil PremixX044281</v>
      </c>
      <c r="U794" s="797"/>
      <c r="V794" s="797"/>
      <c r="W794" s="785">
        <f>IFERROR(VLOOKUP($Q794,'391'!$S:$AG,15,0),0)</f>
        <v>0</v>
      </c>
      <c r="X794" s="1090">
        <f t="shared" si="468"/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3" customFormat="1" ht="30" hidden="1" customHeight="1" x14ac:dyDescent="0.25">
      <c r="A795" s="2025"/>
      <c r="B795" s="2028"/>
      <c r="C795" s="160" t="s">
        <v>524</v>
      </c>
      <c r="D795" s="959" t="s">
        <v>10</v>
      </c>
      <c r="E795" s="935">
        <v>44216</v>
      </c>
      <c r="F795" s="75">
        <f t="shared" si="487"/>
        <v>2045</v>
      </c>
      <c r="G795" s="64">
        <v>0</v>
      </c>
      <c r="H795" s="64"/>
      <c r="I795" s="64"/>
      <c r="J795" s="1367"/>
      <c r="K795" s="64"/>
      <c r="L795" s="1534">
        <f t="shared" si="485"/>
        <v>0</v>
      </c>
      <c r="M795" s="48"/>
      <c r="N795" s="163"/>
      <c r="O795" s="48"/>
      <c r="P795" s="738"/>
      <c r="Q795" s="818"/>
      <c r="R795" s="785">
        <f>IFERROR(VLOOKUP($Q795,'391'!$S:$Z,8,0),"")</f>
        <v>0</v>
      </c>
      <c r="S795" s="796"/>
      <c r="T795" s="797" t="str">
        <f t="shared" si="488"/>
        <v>Pulmotil PremixX044216</v>
      </c>
      <c r="U795" s="797"/>
      <c r="V795" s="797"/>
      <c r="W795" s="785">
        <f>IFERROR(VLOOKUP($Q795,'391'!$S:$AG,15,0),0)</f>
        <v>0</v>
      </c>
      <c r="X795" s="1090">
        <f t="shared" si="468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13" customFormat="1" ht="30" hidden="1" customHeight="1" x14ac:dyDescent="0.25">
      <c r="A796" s="2025"/>
      <c r="B796" s="2028"/>
      <c r="C796" s="160" t="s">
        <v>227</v>
      </c>
      <c r="D796" s="959" t="s">
        <v>10</v>
      </c>
      <c r="E796" s="935">
        <v>43553</v>
      </c>
      <c r="F796" s="75">
        <f t="shared" si="487"/>
        <v>2708</v>
      </c>
      <c r="G796" s="64">
        <v>0</v>
      </c>
      <c r="H796" s="64"/>
      <c r="I796" s="64"/>
      <c r="J796" s="1367"/>
      <c r="K796" s="64"/>
      <c r="L796" s="1534">
        <f t="shared" si="485"/>
        <v>0</v>
      </c>
      <c r="M796" s="48"/>
      <c r="N796" s="163"/>
      <c r="O796" s="48"/>
      <c r="P796" s="738"/>
      <c r="Q796" s="818"/>
      <c r="R796" s="785">
        <f>IFERROR(VLOOKUP($Q796,'391'!$S:$Z,8,0),"")</f>
        <v>0</v>
      </c>
      <c r="S796" s="796"/>
      <c r="T796" s="797" t="str">
        <f t="shared" si="488"/>
        <v>Pulmotil PremixV9.143553</v>
      </c>
      <c r="U796" s="797"/>
      <c r="V796" s="797"/>
      <c r="W796" s="785">
        <f>IFERROR(VLOOKUP($Q796,'391'!$S:$AG,15,0),0)</f>
        <v>0</v>
      </c>
      <c r="X796" s="1090">
        <f t="shared" si="468"/>
        <v>0</v>
      </c>
      <c r="Y796" s="785"/>
      <c r="Z796" s="785"/>
      <c r="AA796" s="797"/>
      <c r="AB796" s="797"/>
      <c r="AC796" s="683"/>
      <c r="AD796" s="683"/>
      <c r="AE796" s="683"/>
      <c r="AF796" s="683"/>
      <c r="AG796" s="683"/>
      <c r="AH796" s="683"/>
      <c r="AI796" s="705"/>
      <c r="AJ796" s="705"/>
      <c r="AK796" s="705"/>
      <c r="AL796" s="705"/>
      <c r="AM796" s="705"/>
      <c r="AN796" s="705"/>
      <c r="AO796" s="705"/>
      <c r="AP796" s="705"/>
      <c r="AQ796" s="705"/>
      <c r="AR796" s="705"/>
      <c r="AS796" s="705"/>
    </row>
    <row r="797" spans="1:45" s="13" customFormat="1" ht="30" hidden="1" customHeight="1" x14ac:dyDescent="0.25">
      <c r="A797" s="2025"/>
      <c r="B797" s="2028"/>
      <c r="C797" s="160" t="s">
        <v>283</v>
      </c>
      <c r="D797" s="959" t="s">
        <v>10</v>
      </c>
      <c r="E797" s="935">
        <v>43021</v>
      </c>
      <c r="F797" s="75">
        <f t="shared" si="487"/>
        <v>3240</v>
      </c>
      <c r="G797" s="64">
        <v>0</v>
      </c>
      <c r="H797" s="64"/>
      <c r="I797" s="64"/>
      <c r="J797" s="1367"/>
      <c r="K797" s="64"/>
      <c r="L797" s="1534">
        <f t="shared" si="485"/>
        <v>0</v>
      </c>
      <c r="M797" s="48"/>
      <c r="N797" s="163"/>
      <c r="O797" s="48"/>
      <c r="P797" s="738"/>
      <c r="Q797" s="818"/>
      <c r="R797" s="785">
        <f>IFERROR(VLOOKUP($Q797,'391'!$S:$Z,8,0),"")</f>
        <v>0</v>
      </c>
      <c r="S797" s="796"/>
      <c r="T797" s="797" t="str">
        <f t="shared" si="488"/>
        <v>Pulmotil PremixA19.343021</v>
      </c>
      <c r="U797" s="797"/>
      <c r="V797" s="797"/>
      <c r="W797" s="785">
        <f>IFERROR(VLOOKUP($Q797,'391'!$S:$AG,15,0),0)</f>
        <v>0</v>
      </c>
      <c r="X797" s="1090">
        <f t="shared" ref="X797:X816" si="489">G797-W797</f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4" customFormat="1" ht="30" hidden="1" customHeight="1" x14ac:dyDescent="0.25">
      <c r="A798" s="2026"/>
      <c r="B798" s="2029"/>
      <c r="C798" s="106" t="s">
        <v>46</v>
      </c>
      <c r="D798" s="850" t="s">
        <v>10</v>
      </c>
      <c r="E798" s="968">
        <v>44902</v>
      </c>
      <c r="F798" s="283">
        <f t="shared" si="487"/>
        <v>1359</v>
      </c>
      <c r="G798" s="58">
        <v>0</v>
      </c>
      <c r="H798" s="58"/>
      <c r="I798" s="58">
        <f>SUM(K792:K795)</f>
        <v>0</v>
      </c>
      <c r="J798" s="1365">
        <f>usage!I148</f>
        <v>0</v>
      </c>
      <c r="K798" s="58"/>
      <c r="L798" s="1534">
        <f t="shared" si="485"/>
        <v>0</v>
      </c>
      <c r="M798" s="47"/>
      <c r="N798" s="920"/>
      <c r="O798" s="47"/>
      <c r="P798" s="740"/>
      <c r="Q798" s="818"/>
      <c r="R798" s="785">
        <f>IFERROR(VLOOKUP($Q798,'391'!$S:$Z,8,0),"")</f>
        <v>0</v>
      </c>
      <c r="S798" s="796"/>
      <c r="T798" s="797" t="str">
        <f t="shared" si="488"/>
        <v>Pulmotil PremixFeedmill44902</v>
      </c>
      <c r="U798" s="797"/>
      <c r="V798" s="797"/>
      <c r="W798" s="785">
        <f>IFERROR(VLOOKUP($Q798,'391'!$S:$AG,15,0),0)</f>
        <v>0</v>
      </c>
      <c r="X798" s="1090">
        <f t="shared" si="489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265" customFormat="1" ht="30" hidden="1" customHeight="1" x14ac:dyDescent="0.25">
      <c r="A799" s="2022" t="s">
        <v>222</v>
      </c>
      <c r="B799" s="2023"/>
      <c r="C799" s="88"/>
      <c r="D799" s="864"/>
      <c r="E799" s="864"/>
      <c r="F799" s="865"/>
      <c r="G799" s="1337">
        <v>0</v>
      </c>
      <c r="H799" s="1337">
        <f t="shared" ref="H799:K799" si="490">SUM(H792:H798)</f>
        <v>0</v>
      </c>
      <c r="I799" s="1337">
        <f t="shared" si="490"/>
        <v>0</v>
      </c>
      <c r="J799" s="1337">
        <f t="shared" si="490"/>
        <v>0</v>
      </c>
      <c r="K799" s="1337">
        <f t="shared" si="490"/>
        <v>0</v>
      </c>
      <c r="L799" s="1534">
        <f t="shared" si="485"/>
        <v>0</v>
      </c>
      <c r="M799" s="59">
        <f>IFERROR((S799/$S$2),"")</f>
        <v>64.666666666666671</v>
      </c>
      <c r="N799" s="854">
        <f>IFERROR((L799/M799),0)</f>
        <v>0</v>
      </c>
      <c r="O799" s="59">
        <f>IFERROR(SUMIF(ETM!$A:$A,$Q799,ETM!$E:$E),"")</f>
        <v>0</v>
      </c>
      <c r="P799" s="880">
        <f>IFERROR(L799/O799,0)</f>
        <v>0</v>
      </c>
      <c r="Q799" s="814" t="s">
        <v>661</v>
      </c>
      <c r="R799" s="785" t="str">
        <f>IFERROR(VLOOKUP($Q799,'391'!$S:$Z,8,0),"0")</f>
        <v>0</v>
      </c>
      <c r="S799" s="796">
        <f>+R799+R805+R811</f>
        <v>388</v>
      </c>
      <c r="T799" s="797"/>
      <c r="U799" s="797"/>
      <c r="V799" s="797"/>
      <c r="W799" s="785">
        <f>IFERROR(VLOOKUP($Q799,'391'!$S:$AG,15,0),0)</f>
        <v>0</v>
      </c>
      <c r="X799" s="1090">
        <f t="shared" si="489"/>
        <v>0</v>
      </c>
      <c r="Y799" s="785"/>
      <c r="Z799" s="785"/>
      <c r="AA799" s="797"/>
      <c r="AB799" s="797"/>
      <c r="AC799" s="551"/>
      <c r="AD799" s="551"/>
      <c r="AE799" s="551"/>
      <c r="AF799" s="551"/>
      <c r="AG799" s="551"/>
      <c r="AH799" s="551"/>
      <c r="AI799" s="704"/>
      <c r="AJ799" s="704"/>
      <c r="AK799" s="704"/>
      <c r="AL799" s="704"/>
      <c r="AM799" s="704"/>
      <c r="AN799" s="704"/>
      <c r="AO799" s="704"/>
      <c r="AP799" s="704"/>
      <c r="AQ799" s="704"/>
      <c r="AR799" s="704"/>
      <c r="AS799" s="704"/>
    </row>
    <row r="800" spans="1:45" s="13" customFormat="1" ht="30" hidden="1" customHeight="1" x14ac:dyDescent="0.25">
      <c r="A800" s="2024" t="str">
        <f>IF(L805=0,"",MAX($A$16:A799)+1)</f>
        <v/>
      </c>
      <c r="B800" s="2027" t="s">
        <v>875</v>
      </c>
      <c r="C800" s="160" t="s">
        <v>1313</v>
      </c>
      <c r="D800" s="959" t="s">
        <v>10</v>
      </c>
      <c r="E800" s="935">
        <v>45787</v>
      </c>
      <c r="F800" s="75">
        <f>$L$7-E800</f>
        <v>474</v>
      </c>
      <c r="G800" s="64">
        <v>0</v>
      </c>
      <c r="H800" s="64"/>
      <c r="I800" s="64"/>
      <c r="J800" s="1367"/>
      <c r="K800" s="64">
        <f>IFERROR(SUMIF(INTAKE!$A:$A,$T800,INTAKE!$P:$P),0)</f>
        <v>0</v>
      </c>
      <c r="L800" s="1534">
        <f t="shared" si="485"/>
        <v>0</v>
      </c>
      <c r="M800" s="50"/>
      <c r="N800" s="167"/>
      <c r="O800" s="50"/>
      <c r="P800" s="744"/>
      <c r="Q800" s="818"/>
      <c r="R800" s="785">
        <f>IFERROR(VLOOKUP($Q800,'391'!$S:$Z,8,0),"")</f>
        <v>0</v>
      </c>
      <c r="S800" s="796"/>
      <c r="T800" s="797" t="str">
        <f>$Q$805&amp;C800&amp;E800</f>
        <v>Miclozan 200 (Italy)E245787</v>
      </c>
      <c r="U800" s="797"/>
      <c r="V800" s="797"/>
      <c r="W800" s="785">
        <f>IFERROR(VLOOKUP($Q800,'391'!$S:$AG,15,0),0)</f>
        <v>0</v>
      </c>
      <c r="X800" s="1090">
        <f t="shared" si="489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3" customFormat="1" ht="30" hidden="1" customHeight="1" x14ac:dyDescent="0.25">
      <c r="A801" s="2025"/>
      <c r="B801" s="2028"/>
      <c r="C801" s="160"/>
      <c r="D801" s="959" t="s">
        <v>10</v>
      </c>
      <c r="E801" s="935">
        <v>44274</v>
      </c>
      <c r="F801" s="75">
        <f>$L$7-E801</f>
        <v>1987</v>
      </c>
      <c r="G801" s="64">
        <v>0</v>
      </c>
      <c r="H801" s="64"/>
      <c r="I801" s="64"/>
      <c r="J801" s="1367"/>
      <c r="K801" s="64"/>
      <c r="L801" s="1534">
        <f t="shared" si="485"/>
        <v>0</v>
      </c>
      <c r="M801" s="48"/>
      <c r="N801" s="163"/>
      <c r="O801" s="48"/>
      <c r="P801" s="738"/>
      <c r="Q801" s="818"/>
      <c r="R801" s="785">
        <f>IFERROR(VLOOKUP($Q801,'391'!$S:$Z,8,0),"")</f>
        <v>0</v>
      </c>
      <c r="S801" s="796"/>
      <c r="T801" s="797" t="str">
        <f>$Q$805&amp;C801&amp;E801</f>
        <v>Miclozan 200 (Italy)44274</v>
      </c>
      <c r="U801" s="797"/>
      <c r="V801" s="797"/>
      <c r="W801" s="785">
        <f>IFERROR(VLOOKUP($Q801,'391'!$S:$AG,15,0),0)</f>
        <v>0</v>
      </c>
      <c r="X801" s="1090">
        <f t="shared" si="489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13" customFormat="1" ht="30" hidden="1" customHeight="1" x14ac:dyDescent="0.25">
      <c r="A802" s="2025"/>
      <c r="B802" s="2028"/>
      <c r="C802" s="160"/>
      <c r="D802" s="959" t="s">
        <v>10</v>
      </c>
      <c r="E802" s="935">
        <v>44281</v>
      </c>
      <c r="F802" s="75">
        <f>$L$7-E802</f>
        <v>1980</v>
      </c>
      <c r="G802" s="64">
        <v>0</v>
      </c>
      <c r="H802" s="64"/>
      <c r="I802" s="64"/>
      <c r="J802" s="1367"/>
      <c r="K802" s="64"/>
      <c r="L802" s="1534">
        <f t="shared" si="485"/>
        <v>0</v>
      </c>
      <c r="M802" s="48"/>
      <c r="N802" s="163"/>
      <c r="O802" s="48"/>
      <c r="P802" s="738"/>
      <c r="Q802" s="818"/>
      <c r="R802" s="785">
        <f>IFERROR(VLOOKUP($Q802,'391'!$S:$Z,8,0),"")</f>
        <v>0</v>
      </c>
      <c r="S802" s="796"/>
      <c r="T802" s="797" t="str">
        <f>$Q$805&amp;C802&amp;E802</f>
        <v>Miclozan 200 (Italy)44281</v>
      </c>
      <c r="U802" s="797"/>
      <c r="V802" s="797"/>
      <c r="W802" s="785">
        <f>IFERROR(VLOOKUP($Q802,'391'!$S:$AG,15,0),0)</f>
        <v>0</v>
      </c>
      <c r="X802" s="1090">
        <f t="shared" si="489"/>
        <v>0</v>
      </c>
      <c r="Y802" s="785"/>
      <c r="Z802" s="785"/>
      <c r="AA802" s="797"/>
      <c r="AB802" s="797"/>
      <c r="AC802" s="683"/>
      <c r="AD802" s="683"/>
      <c r="AE802" s="683"/>
      <c r="AF802" s="683"/>
      <c r="AG802" s="683"/>
      <c r="AH802" s="683"/>
      <c r="AI802" s="705"/>
      <c r="AJ802" s="705"/>
      <c r="AK802" s="705"/>
      <c r="AL802" s="705"/>
      <c r="AM802" s="705"/>
      <c r="AN802" s="705"/>
      <c r="AO802" s="705"/>
      <c r="AP802" s="705"/>
      <c r="AQ802" s="705"/>
      <c r="AR802" s="705"/>
      <c r="AS802" s="705"/>
    </row>
    <row r="803" spans="1:45" s="13" customFormat="1" ht="30" hidden="1" customHeight="1" x14ac:dyDescent="0.25">
      <c r="A803" s="2025"/>
      <c r="B803" s="2028"/>
      <c r="C803" s="160"/>
      <c r="D803" s="959" t="s">
        <v>10</v>
      </c>
      <c r="E803" s="935">
        <v>44216</v>
      </c>
      <c r="F803" s="75">
        <f>$L$7-E803</f>
        <v>2045</v>
      </c>
      <c r="G803" s="64">
        <v>0</v>
      </c>
      <c r="H803" s="64"/>
      <c r="I803" s="64"/>
      <c r="J803" s="1367"/>
      <c r="K803" s="64"/>
      <c r="L803" s="1534">
        <f t="shared" si="485"/>
        <v>0</v>
      </c>
      <c r="M803" s="48"/>
      <c r="N803" s="163"/>
      <c r="O803" s="48"/>
      <c r="P803" s="738"/>
      <c r="Q803" s="818"/>
      <c r="R803" s="785">
        <f>IFERROR(VLOOKUP($Q803,'391'!$S:$Z,8,0),"")</f>
        <v>0</v>
      </c>
      <c r="S803" s="796"/>
      <c r="T803" s="797" t="str">
        <f>$Q$805&amp;C803&amp;E803</f>
        <v>Miclozan 200 (Italy)44216</v>
      </c>
      <c r="U803" s="797"/>
      <c r="V803" s="797"/>
      <c r="W803" s="785">
        <f>IFERROR(VLOOKUP($Q803,'391'!$S:$AG,15,0),0)</f>
        <v>0</v>
      </c>
      <c r="X803" s="1090">
        <f t="shared" si="489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4" customFormat="1" ht="30" hidden="1" customHeight="1" x14ac:dyDescent="0.25">
      <c r="A804" s="2026"/>
      <c r="B804" s="2029"/>
      <c r="C804" s="106" t="s">
        <v>46</v>
      </c>
      <c r="D804" s="850" t="s">
        <v>10</v>
      </c>
      <c r="E804" s="968">
        <v>45787</v>
      </c>
      <c r="F804" s="283">
        <f>$L$7-E804</f>
        <v>474</v>
      </c>
      <c r="G804" s="58">
        <v>0</v>
      </c>
      <c r="H804" s="58"/>
      <c r="I804" s="58">
        <f>SUM(K800:K803)</f>
        <v>0</v>
      </c>
      <c r="J804" s="1365">
        <f>usage!I149</f>
        <v>0</v>
      </c>
      <c r="K804" s="58"/>
      <c r="L804" s="1534">
        <f t="shared" si="485"/>
        <v>0</v>
      </c>
      <c r="M804" s="47"/>
      <c r="N804" s="920"/>
      <c r="O804" s="47"/>
      <c r="P804" s="740"/>
      <c r="Q804" s="818"/>
      <c r="R804" s="785">
        <f>IFERROR(VLOOKUP($Q804,'391'!$S:$Z,8,0),"")</f>
        <v>0</v>
      </c>
      <c r="S804" s="796"/>
      <c r="T804" s="797" t="str">
        <f>$Q$805&amp;C804&amp;E804</f>
        <v>Miclozan 200 (Italy)Feedmill45787</v>
      </c>
      <c r="U804" s="797"/>
      <c r="V804" s="797"/>
      <c r="W804" s="785">
        <f>IFERROR(VLOOKUP($Q804,'391'!$S:$AG,15,0),0)</f>
        <v>0</v>
      </c>
      <c r="X804" s="1090">
        <f t="shared" si="489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265" customFormat="1" ht="30" hidden="1" customHeight="1" x14ac:dyDescent="0.25">
      <c r="A805" s="2022" t="s">
        <v>876</v>
      </c>
      <c r="B805" s="2023"/>
      <c r="C805" s="88"/>
      <c r="D805" s="864"/>
      <c r="E805" s="864"/>
      <c r="F805" s="865"/>
      <c r="G805" s="1337">
        <v>0</v>
      </c>
      <c r="H805" s="1337">
        <f t="shared" ref="H805:I805" si="491">SUM(H800:H804)</f>
        <v>0</v>
      </c>
      <c r="I805" s="1337">
        <f t="shared" si="491"/>
        <v>0</v>
      </c>
      <c r="J805" s="1337">
        <f t="shared" ref="J805:L805" si="492">SUM(J800:J804)</f>
        <v>0</v>
      </c>
      <c r="K805" s="1337">
        <f t="shared" si="492"/>
        <v>0</v>
      </c>
      <c r="L805" s="1337">
        <f t="shared" si="492"/>
        <v>0</v>
      </c>
      <c r="M805" s="59">
        <f>+M799</f>
        <v>64.666666666666671</v>
      </c>
      <c r="N805" s="854">
        <f>IFERROR((L805/M805),0)</f>
        <v>0</v>
      </c>
      <c r="O805" s="59">
        <f>IFERROR(SUMIF(ETM!$A:$A,$Q805,ETM!$E:$E),"")</f>
        <v>0</v>
      </c>
      <c r="P805" s="880">
        <f>IFERROR(L805/O805,0)</f>
        <v>0</v>
      </c>
      <c r="Q805" s="814" t="s">
        <v>875</v>
      </c>
      <c r="R805" s="785" t="str">
        <f>IFERROR(VLOOKUP($Q805,'391'!$S:$Z,8,0),"0")</f>
        <v>0</v>
      </c>
      <c r="S805" s="796"/>
      <c r="T805" s="797"/>
      <c r="U805" s="797"/>
      <c r="V805" s="797"/>
      <c r="W805" s="785">
        <f>IFERROR(VLOOKUP($Q805,'391'!$S:$AG,15,0),0)</f>
        <v>0</v>
      </c>
      <c r="X805" s="1090">
        <f t="shared" si="489"/>
        <v>0</v>
      </c>
      <c r="Y805" s="785"/>
      <c r="Z805" s="785"/>
      <c r="AA805" s="797"/>
      <c r="AB805" s="797"/>
      <c r="AC805" s="551"/>
      <c r="AD805" s="551"/>
      <c r="AE805" s="551"/>
      <c r="AF805" s="551"/>
      <c r="AG805" s="551"/>
      <c r="AH805" s="551"/>
      <c r="AI805" s="704"/>
      <c r="AJ805" s="704"/>
      <c r="AK805" s="704"/>
      <c r="AL805" s="704"/>
      <c r="AM805" s="704"/>
      <c r="AN805" s="704"/>
      <c r="AO805" s="704"/>
      <c r="AP805" s="704"/>
      <c r="AQ805" s="704"/>
      <c r="AR805" s="704"/>
      <c r="AS805" s="704"/>
    </row>
    <row r="806" spans="1:45" s="13" customFormat="1" ht="30" hidden="1" customHeight="1" x14ac:dyDescent="0.25">
      <c r="A806" s="2024">
        <f>IF(L811=0,"",MAX($A$16:A805)+1)</f>
        <v>47</v>
      </c>
      <c r="B806" s="2061" t="s">
        <v>917</v>
      </c>
      <c r="C806" s="160"/>
      <c r="D806" s="959" t="s">
        <v>10</v>
      </c>
      <c r="E806" s="935">
        <v>46192</v>
      </c>
      <c r="F806" s="75">
        <f>$L$7-E806</f>
        <v>69</v>
      </c>
      <c r="G806" s="64">
        <v>0</v>
      </c>
      <c r="H806" s="64"/>
      <c r="I806" s="64"/>
      <c r="J806" s="1367"/>
      <c r="K806" s="64">
        <f>IFERROR(SUMIF(INTAKE!$A:$A,$T806,INTAKE!$P:$P),0)</f>
        <v>0</v>
      </c>
      <c r="L806" s="1703">
        <f t="shared" si="485"/>
        <v>0</v>
      </c>
      <c r="M806" s="50"/>
      <c r="N806" s="167"/>
      <c r="O806" s="50"/>
      <c r="P806" s="744"/>
      <c r="Q806" s="818"/>
      <c r="R806" s="785">
        <f>IFERROR(VLOOKUP($Q806,'391'!$S:$Z,8,0),"")</f>
        <v>0</v>
      </c>
      <c r="S806" s="796"/>
      <c r="T806" s="797" t="str">
        <f>$Q$811&amp;C806&amp;E806</f>
        <v>Tilmovet 20% Granular Premix (Bulgaria)46192</v>
      </c>
      <c r="U806" s="797"/>
      <c r="V806" s="797"/>
      <c r="W806" s="785">
        <f>IFERROR(VLOOKUP($Q806,'391'!$S:$AG,15,0),0)</f>
        <v>0</v>
      </c>
      <c r="X806" s="1090">
        <f t="shared" si="489"/>
        <v>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3" customFormat="1" ht="30" customHeight="1" x14ac:dyDescent="0.25">
      <c r="A807" s="2025"/>
      <c r="B807" s="2062"/>
      <c r="C807" s="160" t="s">
        <v>1313</v>
      </c>
      <c r="D807" s="959" t="s">
        <v>10</v>
      </c>
      <c r="E807" s="935">
        <v>46247</v>
      </c>
      <c r="F807" s="75">
        <f>$L$7-E807</f>
        <v>14</v>
      </c>
      <c r="G807" s="64">
        <v>1020</v>
      </c>
      <c r="H807" s="64"/>
      <c r="I807" s="64"/>
      <c r="J807" s="1367"/>
      <c r="K807" s="64">
        <f>IFERROR(SUMIF(INTAKE!$A:$A,$T807,INTAKE!$P:$P),0)</f>
        <v>80</v>
      </c>
      <c r="L807" s="1703">
        <f t="shared" si="485"/>
        <v>940</v>
      </c>
      <c r="M807" s="48"/>
      <c r="N807" s="163"/>
      <c r="O807" s="48"/>
      <c r="P807" s="738"/>
      <c r="Q807" s="818"/>
      <c r="R807" s="785">
        <f>IFERROR(VLOOKUP($Q807,'391'!$S:$Z,8,0),"")</f>
        <v>0</v>
      </c>
      <c r="S807" s="796"/>
      <c r="T807" s="797" t="str">
        <f>$Q$811&amp;C807&amp;E807</f>
        <v>Tilmovet 20% Granular Premix (Bulgaria)E246247</v>
      </c>
      <c r="U807" s="797"/>
      <c r="V807" s="797"/>
      <c r="W807" s="785">
        <f>IFERROR(VLOOKUP($Q807,'391'!$S:$AG,15,0),0)</f>
        <v>0</v>
      </c>
      <c r="X807" s="1090">
        <f t="shared" si="489"/>
        <v>1020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13" customFormat="1" ht="30" hidden="1" customHeight="1" x14ac:dyDescent="0.25">
      <c r="A808" s="2025"/>
      <c r="B808" s="2062"/>
      <c r="C808" s="160"/>
      <c r="D808" s="959" t="s">
        <v>10</v>
      </c>
      <c r="E808" s="935">
        <v>46247</v>
      </c>
      <c r="F808" s="75">
        <f>$L$7-E808</f>
        <v>14</v>
      </c>
      <c r="G808" s="64">
        <v>0</v>
      </c>
      <c r="H808" s="64"/>
      <c r="I808" s="64"/>
      <c r="J808" s="1367"/>
      <c r="K808" s="64">
        <f>IFERROR(SUMIF(INTAKE!$A:$A,$T808,INTAKE!$P:$P),0)</f>
        <v>0</v>
      </c>
      <c r="L808" s="1703">
        <f t="shared" si="485"/>
        <v>0</v>
      </c>
      <c r="M808" s="48"/>
      <c r="N808" s="163"/>
      <c r="O808" s="48"/>
      <c r="P808" s="738"/>
      <c r="Q808" s="818"/>
      <c r="R808" s="785">
        <f>IFERROR(VLOOKUP($Q808,'391'!$S:$Z,8,0),"")</f>
        <v>0</v>
      </c>
      <c r="S808" s="796"/>
      <c r="T808" s="797" t="str">
        <f>$Q$811&amp;C808&amp;E808</f>
        <v>Tilmovet 20% Granular Premix (Bulgaria)46247</v>
      </c>
      <c r="U808" s="797"/>
      <c r="V808" s="797"/>
      <c r="W808" s="785">
        <f>IFERROR(VLOOKUP($Q808,'391'!$S:$AG,15,0),0)</f>
        <v>0</v>
      </c>
      <c r="X808" s="1090">
        <f t="shared" si="489"/>
        <v>0</v>
      </c>
      <c r="Y808" s="785"/>
      <c r="Z808" s="785"/>
      <c r="AA808" s="797"/>
      <c r="AB808" s="797"/>
      <c r="AC808" s="683"/>
      <c r="AD808" s="683"/>
      <c r="AE808" s="683"/>
      <c r="AF808" s="683"/>
      <c r="AG808" s="683"/>
      <c r="AH808" s="683"/>
      <c r="AI808" s="705"/>
      <c r="AJ808" s="705"/>
      <c r="AK808" s="705"/>
      <c r="AL808" s="705"/>
      <c r="AM808" s="705"/>
      <c r="AN808" s="705"/>
      <c r="AO808" s="705"/>
      <c r="AP808" s="705"/>
      <c r="AQ808" s="705"/>
      <c r="AR808" s="705"/>
      <c r="AS808" s="705"/>
    </row>
    <row r="809" spans="1:45" s="13" customFormat="1" ht="30" hidden="1" customHeight="1" x14ac:dyDescent="0.25">
      <c r="A809" s="2025"/>
      <c r="B809" s="2063"/>
      <c r="C809" s="160"/>
      <c r="D809" s="959" t="s">
        <v>10</v>
      </c>
      <c r="E809" s="935">
        <v>46213</v>
      </c>
      <c r="F809" s="75">
        <f>$L$7-E809</f>
        <v>48</v>
      </c>
      <c r="G809" s="64">
        <v>0</v>
      </c>
      <c r="H809" s="64"/>
      <c r="I809" s="64"/>
      <c r="J809" s="1367"/>
      <c r="K809" s="64">
        <f>IFERROR(SUMIF(INTAKE!$A:$A,$T809,INTAKE!$P:$P),0)</f>
        <v>0</v>
      </c>
      <c r="L809" s="1703">
        <f t="shared" si="485"/>
        <v>0</v>
      </c>
      <c r="M809" s="48"/>
      <c r="N809" s="163"/>
      <c r="O809" s="48"/>
      <c r="P809" s="738"/>
      <c r="Q809" s="818"/>
      <c r="R809" s="785">
        <f>IFERROR(VLOOKUP($Q809,'391'!$S:$Z,8,0),"")</f>
        <v>0</v>
      </c>
      <c r="S809" s="796"/>
      <c r="T809" s="797" t="str">
        <f>$Q$811&amp;C809&amp;E809</f>
        <v>Tilmovet 20% Granular Premix (Bulgaria)46213</v>
      </c>
      <c r="U809" s="797"/>
      <c r="V809" s="797"/>
      <c r="W809" s="785">
        <f>IFERROR(VLOOKUP($Q809,'391'!$S:$AG,15,0),0)</f>
        <v>0</v>
      </c>
      <c r="X809" s="1090">
        <f t="shared" si="489"/>
        <v>0</v>
      </c>
      <c r="Y809" s="785"/>
      <c r="Z809" s="785"/>
      <c r="AA809" s="797"/>
      <c r="AB809" s="797"/>
      <c r="AC809" s="683"/>
      <c r="AD809" s="683"/>
      <c r="AE809" s="683"/>
      <c r="AF809" s="683"/>
      <c r="AG809" s="683"/>
      <c r="AH809" s="683"/>
      <c r="AI809" s="705"/>
      <c r="AJ809" s="705"/>
      <c r="AK809" s="705"/>
      <c r="AL809" s="705"/>
      <c r="AM809" s="705"/>
      <c r="AN809" s="705"/>
      <c r="AO809" s="705"/>
      <c r="AP809" s="705"/>
      <c r="AQ809" s="705"/>
      <c r="AR809" s="705"/>
      <c r="AS809" s="705"/>
    </row>
    <row r="810" spans="1:45" s="14" customFormat="1" ht="30" customHeight="1" x14ac:dyDescent="0.25">
      <c r="A810" s="2026"/>
      <c r="B810" s="2064"/>
      <c r="C810" s="106" t="s">
        <v>46</v>
      </c>
      <c r="D810" s="850" t="s">
        <v>10</v>
      </c>
      <c r="E810" s="968">
        <v>46247</v>
      </c>
      <c r="F810" s="283">
        <f>$L$7-E810</f>
        <v>14</v>
      </c>
      <c r="G810" s="58">
        <v>82.199999999999989</v>
      </c>
      <c r="H810" s="58"/>
      <c r="I810" s="58">
        <f>SUM(K806:K809)</f>
        <v>80</v>
      </c>
      <c r="J810" s="1365">
        <f>usage!I150</f>
        <v>58.8</v>
      </c>
      <c r="K810" s="58"/>
      <c r="L810" s="1534">
        <f t="shared" si="485"/>
        <v>103.39999999999999</v>
      </c>
      <c r="M810" s="47"/>
      <c r="N810" s="920"/>
      <c r="O810" s="47"/>
      <c r="P810" s="740"/>
      <c r="Q810" s="818"/>
      <c r="R810" s="785">
        <f>IFERROR(VLOOKUP($Q810,'391'!$S:$Z,8,0),"")</f>
        <v>0</v>
      </c>
      <c r="S810" s="796"/>
      <c r="T810" s="797" t="str">
        <f>$Q$811&amp;C810&amp;E810</f>
        <v>Tilmovet 20% Granular Premix (Bulgaria)Feedmill46247</v>
      </c>
      <c r="U810" s="797"/>
      <c r="V810" s="797"/>
      <c r="W810" s="785">
        <f>IFERROR(VLOOKUP($Q810,'391'!$S:$AG,15,0),0)</f>
        <v>0</v>
      </c>
      <c r="X810" s="1090">
        <f t="shared" si="489"/>
        <v>82.199999999999989</v>
      </c>
      <c r="Y810" s="785"/>
      <c r="Z810" s="785"/>
      <c r="AA810" s="797"/>
      <c r="AB810" s="797"/>
      <c r="AC810" s="683"/>
      <c r="AD810" s="683"/>
      <c r="AE810" s="683"/>
      <c r="AF810" s="683"/>
      <c r="AG810" s="683"/>
      <c r="AH810" s="683"/>
      <c r="AI810" s="705"/>
      <c r="AJ810" s="705"/>
      <c r="AK810" s="705"/>
      <c r="AL810" s="705"/>
      <c r="AM810" s="705"/>
      <c r="AN810" s="705"/>
      <c r="AO810" s="705"/>
      <c r="AP810" s="705"/>
      <c r="AQ810" s="705"/>
      <c r="AR810" s="705"/>
      <c r="AS810" s="705"/>
    </row>
    <row r="811" spans="1:45" s="265" customFormat="1" ht="30.75" customHeight="1" x14ac:dyDescent="0.25">
      <c r="A811" s="2022" t="s">
        <v>918</v>
      </c>
      <c r="B811" s="2023"/>
      <c r="C811" s="88"/>
      <c r="D811" s="864"/>
      <c r="E811" s="864"/>
      <c r="F811" s="865"/>
      <c r="G811" s="1337">
        <v>1102.2</v>
      </c>
      <c r="H811" s="1337">
        <f t="shared" ref="H811:I811" si="493">SUM(H806:H810)</f>
        <v>0</v>
      </c>
      <c r="I811" s="1337">
        <f t="shared" si="493"/>
        <v>80</v>
      </c>
      <c r="J811" s="1337">
        <f t="shared" ref="J811:L811" si="494">SUM(J806:J810)</f>
        <v>58.8</v>
      </c>
      <c r="K811" s="1337">
        <f t="shared" si="494"/>
        <v>80</v>
      </c>
      <c r="L811" s="1337">
        <f t="shared" si="494"/>
        <v>1043.4000000000001</v>
      </c>
      <c r="M811" s="59">
        <f>+M805</f>
        <v>64.666666666666671</v>
      </c>
      <c r="N811" s="854">
        <f>IFERROR((L811/M811),0)</f>
        <v>16.135051546391754</v>
      </c>
      <c r="O811" s="59">
        <f>IFERROR(SUMIF(ETM!$A:$A,$Q811,ETM!$E:$E),"")</f>
        <v>84.833333333333329</v>
      </c>
      <c r="P811" s="880">
        <f>IFERROR(L811/O811,0)</f>
        <v>12.299410609037329</v>
      </c>
      <c r="Q811" s="814" t="s">
        <v>917</v>
      </c>
      <c r="R811" s="785">
        <f>IFERROR(VLOOKUP($Q811,'391'!$S:$Z,8,0),"0")</f>
        <v>388</v>
      </c>
      <c r="S811" s="796"/>
      <c r="T811" s="797"/>
      <c r="U811" s="797"/>
      <c r="V811" s="797"/>
      <c r="W811" s="785">
        <f>IFERROR(VLOOKUP($Q811,'391'!$S:$AG,15,0),0)</f>
        <v>1380.6000000000001</v>
      </c>
      <c r="X811" s="1090">
        <f t="shared" si="489"/>
        <v>-278.40000000000009</v>
      </c>
      <c r="Y811" s="785"/>
      <c r="Z811" s="785"/>
      <c r="AA811" s="797"/>
      <c r="AB811" s="797"/>
      <c r="AC811" s="551"/>
      <c r="AD811" s="551"/>
      <c r="AE811" s="551"/>
      <c r="AF811" s="551"/>
      <c r="AG811" s="551"/>
      <c r="AH811" s="551"/>
      <c r="AI811" s="704"/>
      <c r="AJ811" s="704"/>
      <c r="AK811" s="704"/>
      <c r="AL811" s="704"/>
      <c r="AM811" s="704"/>
      <c r="AN811" s="704"/>
      <c r="AO811" s="704"/>
      <c r="AP811" s="704"/>
      <c r="AQ811" s="704"/>
      <c r="AR811" s="704"/>
      <c r="AS811" s="704"/>
    </row>
    <row r="812" spans="1:45" s="409" customFormat="1" ht="30" hidden="1" customHeight="1" x14ac:dyDescent="0.25">
      <c r="A812" s="2024">
        <f>IF(L817=0,"",MAX($A$16:A811)+1)</f>
        <v>48</v>
      </c>
      <c r="B812" s="2093" t="s">
        <v>2167</v>
      </c>
      <c r="C812" s="114"/>
      <c r="D812" s="866" t="s">
        <v>10</v>
      </c>
      <c r="E812" s="935">
        <v>45638</v>
      </c>
      <c r="F812" s="75">
        <f>$L$7-E812</f>
        <v>623</v>
      </c>
      <c r="G812" s="63">
        <v>0</v>
      </c>
      <c r="H812" s="63"/>
      <c r="I812" s="63"/>
      <c r="J812" s="1378"/>
      <c r="K812" s="64">
        <f>IFERROR(SUMIF(INTAKE!$A:$A,$T812,INTAKE!$P:$P),0)</f>
        <v>0</v>
      </c>
      <c r="L812" s="1703">
        <f t="shared" si="485"/>
        <v>0</v>
      </c>
      <c r="M812" s="50"/>
      <c r="N812" s="167"/>
      <c r="O812" s="50"/>
      <c r="P812" s="857"/>
      <c r="Q812" s="795"/>
      <c r="R812" s="785">
        <f>IFERROR(VLOOKUP($Q812,'391'!$S:$Z,8,0),"")</f>
        <v>0</v>
      </c>
      <c r="S812" s="796"/>
      <c r="T812" s="797" t="str">
        <f>$Q$817&amp;C812&amp;E812</f>
        <v>SACOX 120 (Bulgaria)45638</v>
      </c>
      <c r="U812" s="797"/>
      <c r="V812" s="797"/>
      <c r="W812" s="785">
        <f>IFERROR(VLOOKUP($Q812,'391'!$S:$AG,15,0),0)</f>
        <v>0</v>
      </c>
      <c r="X812" s="1090">
        <f t="shared" si="489"/>
        <v>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9" customFormat="1" ht="30" hidden="1" customHeight="1" x14ac:dyDescent="0.25">
      <c r="A813" s="2025"/>
      <c r="B813" s="2094"/>
      <c r="C813" s="114"/>
      <c r="D813" s="866" t="s">
        <v>10</v>
      </c>
      <c r="E813" s="935">
        <v>46132</v>
      </c>
      <c r="F813" s="75">
        <f>$L$7-E813</f>
        <v>129</v>
      </c>
      <c r="G813" s="63">
        <v>0</v>
      </c>
      <c r="H813" s="63"/>
      <c r="I813" s="63"/>
      <c r="J813" s="1378"/>
      <c r="K813" s="64">
        <f>IFERROR(SUMIF(INTAKE!$A:$A,$T813,INTAKE!$P:$P),0)</f>
        <v>0</v>
      </c>
      <c r="L813" s="1703">
        <f t="shared" si="485"/>
        <v>0</v>
      </c>
      <c r="M813" s="48"/>
      <c r="N813" s="163"/>
      <c r="O813" s="48"/>
      <c r="P813" s="1268"/>
      <c r="Q813" s="795"/>
      <c r="R813" s="785">
        <f>IFERROR(VLOOKUP($Q813,'391'!$S:$Z,8,0),"")</f>
        <v>0</v>
      </c>
      <c r="S813" s="796"/>
      <c r="T813" s="797" t="str">
        <f>$Q$816&amp;C813&amp;E813</f>
        <v>SALINOMYCIN PREMIX 12% (China)46132</v>
      </c>
      <c r="U813" s="797"/>
      <c r="V813" s="797"/>
      <c r="W813" s="785">
        <f>IFERROR(VLOOKUP($Q813,'391'!$S:$AG,15,0),0)</f>
        <v>0</v>
      </c>
      <c r="X813" s="1090">
        <f t="shared" si="489"/>
        <v>0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409" customFormat="1" ht="30" customHeight="1" x14ac:dyDescent="0.25">
      <c r="A814" s="2025"/>
      <c r="B814" s="2094"/>
      <c r="C814" s="114" t="s">
        <v>1213</v>
      </c>
      <c r="D814" s="866" t="s">
        <v>10</v>
      </c>
      <c r="E814" s="935">
        <v>46245</v>
      </c>
      <c r="F814" s="75">
        <f>$L$7-E814</f>
        <v>16</v>
      </c>
      <c r="G814" s="63">
        <v>375</v>
      </c>
      <c r="H814" s="63"/>
      <c r="I814" s="63"/>
      <c r="J814" s="1378"/>
      <c r="K814" s="64">
        <f>IFERROR(SUMIF(INTAKE!$A:$A,$T814,INTAKE!$P:$P),0)</f>
        <v>25</v>
      </c>
      <c r="L814" s="1703">
        <f t="shared" si="485"/>
        <v>350</v>
      </c>
      <c r="M814" s="48"/>
      <c r="N814" s="163"/>
      <c r="O814" s="48"/>
      <c r="P814" s="883"/>
      <c r="Q814" s="795"/>
      <c r="R814" s="785">
        <f>IFERROR(VLOOKUP($Q814,'391'!$S:$Z,8,0),"")</f>
        <v>0</v>
      </c>
      <c r="S814" s="796"/>
      <c r="T814" s="797" t="str">
        <f>$Q$816&amp;C814&amp;E814</f>
        <v>SALINOMYCIN PREMIX 12% (China)E346245</v>
      </c>
      <c r="U814" s="797"/>
      <c r="V814" s="797"/>
      <c r="W814" s="785">
        <f>IFERROR(VLOOKUP($Q814,'391'!$S:$AG,15,0),0)</f>
        <v>0</v>
      </c>
      <c r="X814" s="1090">
        <f t="shared" si="489"/>
        <v>375</v>
      </c>
      <c r="Y814" s="785"/>
      <c r="Z814" s="785"/>
      <c r="AA814" s="797"/>
      <c r="AB814" s="797"/>
      <c r="AC814" s="681"/>
      <c r="AD814" s="681"/>
      <c r="AE814" s="681"/>
      <c r="AF814" s="681"/>
      <c r="AG814" s="681"/>
      <c r="AH814" s="681"/>
      <c r="AI814" s="703"/>
      <c r="AJ814" s="703"/>
      <c r="AK814" s="703"/>
      <c r="AL814" s="703"/>
      <c r="AM814" s="703"/>
      <c r="AN814" s="703"/>
      <c r="AO814" s="703"/>
      <c r="AP814" s="703"/>
      <c r="AQ814" s="703"/>
      <c r="AR814" s="703"/>
      <c r="AS814" s="703"/>
    </row>
    <row r="815" spans="1:45" s="409" customFormat="1" ht="30" hidden="1" customHeight="1" x14ac:dyDescent="0.25">
      <c r="A815" s="2025"/>
      <c r="B815" s="2094"/>
      <c r="C815" s="114"/>
      <c r="D815" s="866" t="s">
        <v>10</v>
      </c>
      <c r="E815" s="935">
        <v>46244</v>
      </c>
      <c r="F815" s="75">
        <f>$L$7-E815</f>
        <v>17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3">
        <f t="shared" si="485"/>
        <v>0</v>
      </c>
      <c r="M815" s="45"/>
      <c r="N815" s="162"/>
      <c r="O815" s="45"/>
      <c r="P815" s="857"/>
      <c r="Q815" s="795"/>
      <c r="R815" s="785">
        <f>IFERROR(VLOOKUP($Q815,'391'!$S:$Z,8,0),"")</f>
        <v>0</v>
      </c>
      <c r="S815" s="796"/>
      <c r="T815" s="797" t="str">
        <f>$Q$816&amp;C815&amp;E815</f>
        <v>SALINOMYCIN PREMIX 12% (China)46244</v>
      </c>
      <c r="U815" s="797"/>
      <c r="V815" s="797"/>
      <c r="W815" s="785">
        <f>IFERROR(VLOOKUP($Q815,'391'!$S:$AG,15,0),0)</f>
        <v>0</v>
      </c>
      <c r="X815" s="1090">
        <f t="shared" si="489"/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1" customFormat="1" ht="30" customHeight="1" x14ac:dyDescent="0.25">
      <c r="A816" s="2025"/>
      <c r="B816" s="2096"/>
      <c r="C816" s="61" t="s">
        <v>46</v>
      </c>
      <c r="D816" s="863" t="s">
        <v>10</v>
      </c>
      <c r="E816" s="935">
        <v>46245</v>
      </c>
      <c r="F816" s="39">
        <f>$L$7-E816</f>
        <v>16</v>
      </c>
      <c r="G816" s="37">
        <v>9.7699626167013776E-15</v>
      </c>
      <c r="H816" s="37"/>
      <c r="I816" s="37">
        <f>+SUM(K812:K815)</f>
        <v>25</v>
      </c>
      <c r="J816" s="1385">
        <f>+usage!I115</f>
        <v>9.1</v>
      </c>
      <c r="K816" s="37"/>
      <c r="L816" s="1534">
        <f t="shared" si="485"/>
        <v>15.900000000000011</v>
      </c>
      <c r="M816" s="35"/>
      <c r="N816" s="87"/>
      <c r="O816" s="35"/>
      <c r="P816" s="1265"/>
      <c r="Q816" s="666" t="s">
        <v>1814</v>
      </c>
      <c r="R816" s="785">
        <f>IFERROR(VLOOKUP($Q816,'391'!$S:$Z,8,0),"0")</f>
        <v>40.950000000000003</v>
      </c>
      <c r="S816" s="796"/>
      <c r="T816" s="797" t="str">
        <f>$Q$817&amp;C816&amp;E816</f>
        <v>SACOX 120 (Bulgaria)Feedmill46245</v>
      </c>
      <c r="U816" s="797"/>
      <c r="V816" s="797"/>
      <c r="W816" s="785">
        <f>IFERROR(VLOOKUP($Q816,'391'!$S:$AG,15,0),0)</f>
        <v>473.85</v>
      </c>
      <c r="X816" s="1090">
        <f t="shared" si="489"/>
        <v>-473.85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265" customFormat="1" ht="30" customHeight="1" x14ac:dyDescent="0.25">
      <c r="A817" s="2022" t="s">
        <v>1342</v>
      </c>
      <c r="B817" s="2023"/>
      <c r="C817" s="88"/>
      <c r="D817" s="864"/>
      <c r="E817" s="864"/>
      <c r="F817" s="865"/>
      <c r="G817" s="1297">
        <v>375</v>
      </c>
      <c r="H817" s="1297">
        <f t="shared" ref="H817:L817" si="495">+SUM(H812:H816)</f>
        <v>0</v>
      </c>
      <c r="I817" s="1297">
        <f t="shared" si="495"/>
        <v>25</v>
      </c>
      <c r="J817" s="1297">
        <f t="shared" si="495"/>
        <v>9.1</v>
      </c>
      <c r="K817" s="1297">
        <f t="shared" si="495"/>
        <v>25</v>
      </c>
      <c r="L817" s="1297">
        <f t="shared" si="495"/>
        <v>365.90000000000003</v>
      </c>
      <c r="M817" s="59">
        <f>IFERROR((S817/$S$2),"")</f>
        <v>6.8250000000000002</v>
      </c>
      <c r="N817" s="854">
        <f>IFERROR(L817/M817,0)</f>
        <v>53.611721611721613</v>
      </c>
      <c r="O817" s="59">
        <f>IFERROR(SUMIF(ETM!$A:$A,$Q817,ETM!$E:$E),"")</f>
        <v>43.500000000000007</v>
      </c>
      <c r="P817" s="880">
        <f>IFERROR(L817/O817,0)</f>
        <v>8.4114942528735632</v>
      </c>
      <c r="Q817" s="666" t="s">
        <v>1391</v>
      </c>
      <c r="R817" s="785" t="str">
        <f>IFERROR(VLOOKUP($Q817,'391'!$S:$Z,8,0),"0")</f>
        <v>0</v>
      </c>
      <c r="S817" s="819">
        <f>+R817+R816</f>
        <v>40.950000000000003</v>
      </c>
      <c r="T817" s="797"/>
      <c r="U817" s="797"/>
      <c r="V817" s="797"/>
      <c r="W817" s="785">
        <f>IFERROR(VLOOKUP($Q817,'391'!$S:$AG,15,0),0)</f>
        <v>0</v>
      </c>
      <c r="X817" s="1090">
        <f>G817-W817-W816</f>
        <v>-98.850000000000023</v>
      </c>
      <c r="Y817" s="785"/>
      <c r="Z817" s="785"/>
      <c r="AA817" s="797"/>
      <c r="AB817" s="797"/>
      <c r="AC817" s="551"/>
      <c r="AD817" s="551"/>
      <c r="AE817" s="551"/>
      <c r="AF817" s="551"/>
      <c r="AG817" s="551"/>
      <c r="AH817" s="551"/>
      <c r="AI817" s="704"/>
      <c r="AJ817" s="704"/>
      <c r="AK817" s="704"/>
      <c r="AL817" s="704"/>
      <c r="AM817" s="704"/>
      <c r="AN817" s="704"/>
      <c r="AO817" s="704"/>
      <c r="AP817" s="704"/>
      <c r="AQ817" s="704"/>
      <c r="AR817" s="704"/>
      <c r="AS817" s="704"/>
    </row>
    <row r="818" spans="1:45" s="409" customFormat="1" ht="30" hidden="1" customHeight="1" x14ac:dyDescent="0.25">
      <c r="A818" s="2024">
        <f>IF(L823=0,"",MAX($A$16:A817)+1)</f>
        <v>49</v>
      </c>
      <c r="B818" s="2046" t="s">
        <v>2178</v>
      </c>
      <c r="C818" s="259"/>
      <c r="D818" s="866" t="s">
        <v>10</v>
      </c>
      <c r="E818" s="935">
        <v>45791</v>
      </c>
      <c r="F818" s="75">
        <f>$L$7-E818</f>
        <v>470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50"/>
      <c r="N818" s="167"/>
      <c r="O818" s="50"/>
      <c r="P818" s="857"/>
      <c r="Q818" s="795"/>
      <c r="R818" s="785">
        <f>IFERROR(VLOOKUP($Q818,'391'!$S:$Z,8,0),"")</f>
        <v>0</v>
      </c>
      <c r="S818" s="796"/>
      <c r="T818" s="797" t="str">
        <f>$Q$823&amp;C818&amp;E818</f>
        <v>APA Enmy P45791</v>
      </c>
      <c r="U818" s="797"/>
      <c r="V818" s="797"/>
      <c r="W818" s="785">
        <f>IFERROR(VLOOKUP($Q818,'391'!$S:$AG,15,0),0)</f>
        <v>0</v>
      </c>
      <c r="X818" s="1090">
        <f t="shared" ref="X818:X838" si="496">G818-W818</f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9" customFormat="1" ht="30" hidden="1" customHeight="1" x14ac:dyDescent="0.25">
      <c r="A819" s="2025"/>
      <c r="B819" s="2068"/>
      <c r="C819" s="259"/>
      <c r="D819" s="866" t="s">
        <v>10</v>
      </c>
      <c r="E819" s="935">
        <v>45918</v>
      </c>
      <c r="F819" s="75">
        <f>$L$7-E819</f>
        <v>343</v>
      </c>
      <c r="G819" s="63">
        <v>0</v>
      </c>
      <c r="H819" s="63"/>
      <c r="I819" s="63"/>
      <c r="J819" s="1378"/>
      <c r="K819" s="64">
        <f>IFERROR(SUMIF(INTAKE!$A:$A,$T819,INTAKE!$P:$P),0)</f>
        <v>0</v>
      </c>
      <c r="L819" s="1703">
        <f>+G819+H819+I819-J819-K819</f>
        <v>0</v>
      </c>
      <c r="M819" s="48"/>
      <c r="N819" s="163"/>
      <c r="O819" s="48"/>
      <c r="P819" s="1268"/>
      <c r="Q819" s="795"/>
      <c r="R819" s="785">
        <f>IFERROR(VLOOKUP($Q819,'391'!$S:$Z,8,0),"")</f>
        <v>0</v>
      </c>
      <c r="S819" s="796"/>
      <c r="T819" s="797" t="str">
        <f>$Q$823&amp;C819&amp;E819</f>
        <v>APA Enmy P45918</v>
      </c>
      <c r="U819" s="797"/>
      <c r="V819" s="797"/>
      <c r="W819" s="785">
        <f>IFERROR(VLOOKUP($Q819,'391'!$S:$AG,15,0),0)</f>
        <v>0</v>
      </c>
      <c r="X819" s="1090">
        <f t="shared" si="496"/>
        <v>0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409" customFormat="1" ht="30" customHeight="1" x14ac:dyDescent="0.25">
      <c r="A820" s="2025"/>
      <c r="B820" s="2068"/>
      <c r="C820" s="114" t="s">
        <v>1213</v>
      </c>
      <c r="D820" s="866" t="s">
        <v>10</v>
      </c>
      <c r="E820" s="935">
        <v>46098</v>
      </c>
      <c r="F820" s="75">
        <f>$L$7-E820</f>
        <v>163</v>
      </c>
      <c r="G820" s="63">
        <v>140</v>
      </c>
      <c r="H820" s="63"/>
      <c r="I820" s="63"/>
      <c r="J820" s="1378"/>
      <c r="K820" s="64">
        <f>IFERROR(SUMIF(INTAKE!$A:$A,$T820,INTAKE!$P:$P),0)</f>
        <v>20</v>
      </c>
      <c r="L820" s="1703">
        <f>+G820+H820+I820-J820-K820</f>
        <v>120</v>
      </c>
      <c r="M820" s="48"/>
      <c r="N820" s="163"/>
      <c r="O820" s="48"/>
      <c r="P820" s="883"/>
      <c r="Q820" s="795"/>
      <c r="R820" s="785">
        <f>IFERROR(VLOOKUP($Q820,'391'!$S:$Z,8,0),"")</f>
        <v>0</v>
      </c>
      <c r="S820" s="796"/>
      <c r="T820" s="797" t="str">
        <f>$Q$823&amp;C820&amp;E820</f>
        <v>APA Enmy PE346098</v>
      </c>
      <c r="U820" s="797"/>
      <c r="V820" s="797"/>
      <c r="W820" s="785">
        <f>IFERROR(VLOOKUP($Q820,'391'!$S:$AG,15,0),0)</f>
        <v>0</v>
      </c>
      <c r="X820" s="1090">
        <f t="shared" si="496"/>
        <v>140</v>
      </c>
      <c r="Y820" s="785"/>
      <c r="Z820" s="785"/>
      <c r="AA820" s="797"/>
      <c r="AB820" s="797"/>
      <c r="AC820" s="681"/>
      <c r="AD820" s="681"/>
      <c r="AE820" s="681"/>
      <c r="AF820" s="681"/>
      <c r="AG820" s="681"/>
      <c r="AH820" s="681"/>
      <c r="AI820" s="703"/>
      <c r="AJ820" s="703"/>
      <c r="AK820" s="703"/>
      <c r="AL820" s="703"/>
      <c r="AM820" s="703"/>
      <c r="AN820" s="703"/>
      <c r="AO820" s="703"/>
      <c r="AP820" s="703"/>
      <c r="AQ820" s="703"/>
      <c r="AR820" s="703"/>
      <c r="AS820" s="703"/>
    </row>
    <row r="821" spans="1:45" s="409" customFormat="1" ht="30" hidden="1" customHeight="1" x14ac:dyDescent="0.25">
      <c r="A821" s="2025"/>
      <c r="B821" s="2068"/>
      <c r="C821" s="114"/>
      <c r="D821" s="866" t="s">
        <v>10</v>
      </c>
      <c r="E821" s="935">
        <v>46098</v>
      </c>
      <c r="F821" s="75">
        <f>$L$7-E821</f>
        <v>163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703">
        <f>+G821+H821+I821-J821-K821</f>
        <v>0</v>
      </c>
      <c r="M821" s="45"/>
      <c r="N821" s="162"/>
      <c r="O821" s="45"/>
      <c r="P821" s="857"/>
      <c r="Q821" s="795"/>
      <c r="R821" s="785">
        <f>IFERROR(VLOOKUP($Q821,'391'!$S:$Z,8,0),"")</f>
        <v>0</v>
      </c>
      <c r="S821" s="796"/>
      <c r="T821" s="797" t="str">
        <f>$Q$823&amp;C821&amp;E821</f>
        <v>APA Enmy P46098</v>
      </c>
      <c r="U821" s="797"/>
      <c r="V821" s="797"/>
      <c r="W821" s="785">
        <f>IFERROR(VLOOKUP($Q821,'391'!$S:$AG,15,0),0)</f>
        <v>0</v>
      </c>
      <c r="X821" s="1090">
        <f t="shared" si="496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1" customFormat="1" ht="30" customHeight="1" x14ac:dyDescent="0.25">
      <c r="A822" s="2025"/>
      <c r="B822" s="2047"/>
      <c r="C822" s="61" t="s">
        <v>46</v>
      </c>
      <c r="D822" s="863" t="s">
        <v>10</v>
      </c>
      <c r="E822" s="935">
        <v>46098</v>
      </c>
      <c r="F822" s="39">
        <f>$L$7-E822</f>
        <v>163</v>
      </c>
      <c r="G822" s="37">
        <v>2.95</v>
      </c>
      <c r="H822" s="37"/>
      <c r="I822" s="37">
        <f>+SUM(K818:K820)</f>
        <v>20</v>
      </c>
      <c r="J822" s="1385">
        <f>usage!I187</f>
        <v>4.2</v>
      </c>
      <c r="K822" s="37"/>
      <c r="L822" s="1534">
        <f>+G822+H822+I822-J822-K822</f>
        <v>18.75</v>
      </c>
      <c r="M822" s="35"/>
      <c r="N822" s="87"/>
      <c r="O822" s="35"/>
      <c r="P822" s="1265"/>
      <c r="Q822" s="795"/>
      <c r="R822" s="785">
        <f>IFERROR(VLOOKUP($Q822,'391'!$S:$Z,8,0),"")</f>
        <v>0</v>
      </c>
      <c r="S822" s="796"/>
      <c r="T822" s="797" t="str">
        <f>$Q$823&amp;C822&amp;E822</f>
        <v>APA Enmy PFeedmill46098</v>
      </c>
      <c r="U822" s="797"/>
      <c r="V822" s="797"/>
      <c r="W822" s="785">
        <f>IFERROR(VLOOKUP($Q822,'391'!$S:$AG,15,0),0)</f>
        <v>0</v>
      </c>
      <c r="X822" s="1090">
        <f t="shared" si="496"/>
        <v>2.95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265" customFormat="1" ht="30" customHeight="1" x14ac:dyDescent="0.25">
      <c r="A823" s="2022" t="s">
        <v>1371</v>
      </c>
      <c r="B823" s="2023"/>
      <c r="C823" s="88"/>
      <c r="D823" s="864"/>
      <c r="E823" s="864"/>
      <c r="F823" s="865"/>
      <c r="G823" s="1297">
        <v>142.94999999999999</v>
      </c>
      <c r="H823" s="1297">
        <f t="shared" ref="H823:I823" si="497">+SUM(H818:H822)</f>
        <v>0</v>
      </c>
      <c r="I823" s="1297">
        <f t="shared" si="497"/>
        <v>20</v>
      </c>
      <c r="J823" s="1297">
        <f t="shared" ref="J823:L823" si="498">+SUM(J818:J822)</f>
        <v>4.2</v>
      </c>
      <c r="K823" s="1297">
        <f t="shared" si="498"/>
        <v>20</v>
      </c>
      <c r="L823" s="1297">
        <f t="shared" si="498"/>
        <v>138.75</v>
      </c>
      <c r="M823" s="59">
        <f>IFERROR((R823/$S$2),"")</f>
        <v>0</v>
      </c>
      <c r="N823" s="854">
        <f>IFERROR(L823/M823,0)</f>
        <v>0</v>
      </c>
      <c r="O823" s="59">
        <f>IFERROR(SUMIF(ETM!$A:$A,$Q823,ETM!$E:$E),"")</f>
        <v>0</v>
      </c>
      <c r="P823" s="880">
        <f>IFERROR(L823/O823,0)</f>
        <v>0</v>
      </c>
      <c r="Q823" s="795" t="s">
        <v>1370</v>
      </c>
      <c r="R823" s="785">
        <f>IFERROR(VLOOKUP($Q823,'391'!$S:$Z,8,0),"")</f>
        <v>0</v>
      </c>
      <c r="S823" s="796"/>
      <c r="T823" s="797"/>
      <c r="U823" s="797"/>
      <c r="V823" s="797"/>
      <c r="W823" s="785">
        <f>IFERROR(VLOOKUP($Q823,'391'!$S:$AG,15,0),0)</f>
        <v>147.15</v>
      </c>
      <c r="X823" s="1090">
        <f t="shared" si="496"/>
        <v>-4.2000000000000171</v>
      </c>
      <c r="Y823" s="785"/>
      <c r="Z823" s="785"/>
      <c r="AA823" s="797"/>
      <c r="AB823" s="797"/>
      <c r="AC823" s="551"/>
      <c r="AD823" s="551"/>
      <c r="AE823" s="551"/>
      <c r="AF823" s="551"/>
      <c r="AG823" s="551"/>
      <c r="AH823" s="551"/>
      <c r="AI823" s="704"/>
      <c r="AJ823" s="704"/>
      <c r="AK823" s="704"/>
      <c r="AL823" s="704"/>
      <c r="AM823" s="704"/>
      <c r="AN823" s="704"/>
      <c r="AO823" s="704"/>
      <c r="AP823" s="704"/>
      <c r="AQ823" s="704"/>
      <c r="AR823" s="704"/>
      <c r="AS823" s="704"/>
    </row>
    <row r="824" spans="1:45" s="409" customFormat="1" ht="30" hidden="1" customHeight="1" x14ac:dyDescent="0.25">
      <c r="A824" s="2024" t="str">
        <f>IF(L828=0,"",MAX($A$16:A823)+1)</f>
        <v/>
      </c>
      <c r="B824" s="2046" t="s">
        <v>1360</v>
      </c>
      <c r="C824" s="114"/>
      <c r="D824" s="866" t="s">
        <v>10</v>
      </c>
      <c r="E824" s="935">
        <v>45247</v>
      </c>
      <c r="F824" s="75">
        <f>$L$7-E824</f>
        <v>1014</v>
      </c>
      <c r="G824" s="63">
        <v>0</v>
      </c>
      <c r="H824" s="63"/>
      <c r="I824" s="63"/>
      <c r="J824" s="1378"/>
      <c r="K824" s="64">
        <f>IFERROR(SUMIF(INTAKE!$A:$A,$T824,INTAKE!$P:$P),0)</f>
        <v>0</v>
      </c>
      <c r="L824" s="1534">
        <f t="shared" ref="L824:L838" si="499">+G824+H824+I824-J824-K824</f>
        <v>0</v>
      </c>
      <c r="M824" s="50"/>
      <c r="N824" s="167"/>
      <c r="O824" s="50"/>
      <c r="P824" s="857"/>
      <c r="Q824" s="795"/>
      <c r="R824" s="785">
        <f>IFERROR(VLOOKUP($Q824,'391'!$S:$Z,8,0),"")</f>
        <v>0</v>
      </c>
      <c r="S824" s="796"/>
      <c r="T824" s="797" t="str">
        <f>$Q$828&amp;C824&amp;E824</f>
        <v>Lucantin Red 10% NXT (Germany)45247</v>
      </c>
      <c r="U824" s="797"/>
      <c r="V824" s="797"/>
      <c r="W824" s="785">
        <f>IFERROR(VLOOKUP($Q824,'391'!$S:$AG,15,0),0)</f>
        <v>0</v>
      </c>
      <c r="X824" s="1090">
        <f t="shared" si="496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409" customFormat="1" ht="30" hidden="1" customHeight="1" x14ac:dyDescent="0.25">
      <c r="A825" s="2025"/>
      <c r="B825" s="2068"/>
      <c r="C825" s="114"/>
      <c r="D825" s="866" t="s">
        <v>10</v>
      </c>
      <c r="E825" s="935">
        <v>45189</v>
      </c>
      <c r="F825" s="75">
        <f>$L$7-E825</f>
        <v>1072</v>
      </c>
      <c r="G825" s="63">
        <v>0</v>
      </c>
      <c r="H825" s="63"/>
      <c r="I825" s="63"/>
      <c r="J825" s="1378"/>
      <c r="K825" s="63"/>
      <c r="L825" s="1534">
        <f t="shared" si="499"/>
        <v>0</v>
      </c>
      <c r="M825" s="48"/>
      <c r="N825" s="163"/>
      <c r="O825" s="48"/>
      <c r="P825" s="883"/>
      <c r="Q825" s="795"/>
      <c r="R825" s="785">
        <f>IFERROR(VLOOKUP($Q825,'391'!$S:$Z,8,0),"")</f>
        <v>0</v>
      </c>
      <c r="S825" s="796"/>
      <c r="T825" s="797" t="str">
        <f>$Q$828&amp;C825&amp;E825</f>
        <v>Lucantin Red 10% NXT (Germany)45189</v>
      </c>
      <c r="U825" s="797"/>
      <c r="V825" s="797"/>
      <c r="W825" s="785">
        <f>IFERROR(VLOOKUP($Q825,'391'!$S:$AG,15,0),0)</f>
        <v>0</v>
      </c>
      <c r="X825" s="1090">
        <f t="shared" si="496"/>
        <v>0</v>
      </c>
      <c r="Y825" s="785"/>
      <c r="Z825" s="785"/>
      <c r="AA825" s="797"/>
      <c r="AB825" s="797"/>
      <c r="AC825" s="681"/>
      <c r="AD825" s="681"/>
      <c r="AE825" s="681"/>
      <c r="AF825" s="681"/>
      <c r="AG825" s="681"/>
      <c r="AH825" s="681"/>
      <c r="AI825" s="703"/>
      <c r="AJ825" s="703"/>
      <c r="AK825" s="703"/>
      <c r="AL825" s="703"/>
      <c r="AM825" s="703"/>
      <c r="AN825" s="703"/>
      <c r="AO825" s="703"/>
      <c r="AP825" s="703"/>
      <c r="AQ825" s="703"/>
      <c r="AR825" s="703"/>
      <c r="AS825" s="703"/>
    </row>
    <row r="826" spans="1:45" s="409" customFormat="1" ht="30" hidden="1" customHeight="1" x14ac:dyDescent="0.25">
      <c r="A826" s="2025"/>
      <c r="B826" s="2068"/>
      <c r="C826" s="114"/>
      <c r="D826" s="866" t="s">
        <v>10</v>
      </c>
      <c r="E826" s="935">
        <v>45189</v>
      </c>
      <c r="F826" s="75">
        <f>$L$7-E826</f>
        <v>1072</v>
      </c>
      <c r="G826" s="63">
        <v>0</v>
      </c>
      <c r="H826" s="63"/>
      <c r="I826" s="63"/>
      <c r="J826" s="1378"/>
      <c r="K826" s="63"/>
      <c r="L826" s="1534">
        <f t="shared" si="499"/>
        <v>0</v>
      </c>
      <c r="M826" s="45"/>
      <c r="N826" s="162"/>
      <c r="O826" s="45"/>
      <c r="P826" s="857"/>
      <c r="Q826" s="795"/>
      <c r="R826" s="785">
        <f>IFERROR(VLOOKUP($Q826,'391'!$S:$Z,8,0),"")</f>
        <v>0</v>
      </c>
      <c r="S826" s="796"/>
      <c r="T826" s="797" t="str">
        <f>$Q$828&amp;C826&amp;E826</f>
        <v>Lucantin Red 10% NXT (Germany)45189</v>
      </c>
      <c r="U826" s="797"/>
      <c r="V826" s="797"/>
      <c r="W826" s="785">
        <f>IFERROR(VLOOKUP($Q826,'391'!$S:$AG,15,0),0)</f>
        <v>0</v>
      </c>
      <c r="X826" s="1090">
        <f t="shared" si="496"/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1" customFormat="1" ht="30" hidden="1" customHeight="1" x14ac:dyDescent="0.25">
      <c r="A827" s="2025"/>
      <c r="B827" s="2047"/>
      <c r="C827" s="61" t="s">
        <v>46</v>
      </c>
      <c r="D827" s="863" t="s">
        <v>10</v>
      </c>
      <c r="E827" s="935">
        <v>45247</v>
      </c>
      <c r="F827" s="39">
        <f>$L$7-E827</f>
        <v>1014</v>
      </c>
      <c r="G827" s="37">
        <v>0</v>
      </c>
      <c r="H827" s="37"/>
      <c r="I827" s="37">
        <f>+SUM(K824:K824)</f>
        <v>0</v>
      </c>
      <c r="J827" s="1385"/>
      <c r="K827" s="37"/>
      <c r="L827" s="1534">
        <f t="shared" si="499"/>
        <v>0</v>
      </c>
      <c r="M827" s="35"/>
      <c r="N827" s="87"/>
      <c r="O827" s="35"/>
      <c r="P827" s="1265"/>
      <c r="Q827" s="795"/>
      <c r="R827" s="785">
        <f>IFERROR(VLOOKUP($Q827,'391'!$S:$Z,8,0),"")</f>
        <v>0</v>
      </c>
      <c r="S827" s="796"/>
      <c r="T827" s="797" t="str">
        <f>$Q$828&amp;C827&amp;E827</f>
        <v>Lucantin Red 10% NXT (Germany)Feedmill45247</v>
      </c>
      <c r="U827" s="797"/>
      <c r="V827" s="797"/>
      <c r="W827" s="785">
        <f>IFERROR(VLOOKUP($Q827,'391'!$S:$AG,15,0),0)</f>
        <v>0</v>
      </c>
      <c r="X827" s="1090">
        <f t="shared" si="496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265" customFormat="1" ht="30" hidden="1" customHeight="1" x14ac:dyDescent="0.25">
      <c r="A828" s="2022" t="s">
        <v>1362</v>
      </c>
      <c r="B828" s="2023"/>
      <c r="C828" s="88"/>
      <c r="D828" s="864"/>
      <c r="E828" s="864"/>
      <c r="F828" s="865"/>
      <c r="G828" s="1297">
        <v>0</v>
      </c>
      <c r="H828" s="1297">
        <f>+SUM(H824:H827)</f>
        <v>0</v>
      </c>
      <c r="I828" s="1297">
        <f>+SUM(I824:I827)</f>
        <v>0</v>
      </c>
      <c r="J828" s="1297">
        <f>+SUM(J824:J827)</f>
        <v>0</v>
      </c>
      <c r="K828" s="1297">
        <f>+SUM(K824:K827)</f>
        <v>0</v>
      </c>
      <c r="L828" s="1534">
        <f t="shared" si="499"/>
        <v>0</v>
      </c>
      <c r="M828" s="59" t="str">
        <f>IFERROR((R828/$S$2),"")</f>
        <v/>
      </c>
      <c r="N828" s="854">
        <f>IFERROR(L828/M828,0)</f>
        <v>0</v>
      </c>
      <c r="O828" s="59">
        <f>IFERROR(SUMIF(ETM!$A:$A,$Q828,ETM!$E:$E),"")</f>
        <v>10</v>
      </c>
      <c r="P828" s="880">
        <f>IFERROR(L828/O828,0)</f>
        <v>0</v>
      </c>
      <c r="Q828" s="795" t="s">
        <v>1361</v>
      </c>
      <c r="R828" s="785" t="str">
        <f>IFERROR(VLOOKUP($Q828,'391'!$S:$Z,8,0),"")</f>
        <v/>
      </c>
      <c r="S828" s="796"/>
      <c r="T828" s="797"/>
      <c r="U828" s="797"/>
      <c r="V828" s="797"/>
      <c r="W828" s="785">
        <f>IFERROR(VLOOKUP($Q828,'391'!$S:$AG,15,0),0)</f>
        <v>0</v>
      </c>
      <c r="X828" s="1090">
        <f t="shared" si="496"/>
        <v>0</v>
      </c>
      <c r="Y828" s="785"/>
      <c r="Z828" s="785"/>
      <c r="AA828" s="797"/>
      <c r="AB828" s="797"/>
      <c r="AC828" s="551"/>
      <c r="AD828" s="551"/>
      <c r="AE828" s="551"/>
      <c r="AF828" s="551"/>
      <c r="AG828" s="551"/>
      <c r="AH828" s="551"/>
      <c r="AI828" s="704"/>
      <c r="AJ828" s="704"/>
      <c r="AK828" s="704"/>
      <c r="AL828" s="704"/>
      <c r="AM828" s="704"/>
      <c r="AN828" s="704"/>
      <c r="AO828" s="704"/>
      <c r="AP828" s="704"/>
      <c r="AQ828" s="704"/>
      <c r="AR828" s="704"/>
      <c r="AS828" s="704"/>
    </row>
    <row r="829" spans="1:45" s="409" customFormat="1" ht="30" hidden="1" customHeight="1" x14ac:dyDescent="0.25">
      <c r="A829" s="2024" t="str">
        <f>IF(L833=0,"",MAX($A$16:A828)+1)</f>
        <v/>
      </c>
      <c r="B829" s="2046" t="s">
        <v>1761</v>
      </c>
      <c r="C829" s="114" t="s">
        <v>1177</v>
      </c>
      <c r="D829" s="866" t="s">
        <v>10</v>
      </c>
      <c r="E829" s="935">
        <v>46085</v>
      </c>
      <c r="F829" s="75">
        <f>$L$7-E829</f>
        <v>176</v>
      </c>
      <c r="G829" s="63">
        <v>0</v>
      </c>
      <c r="H829" s="63"/>
      <c r="I829" s="63"/>
      <c r="J829" s="1378"/>
      <c r="K829" s="64">
        <f>IFERROR(SUMIF(INTAKE!$A:$A,$T829,INTAKE!$P:$P),0)</f>
        <v>0</v>
      </c>
      <c r="L829" s="1703">
        <f t="shared" ref="L829:L833" si="500">+G829+H829+I829-J829-K829</f>
        <v>0</v>
      </c>
      <c r="M829" s="50"/>
      <c r="N829" s="167"/>
      <c r="O829" s="50"/>
      <c r="P829" s="857"/>
      <c r="Q829" s="795"/>
      <c r="R829" s="785">
        <f>IFERROR(VLOOKUP($Q829,'391'!$S:$Z,8,0),"")</f>
        <v>0</v>
      </c>
      <c r="S829" s="796"/>
      <c r="T829" s="797" t="str">
        <f>$Q$833&amp;C829&amp;E829</f>
        <v>Leader Red (Jiuzhou Red) (CN)D346085</v>
      </c>
      <c r="U829" s="797"/>
      <c r="V829" s="797"/>
      <c r="W829" s="785">
        <f>IFERROR(VLOOKUP($Q829,'391'!$S:$AG,15,0),0)</f>
        <v>0</v>
      </c>
      <c r="X829" s="1090">
        <f t="shared" ref="X829:X833" si="501">G829-W829</f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409" customFormat="1" ht="30" hidden="1" customHeight="1" x14ac:dyDescent="0.25">
      <c r="A830" s="2025"/>
      <c r="B830" s="2068"/>
      <c r="C830" s="114"/>
      <c r="D830" s="866" t="s">
        <v>10</v>
      </c>
      <c r="E830" s="935">
        <v>45189</v>
      </c>
      <c r="F830" s="75">
        <f>$L$7-E830</f>
        <v>1072</v>
      </c>
      <c r="G830" s="63">
        <v>0</v>
      </c>
      <c r="H830" s="63"/>
      <c r="I830" s="63"/>
      <c r="J830" s="1378"/>
      <c r="K830" s="63"/>
      <c r="L830" s="1534">
        <f t="shared" si="500"/>
        <v>0</v>
      </c>
      <c r="M830" s="48"/>
      <c r="N830" s="163"/>
      <c r="O830" s="48"/>
      <c r="P830" s="883"/>
      <c r="Q830" s="795"/>
      <c r="R830" s="785">
        <f>IFERROR(VLOOKUP($Q830,'391'!$S:$Z,8,0),"")</f>
        <v>0</v>
      </c>
      <c r="S830" s="796"/>
      <c r="T830" s="797" t="str">
        <f t="shared" ref="T830:T832" si="502">$Q$833&amp;C830&amp;E830</f>
        <v>Leader Red (Jiuzhou Red) (CN)45189</v>
      </c>
      <c r="U830" s="797"/>
      <c r="V830" s="797"/>
      <c r="W830" s="785">
        <f>IFERROR(VLOOKUP($Q830,'391'!$S:$AG,15,0),0)</f>
        <v>0</v>
      </c>
      <c r="X830" s="1090">
        <f t="shared" si="501"/>
        <v>0</v>
      </c>
      <c r="Y830" s="785"/>
      <c r="Z830" s="785"/>
      <c r="AA830" s="797"/>
      <c r="AB830" s="797"/>
      <c r="AC830" s="681"/>
      <c r="AD830" s="681"/>
      <c r="AE830" s="681"/>
      <c r="AF830" s="681"/>
      <c r="AG830" s="681"/>
      <c r="AH830" s="681"/>
      <c r="AI830" s="703"/>
      <c r="AJ830" s="703"/>
      <c r="AK830" s="703"/>
      <c r="AL830" s="703"/>
      <c r="AM830" s="703"/>
      <c r="AN830" s="703"/>
      <c r="AO830" s="703"/>
      <c r="AP830" s="703"/>
      <c r="AQ830" s="703"/>
      <c r="AR830" s="703"/>
      <c r="AS830" s="703"/>
    </row>
    <row r="831" spans="1:45" s="409" customFormat="1" ht="30" hidden="1" customHeight="1" x14ac:dyDescent="0.25">
      <c r="A831" s="2025"/>
      <c r="B831" s="2068"/>
      <c r="C831" s="114"/>
      <c r="D831" s="866" t="s">
        <v>10</v>
      </c>
      <c r="E831" s="935">
        <v>45189</v>
      </c>
      <c r="F831" s="75">
        <f>$L$7-E831</f>
        <v>1072</v>
      </c>
      <c r="G831" s="63">
        <v>0</v>
      </c>
      <c r="H831" s="63"/>
      <c r="I831" s="63"/>
      <c r="J831" s="1378"/>
      <c r="K831" s="63"/>
      <c r="L831" s="1534">
        <f t="shared" si="500"/>
        <v>0</v>
      </c>
      <c r="M831" s="45"/>
      <c r="N831" s="162"/>
      <c r="O831" s="45"/>
      <c r="P831" s="857"/>
      <c r="Q831" s="795"/>
      <c r="R831" s="785">
        <f>IFERROR(VLOOKUP($Q831,'391'!$S:$Z,8,0),"")</f>
        <v>0</v>
      </c>
      <c r="S831" s="796"/>
      <c r="T831" s="797" t="str">
        <f t="shared" si="502"/>
        <v>Leader Red (Jiuzhou Red) (CN)45189</v>
      </c>
      <c r="U831" s="797"/>
      <c r="V831" s="797"/>
      <c r="W831" s="785">
        <f>IFERROR(VLOOKUP($Q831,'391'!$S:$AG,15,0),0)</f>
        <v>0</v>
      </c>
      <c r="X831" s="1090">
        <f t="shared" si="501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1" customFormat="1" ht="30" hidden="1" customHeight="1" x14ac:dyDescent="0.25">
      <c r="A832" s="2025"/>
      <c r="B832" s="2047"/>
      <c r="C832" s="61" t="s">
        <v>46</v>
      </c>
      <c r="D832" s="863" t="s">
        <v>10</v>
      </c>
      <c r="E832" s="935">
        <v>46085</v>
      </c>
      <c r="F832" s="39">
        <f>$L$7-E832</f>
        <v>176</v>
      </c>
      <c r="G832" s="37">
        <v>0</v>
      </c>
      <c r="H832" s="37"/>
      <c r="I832" s="37">
        <f>+SUM(K829:K829)</f>
        <v>0</v>
      </c>
      <c r="J832" s="1385"/>
      <c r="K832" s="37"/>
      <c r="L832" s="1534">
        <f t="shared" si="500"/>
        <v>0</v>
      </c>
      <c r="M832" s="35"/>
      <c r="N832" s="87"/>
      <c r="O832" s="35"/>
      <c r="P832" s="1265"/>
      <c r="Q832" s="795"/>
      <c r="R832" s="785">
        <f>IFERROR(VLOOKUP($Q832,'391'!$S:$Z,8,0),"")</f>
        <v>0</v>
      </c>
      <c r="S832" s="796"/>
      <c r="T832" s="797" t="str">
        <f t="shared" si="502"/>
        <v>Leader Red (Jiuzhou Red) (CN)Feedmill46085</v>
      </c>
      <c r="U832" s="797"/>
      <c r="V832" s="797"/>
      <c r="W832" s="785">
        <f>IFERROR(VLOOKUP($Q832,'391'!$S:$AG,15,0),0)</f>
        <v>0</v>
      </c>
      <c r="X832" s="1090">
        <f t="shared" si="501"/>
        <v>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265" customFormat="1" ht="30" hidden="1" customHeight="1" x14ac:dyDescent="0.25">
      <c r="A833" s="2022" t="s">
        <v>1762</v>
      </c>
      <c r="B833" s="2023"/>
      <c r="C833" s="88"/>
      <c r="D833" s="864"/>
      <c r="E833" s="864"/>
      <c r="F833" s="865"/>
      <c r="G833" s="1297">
        <v>0</v>
      </c>
      <c r="H833" s="1297">
        <f>+SUM(H829:H832)</f>
        <v>0</v>
      </c>
      <c r="I833" s="1297">
        <f>+SUM(I829:I832)</f>
        <v>0</v>
      </c>
      <c r="J833" s="1297">
        <f>+SUM(J829:J832)</f>
        <v>0</v>
      </c>
      <c r="K833" s="1297">
        <f>+SUM(K829:K832)</f>
        <v>0</v>
      </c>
      <c r="L833" s="1297">
        <f t="shared" si="500"/>
        <v>0</v>
      </c>
      <c r="M833" s="59" t="str">
        <f>IFERROR((R833/$S$2),"")</f>
        <v/>
      </c>
      <c r="N833" s="854">
        <f>IFERROR(L833/M833,0)</f>
        <v>0</v>
      </c>
      <c r="O833" s="59">
        <f>IFERROR(SUMIF(ETM!$A:$A,$Q833,ETM!$E:$E),"")</f>
        <v>0</v>
      </c>
      <c r="P833" s="880">
        <f>IFERROR(L833/O833,0)</f>
        <v>0</v>
      </c>
      <c r="Q833" s="795" t="s">
        <v>1761</v>
      </c>
      <c r="R833" s="785" t="str">
        <f>IFERROR(VLOOKUP($Q833,'391'!$S:$Z,8,0),"")</f>
        <v/>
      </c>
      <c r="S833" s="796"/>
      <c r="T833" s="797"/>
      <c r="U833" s="797"/>
      <c r="V833" s="797"/>
      <c r="W833" s="785">
        <f>IFERROR(VLOOKUP($Q833,'391'!$S:$AG,15,0),0)</f>
        <v>0</v>
      </c>
      <c r="X833" s="1090">
        <f t="shared" si="501"/>
        <v>0</v>
      </c>
      <c r="Y833" s="785"/>
      <c r="Z833" s="785"/>
      <c r="AA833" s="797"/>
      <c r="AB833" s="797"/>
      <c r="AC833" s="551"/>
      <c r="AD833" s="551"/>
      <c r="AE833" s="551"/>
      <c r="AF833" s="551"/>
      <c r="AG833" s="551"/>
      <c r="AH833" s="551"/>
      <c r="AI833" s="704"/>
      <c r="AJ833" s="704"/>
      <c r="AK833" s="704"/>
      <c r="AL833" s="704"/>
      <c r="AM833" s="704"/>
      <c r="AN833" s="704"/>
      <c r="AO833" s="704"/>
      <c r="AP833" s="704"/>
      <c r="AQ833" s="704"/>
      <c r="AR833" s="704"/>
      <c r="AS833" s="704"/>
    </row>
    <row r="834" spans="1:45" s="409" customFormat="1" ht="30" hidden="1" customHeight="1" x14ac:dyDescent="0.25">
      <c r="A834" s="2024">
        <f>IF(L839=0,"",MAX($A$16:A833)+1)</f>
        <v>50</v>
      </c>
      <c r="B834" s="2093" t="s">
        <v>2177</v>
      </c>
      <c r="C834" s="114"/>
      <c r="D834" s="866" t="s">
        <v>10</v>
      </c>
      <c r="E834" s="935">
        <v>45835</v>
      </c>
      <c r="F834" s="75">
        <f>$L$7-E834</f>
        <v>426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3">
        <f t="shared" si="499"/>
        <v>0</v>
      </c>
      <c r="M834" s="50"/>
      <c r="N834" s="167"/>
      <c r="O834" s="50"/>
      <c r="P834" s="857"/>
      <c r="Q834" s="795"/>
      <c r="R834" s="785">
        <f>IFERROR(VLOOKUP($Q834,'391'!$S:$Z,8,0),"")</f>
        <v>0</v>
      </c>
      <c r="S834" s="796"/>
      <c r="T834" s="797" t="str">
        <f>$Q$838&amp;C834&amp;E834</f>
        <v>Canthaxanthin10%(ESSENTIONRed)CWS (CN)45835</v>
      </c>
      <c r="U834" s="797"/>
      <c r="V834" s="797"/>
      <c r="W834" s="785">
        <f>IFERROR(VLOOKUP($Q834,'391'!$S:$AG,15,0),0)</f>
        <v>0</v>
      </c>
      <c r="X834" s="1090">
        <f t="shared" si="496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9" customFormat="1" ht="30" customHeight="1" x14ac:dyDescent="0.25">
      <c r="A835" s="2025"/>
      <c r="B835" s="2094"/>
      <c r="C835" s="114" t="s">
        <v>2110</v>
      </c>
      <c r="D835" s="866" t="s">
        <v>10</v>
      </c>
      <c r="E835" s="935">
        <v>46225</v>
      </c>
      <c r="F835" s="75">
        <f>$L$7-E835</f>
        <v>36</v>
      </c>
      <c r="G835" s="63">
        <v>80</v>
      </c>
      <c r="H835" s="63"/>
      <c r="I835" s="63"/>
      <c r="J835" s="1378"/>
      <c r="K835" s="64">
        <f>IFERROR(SUMIF(INTAKE!$A:$A,$T835,INTAKE!$P:$P),0)</f>
        <v>0</v>
      </c>
      <c r="L835" s="1703">
        <f t="shared" si="499"/>
        <v>80</v>
      </c>
      <c r="M835" s="48"/>
      <c r="N835" s="163"/>
      <c r="O835" s="48"/>
      <c r="P835" s="1268"/>
      <c r="Q835" s="795"/>
      <c r="R835" s="785">
        <f>IFERROR(VLOOKUP($Q835,'391'!$S:$Z,8,0),"")</f>
        <v>0</v>
      </c>
      <c r="S835" s="796"/>
      <c r="T835" s="797" t="str">
        <f>$Q$838&amp;C835&amp;E835</f>
        <v>Canthaxanthin10%(ESSENTIONRed)CWS (CN)D246225</v>
      </c>
      <c r="U835" s="797"/>
      <c r="V835" s="797"/>
      <c r="W835" s="785">
        <f>IFERROR(VLOOKUP($Q835,'391'!$S:$AG,15,0),0)</f>
        <v>0</v>
      </c>
      <c r="X835" s="1090">
        <f t="shared" si="496"/>
        <v>80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409" customFormat="1" ht="30" customHeight="1" x14ac:dyDescent="0.25">
      <c r="A836" s="2025"/>
      <c r="B836" s="2094"/>
      <c r="C836" s="114" t="s">
        <v>2110</v>
      </c>
      <c r="D836" s="866" t="s">
        <v>10</v>
      </c>
      <c r="E836" s="935">
        <v>46254</v>
      </c>
      <c r="F836" s="75">
        <f>$L$7-E836</f>
        <v>7</v>
      </c>
      <c r="G836" s="63">
        <v>100</v>
      </c>
      <c r="H836" s="63"/>
      <c r="I836" s="63"/>
      <c r="J836" s="1378"/>
      <c r="K836" s="64">
        <f>IFERROR(SUMIF(INTAKE!$A:$A,$T836,INTAKE!$P:$P),0)</f>
        <v>0</v>
      </c>
      <c r="L836" s="1703">
        <f t="shared" si="499"/>
        <v>100</v>
      </c>
      <c r="M836" s="48"/>
      <c r="N836" s="163"/>
      <c r="O836" s="48"/>
      <c r="P836" s="883"/>
      <c r="Q836" s="795"/>
      <c r="R836" s="785">
        <f>IFERROR(VLOOKUP($Q836,'391'!$S:$Z,8,0),"")</f>
        <v>0</v>
      </c>
      <c r="S836" s="796"/>
      <c r="T836" s="797" t="str">
        <f>$Q$838&amp;C836&amp;E836</f>
        <v>Canthaxanthin10%(ESSENTIONRed)CWS (CN)D246254</v>
      </c>
      <c r="U836" s="797"/>
      <c r="V836" s="797"/>
      <c r="W836" s="785">
        <f>IFERROR(VLOOKUP($Q836,'391'!$S:$AG,15,0),0)</f>
        <v>0</v>
      </c>
      <c r="X836" s="1090">
        <f t="shared" si="496"/>
        <v>100</v>
      </c>
      <c r="Y836" s="785"/>
      <c r="Z836" s="785"/>
      <c r="AA836" s="797"/>
      <c r="AB836" s="797"/>
      <c r="AC836" s="681"/>
      <c r="AD836" s="681"/>
      <c r="AE836" s="681"/>
      <c r="AF836" s="681"/>
      <c r="AG836" s="681"/>
      <c r="AH836" s="681"/>
      <c r="AI836" s="703"/>
      <c r="AJ836" s="703"/>
      <c r="AK836" s="703"/>
      <c r="AL836" s="703"/>
      <c r="AM836" s="703"/>
      <c r="AN836" s="703"/>
      <c r="AO836" s="703"/>
      <c r="AP836" s="703"/>
      <c r="AQ836" s="703"/>
      <c r="AR836" s="703"/>
      <c r="AS836" s="703"/>
    </row>
    <row r="837" spans="1:45" s="409" customFormat="1" ht="30" hidden="1" customHeight="1" x14ac:dyDescent="0.25">
      <c r="A837" s="2025"/>
      <c r="B837" s="2094"/>
      <c r="C837" s="114"/>
      <c r="D837" s="866" t="s">
        <v>10</v>
      </c>
      <c r="E837" s="935">
        <v>46254</v>
      </c>
      <c r="F837" s="75">
        <f>$L$7-E837</f>
        <v>7</v>
      </c>
      <c r="G837" s="63">
        <v>0</v>
      </c>
      <c r="H837" s="63"/>
      <c r="I837" s="63"/>
      <c r="J837" s="1378"/>
      <c r="K837" s="64">
        <f>IFERROR(SUMIF(INTAKE!$A:$A,$T837,INTAKE!$P:$P),0)</f>
        <v>0</v>
      </c>
      <c r="L837" s="1703">
        <f t="shared" si="499"/>
        <v>0</v>
      </c>
      <c r="M837" s="45"/>
      <c r="N837" s="162"/>
      <c r="O837" s="45"/>
      <c r="P837" s="857"/>
      <c r="Q837" s="795"/>
      <c r="R837" s="785">
        <f>IFERROR(VLOOKUP($Q837,'391'!$S:$Z,8,0),"")</f>
        <v>0</v>
      </c>
      <c r="S837" s="796"/>
      <c r="T837" s="797" t="str">
        <f>$Q$838&amp;C837&amp;E837</f>
        <v>Canthaxanthin10%(ESSENTIONRed)CWS (CN)46254</v>
      </c>
      <c r="U837" s="797"/>
      <c r="V837" s="797"/>
      <c r="W837" s="785">
        <f>IFERROR(VLOOKUP($Q837,'391'!$S:$AG,15,0),0)</f>
        <v>0</v>
      </c>
      <c r="X837" s="1090">
        <f t="shared" si="496"/>
        <v>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1" customFormat="1" ht="30" customHeight="1" x14ac:dyDescent="0.25">
      <c r="A838" s="2025"/>
      <c r="B838" s="2096"/>
      <c r="C838" s="61" t="s">
        <v>46</v>
      </c>
      <c r="D838" s="863" t="s">
        <v>10</v>
      </c>
      <c r="E838" s="935">
        <v>46225</v>
      </c>
      <c r="F838" s="39">
        <f>$L$7-E838</f>
        <v>36</v>
      </c>
      <c r="G838" s="37">
        <v>48.5</v>
      </c>
      <c r="H838" s="37"/>
      <c r="I838" s="37">
        <f>+SUM(K834:K837)</f>
        <v>0</v>
      </c>
      <c r="J838" s="1385">
        <f>usage!I191</f>
        <v>22.68</v>
      </c>
      <c r="K838" s="37"/>
      <c r="L838" s="1534">
        <f t="shared" si="499"/>
        <v>25.82</v>
      </c>
      <c r="M838" s="35"/>
      <c r="N838" s="87"/>
      <c r="O838" s="35"/>
      <c r="P838" s="1265"/>
      <c r="Q838" s="666" t="s">
        <v>1419</v>
      </c>
      <c r="R838" s="785">
        <f>IFERROR(VLOOKUP($Q838,'391'!$S:$Z,8,0),"")</f>
        <v>51.660000000000004</v>
      </c>
      <c r="S838" s="796"/>
      <c r="T838" s="797" t="str">
        <f>$Q$839&amp;C838&amp;E838</f>
        <v>Canthaxanthin 10%FeedAdditive (China)Feedmill46225</v>
      </c>
      <c r="U838" s="797"/>
      <c r="V838" s="797"/>
      <c r="W838" s="785">
        <f>IFERROR(VLOOKUP($Q838,'391'!$S:$AG,15,0),0)</f>
        <v>234.8</v>
      </c>
      <c r="X838" s="1090">
        <f t="shared" si="496"/>
        <v>-186.3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265" customFormat="1" ht="30" customHeight="1" x14ac:dyDescent="0.25">
      <c r="A839" s="2022" t="s">
        <v>1385</v>
      </c>
      <c r="B839" s="2023"/>
      <c r="C839" s="88"/>
      <c r="D839" s="864"/>
      <c r="E839" s="864"/>
      <c r="F839" s="865"/>
      <c r="G839" s="1297">
        <v>228.5</v>
      </c>
      <c r="H839" s="1297">
        <f t="shared" ref="H839:I839" si="503">+SUM(H834:H838)</f>
        <v>0</v>
      </c>
      <c r="I839" s="1297">
        <f t="shared" si="503"/>
        <v>0</v>
      </c>
      <c r="J839" s="1297">
        <f t="shared" ref="J839:L839" si="504">+SUM(J834:J838)</f>
        <v>22.68</v>
      </c>
      <c r="K839" s="1297">
        <f t="shared" si="504"/>
        <v>0</v>
      </c>
      <c r="L839" s="1297">
        <f t="shared" si="504"/>
        <v>205.82</v>
      </c>
      <c r="M839" s="59">
        <f>IFERROR((S839/$S$2),"")</f>
        <v>8.6100000000000012</v>
      </c>
      <c r="N839" s="854">
        <f>IFERROR(L839/M839,0)</f>
        <v>23.904761904761902</v>
      </c>
      <c r="O839" s="59">
        <f>O828</f>
        <v>10</v>
      </c>
      <c r="P839" s="880">
        <f>IFERROR(L839/O839,0)</f>
        <v>20.582000000000001</v>
      </c>
      <c r="Q839" s="795" t="s">
        <v>1383</v>
      </c>
      <c r="R839" s="785" t="str">
        <f>IFERROR(VLOOKUP($Q839,'391'!$S:$Z,8,0),"0")</f>
        <v>0</v>
      </c>
      <c r="S839" s="1495">
        <f>+R838+R839</f>
        <v>51.660000000000004</v>
      </c>
      <c r="T839" s="797"/>
      <c r="U839" s="797"/>
      <c r="V839" s="797"/>
      <c r="W839" s="785">
        <f>IFERROR(VLOOKUP($Q839,'391'!$S:$AG,15,0),0)</f>
        <v>0</v>
      </c>
      <c r="X839" s="1090">
        <f>G839-W839-W838</f>
        <v>-6.3000000000000114</v>
      </c>
      <c r="Y839" s="785"/>
      <c r="Z839" s="785"/>
      <c r="AA839" s="797"/>
      <c r="AB839" s="797"/>
      <c r="AC839" s="551"/>
      <c r="AD839" s="551"/>
      <c r="AE839" s="551"/>
      <c r="AF839" s="551"/>
      <c r="AG839" s="551"/>
      <c r="AH839" s="551"/>
      <c r="AI839" s="704"/>
      <c r="AJ839" s="704"/>
      <c r="AK839" s="704"/>
      <c r="AL839" s="704"/>
      <c r="AM839" s="704"/>
      <c r="AN839" s="704"/>
      <c r="AO839" s="704"/>
      <c r="AP839" s="704"/>
      <c r="AQ839" s="704"/>
      <c r="AR839" s="704"/>
      <c r="AS839" s="704"/>
    </row>
    <row r="840" spans="1:45" s="400" customFormat="1" ht="30" customHeight="1" x14ac:dyDescent="0.25">
      <c r="A840" s="2024">
        <f>IF(L848=0,"",MAX($A$16:A839)+1)</f>
        <v>51</v>
      </c>
      <c r="B840" s="2046" t="s">
        <v>1122</v>
      </c>
      <c r="C840" s="160" t="s">
        <v>1190</v>
      </c>
      <c r="D840" s="959" t="s">
        <v>10</v>
      </c>
      <c r="E840" s="933">
        <v>46232</v>
      </c>
      <c r="F840" s="74">
        <f t="shared" ref="F840" si="505">$L$7-E840</f>
        <v>29</v>
      </c>
      <c r="G840" s="12">
        <v>1000</v>
      </c>
      <c r="H840" s="18"/>
      <c r="I840" s="18"/>
      <c r="J840" s="1338"/>
      <c r="K840" s="18">
        <f>IFERROR(SUMIF(INTAKE!$A:$A,$T840,INTAKE!$P:$P),0)</f>
        <v>1000</v>
      </c>
      <c r="L840" s="1703">
        <f t="shared" ref="L840:L847" si="506">+G840+H840+I840-J840-K840</f>
        <v>0</v>
      </c>
      <c r="M840" s="51"/>
      <c r="N840" s="920"/>
      <c r="O840" s="51"/>
      <c r="P840" s="1175"/>
      <c r="Q840" s="795"/>
      <c r="R840" s="785">
        <f>IFERROR(VLOOKUP($Q840,'391'!$S:$Z,8,0),"")</f>
        <v>0</v>
      </c>
      <c r="S840" s="796"/>
      <c r="T840" s="797" t="str">
        <f t="shared" ref="T840:T847" si="507">$Q$848&amp;C840&amp;E840</f>
        <v>M-Tox PlusA18.146232</v>
      </c>
      <c r="U840" s="797"/>
      <c r="V840" s="797"/>
      <c r="W840" s="785">
        <f>IFERROR(VLOOKUP($Q840,'391'!$S:$AG,15,0),0)</f>
        <v>0</v>
      </c>
      <c r="X840" s="1090">
        <f t="shared" ref="X840:X872" si="508">G840-W840</f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customHeight="1" x14ac:dyDescent="0.25">
      <c r="A841" s="2025"/>
      <c r="B841" s="2068"/>
      <c r="C841" s="160" t="s">
        <v>223</v>
      </c>
      <c r="D841" s="959" t="s">
        <v>10</v>
      </c>
      <c r="E841" s="933">
        <v>46260</v>
      </c>
      <c r="F841" s="74">
        <f t="shared" ref="F841" si="509">$L$7-E841</f>
        <v>1</v>
      </c>
      <c r="G841" s="12">
        <v>1000</v>
      </c>
      <c r="H841" s="18"/>
      <c r="I841" s="18"/>
      <c r="J841" s="1338"/>
      <c r="K841" s="18">
        <f>IFERROR(SUMIF(INTAKE!$A:$A,$T841,INTAKE!$P:$P),0)</f>
        <v>0</v>
      </c>
      <c r="L841" s="1703">
        <f>+G841+H841+I841-J841-K841</f>
        <v>1000</v>
      </c>
      <c r="M841" s="48"/>
      <c r="N841" s="163"/>
      <c r="O841" s="48"/>
      <c r="P841" s="857"/>
      <c r="Q841" s="795"/>
      <c r="R841" s="785">
        <f>IFERROR(VLOOKUP($Q841,'391'!$S:$Z,8,0),"")</f>
        <v>0</v>
      </c>
      <c r="S841" s="796"/>
      <c r="T841" s="797" t="str">
        <f t="shared" si="507"/>
        <v>M-Tox PlusZ1.246260</v>
      </c>
      <c r="U841" s="797"/>
      <c r="V841" s="797"/>
      <c r="W841" s="785">
        <f>IFERROR(VLOOKUP($Q841,'391'!$S:$AG,15,0),0)</f>
        <v>0</v>
      </c>
      <c r="X841" s="1090">
        <f t="shared" si="508"/>
        <v>1000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customHeight="1" x14ac:dyDescent="0.25">
      <c r="A842" s="2025"/>
      <c r="B842" s="2068"/>
      <c r="C842" s="160" t="s">
        <v>2248</v>
      </c>
      <c r="D842" s="959" t="s">
        <v>10</v>
      </c>
      <c r="E842" s="933">
        <v>46260</v>
      </c>
      <c r="F842" s="74">
        <f t="shared" ref="F842:F844" si="510">$L$7-E842</f>
        <v>1</v>
      </c>
      <c r="G842" s="12">
        <v>1000</v>
      </c>
      <c r="H842" s="18"/>
      <c r="I842" s="18"/>
      <c r="J842" s="1338"/>
      <c r="K842" s="18">
        <f>IFERROR(SUMIF(INTAKE!$A:$A,$T842,INTAKE!$P:$P),0)</f>
        <v>0</v>
      </c>
      <c r="L842" s="1703">
        <f>+G842+H842+I842-J842-K842</f>
        <v>1000</v>
      </c>
      <c r="M842" s="45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7"/>
        <v>M-Tox PlusZ2.346260</v>
      </c>
      <c r="U842" s="797"/>
      <c r="V842" s="797"/>
      <c r="W842" s="785">
        <f>IFERROR(VLOOKUP($Q842,'391'!$S:$AG,15,0),0)</f>
        <v>0</v>
      </c>
      <c r="X842" s="1090">
        <f t="shared" si="508"/>
        <v>1000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customHeight="1" x14ac:dyDescent="0.25">
      <c r="A843" s="2025"/>
      <c r="B843" s="2068"/>
      <c r="C843" s="160" t="s">
        <v>1879</v>
      </c>
      <c r="D843" s="959" t="s">
        <v>10</v>
      </c>
      <c r="E843" s="933">
        <v>46260</v>
      </c>
      <c r="F843" s="74">
        <f t="shared" si="510"/>
        <v>1</v>
      </c>
      <c r="G843" s="12">
        <v>1000</v>
      </c>
      <c r="H843" s="18"/>
      <c r="I843" s="18"/>
      <c r="J843" s="1338"/>
      <c r="K843" s="18">
        <f>IFERROR(SUMIF(INTAKE!$A:$A,$T843,INTAKE!$P:$P),0)</f>
        <v>0</v>
      </c>
      <c r="L843" s="1703">
        <f t="shared" si="506"/>
        <v>1000</v>
      </c>
      <c r="M843" s="45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7"/>
        <v>M-Tox PlusZ4.346260</v>
      </c>
      <c r="U843" s="797"/>
      <c r="V843" s="797"/>
      <c r="W843" s="785">
        <f>IFERROR(VLOOKUP($Q843,'391'!$S:$AG,15,0),0)</f>
        <v>0</v>
      </c>
      <c r="X843" s="1090">
        <f t="shared" si="508"/>
        <v>1000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0" customFormat="1" ht="30" customHeight="1" x14ac:dyDescent="0.25">
      <c r="A844" s="2025"/>
      <c r="B844" s="2068"/>
      <c r="C844" s="160" t="s">
        <v>851</v>
      </c>
      <c r="D844" s="959" t="s">
        <v>10</v>
      </c>
      <c r="E844" s="933">
        <v>46260</v>
      </c>
      <c r="F844" s="74">
        <f t="shared" si="510"/>
        <v>1</v>
      </c>
      <c r="G844" s="12">
        <v>1000</v>
      </c>
      <c r="H844" s="18"/>
      <c r="I844" s="18"/>
      <c r="J844" s="1338"/>
      <c r="K844" s="18">
        <f>IFERROR(SUMIF(INTAKE!$A:$A,$T844,INTAKE!$P:$P),0)</f>
        <v>0</v>
      </c>
      <c r="L844" s="1703">
        <f t="shared" si="506"/>
        <v>1000</v>
      </c>
      <c r="M844" s="45"/>
      <c r="N844" s="162"/>
      <c r="O844" s="45"/>
      <c r="P844" s="736"/>
      <c r="Q844" s="795"/>
      <c r="R844" s="785">
        <f>IFERROR(VLOOKUP($Q844,'391'!$S:$Z,8,0),"")</f>
        <v>0</v>
      </c>
      <c r="S844" s="796"/>
      <c r="T844" s="797" t="str">
        <f t="shared" si="507"/>
        <v>M-Tox PlusZ7.346260</v>
      </c>
      <c r="U844" s="797"/>
      <c r="V844" s="797"/>
      <c r="W844" s="785">
        <f>IFERROR(VLOOKUP($Q844,'391'!$S:$AG,15,0),0)</f>
        <v>0</v>
      </c>
      <c r="X844" s="1090">
        <f t="shared" si="508"/>
        <v>1000</v>
      </c>
      <c r="Y844" s="785"/>
      <c r="Z844" s="785"/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400" customFormat="1" ht="30" hidden="1" customHeight="1" x14ac:dyDescent="0.25">
      <c r="A845" s="2025"/>
      <c r="B845" s="2072"/>
      <c r="C845" s="160"/>
      <c r="D845" s="959" t="s">
        <v>10</v>
      </c>
      <c r="E845" s="933">
        <v>46204</v>
      </c>
      <c r="F845" s="74">
        <f t="shared" ref="F845" si="511">$L$7-E845</f>
        <v>57</v>
      </c>
      <c r="G845" s="12">
        <v>0</v>
      </c>
      <c r="H845" s="18"/>
      <c r="I845" s="12"/>
      <c r="J845" s="1368"/>
      <c r="K845" s="63">
        <f>IFERROR(SUMIF(INTAKE!$A:$A,$T845,INTAKE!$P:$P),0)</f>
        <v>0</v>
      </c>
      <c r="L845" s="1703">
        <f t="shared" ref="L845" si="512">+G845+H845+I845-J845-K845</f>
        <v>0</v>
      </c>
      <c r="M845" s="48"/>
      <c r="N845" s="162"/>
      <c r="O845" s="45"/>
      <c r="P845" s="736"/>
      <c r="Q845" s="795"/>
      <c r="R845" s="785">
        <f>IFERROR(VLOOKUP($Q845,'391'!$S:$Z,8,0),"")</f>
        <v>0</v>
      </c>
      <c r="S845" s="796"/>
      <c r="T845" s="797" t="str">
        <f t="shared" si="507"/>
        <v>M-Tox Plus46204</v>
      </c>
      <c r="U845" s="797"/>
      <c r="V845" s="797"/>
      <c r="W845" s="785">
        <f>IFERROR(VLOOKUP($Q845,'391'!$S:$AG,15,0),0)</f>
        <v>0</v>
      </c>
      <c r="X845" s="1090">
        <f t="shared" ref="X845" si="513">G845-W845</f>
        <v>0</v>
      </c>
      <c r="Y845" s="785"/>
      <c r="Z845" s="785"/>
      <c r="AA845" s="797"/>
      <c r="AB845" s="797"/>
      <c r="AC845" s="681"/>
      <c r="AD845" s="681"/>
      <c r="AE845" s="681"/>
      <c r="AF845" s="681"/>
      <c r="AG845" s="681"/>
      <c r="AH845" s="681"/>
      <c r="AI845" s="703"/>
      <c r="AJ845" s="703"/>
      <c r="AK845" s="703"/>
      <c r="AL845" s="703"/>
      <c r="AM845" s="703"/>
      <c r="AN845" s="703"/>
      <c r="AO845" s="703"/>
      <c r="AP845" s="703"/>
      <c r="AQ845" s="703"/>
      <c r="AR845" s="703"/>
      <c r="AS845" s="703"/>
    </row>
    <row r="846" spans="1:45" s="400" customFormat="1" ht="30" hidden="1" customHeight="1" x14ac:dyDescent="0.25">
      <c r="A846" s="2025"/>
      <c r="B846" s="2068"/>
      <c r="C846" s="160"/>
      <c r="D846" s="959" t="s">
        <v>10</v>
      </c>
      <c r="E846" s="933">
        <v>46204</v>
      </c>
      <c r="F846" s="74">
        <f t="shared" ref="F846:F847" si="514">$L$7-E846</f>
        <v>57</v>
      </c>
      <c r="G846" s="12">
        <v>0</v>
      </c>
      <c r="H846" s="18"/>
      <c r="I846" s="12"/>
      <c r="J846" s="1368"/>
      <c r="K846" s="63">
        <f>IFERROR(SUMIF(INTAKE!$A:$A,$T846,INTAKE!$P:$P),0)</f>
        <v>0</v>
      </c>
      <c r="L846" s="1703">
        <f t="shared" si="506"/>
        <v>0</v>
      </c>
      <c r="M846" s="48"/>
      <c r="N846" s="162"/>
      <c r="O846" s="45"/>
      <c r="P846" s="736"/>
      <c r="Q846" s="795"/>
      <c r="R846" s="785">
        <f>IFERROR(VLOOKUP($Q846,'391'!$S:$Z,8,0),"")</f>
        <v>0</v>
      </c>
      <c r="S846" s="796"/>
      <c r="T846" s="797" t="str">
        <f t="shared" si="507"/>
        <v>M-Tox Plus46204</v>
      </c>
      <c r="U846" s="797"/>
      <c r="V846" s="797"/>
      <c r="W846" s="785">
        <f>IFERROR(VLOOKUP($Q846,'391'!$S:$AG,15,0),0)</f>
        <v>0</v>
      </c>
      <c r="X846" s="1090">
        <f t="shared" si="508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1" customFormat="1" ht="30" customHeight="1" x14ac:dyDescent="0.25">
      <c r="A847" s="2025"/>
      <c r="B847" s="2047"/>
      <c r="C847" s="222" t="s">
        <v>46</v>
      </c>
      <c r="D847" s="969" t="s">
        <v>10</v>
      </c>
      <c r="E847" s="960">
        <v>46232</v>
      </c>
      <c r="F847" s="42">
        <f t="shared" si="514"/>
        <v>29</v>
      </c>
      <c r="G847" s="37">
        <v>563.36000000000024</v>
      </c>
      <c r="H847" s="1392"/>
      <c r="I847" s="58">
        <f>+SUM(K840:K844)</f>
        <v>1000</v>
      </c>
      <c r="J847" s="1393">
        <f>+usage!I107</f>
        <v>294.38</v>
      </c>
      <c r="K847" s="63">
        <f>IFERROR(SUMIF(INTAKE!$A:$A,$T847,INTAKE!$P:$P),0)</f>
        <v>0</v>
      </c>
      <c r="L847" s="1534">
        <f t="shared" si="506"/>
        <v>1268.98</v>
      </c>
      <c r="M847" s="35"/>
      <c r="N847" s="87"/>
      <c r="O847" s="35"/>
      <c r="P847" s="740"/>
      <c r="Q847" s="795" t="s">
        <v>1124</v>
      </c>
      <c r="R847" s="785" t="str">
        <f>IFERROR(VLOOKUP($Q847,'391'!$S:$Z,8,0),"0")</f>
        <v>0</v>
      </c>
      <c r="S847" s="796"/>
      <c r="T847" s="797" t="str">
        <f t="shared" si="507"/>
        <v>M-Tox PlusFeedmill46232</v>
      </c>
      <c r="U847" s="797"/>
      <c r="V847" s="797"/>
      <c r="W847" s="785">
        <f>IFERROR(VLOOKUP($Q847,'391'!$S:$AG,15,0),0)</f>
        <v>0</v>
      </c>
      <c r="X847" s="1090">
        <f t="shared" si="508"/>
        <v>563.36000000000024</v>
      </c>
      <c r="Y847" s="1088">
        <f>+W847+W848</f>
        <v>2468.7200000000003</v>
      </c>
      <c r="Z847" s="1091">
        <f>+G848-Y847</f>
        <v>3094.6400000000003</v>
      </c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265" customFormat="1" ht="30" customHeight="1" x14ac:dyDescent="0.25">
      <c r="A848" s="2022" t="s">
        <v>293</v>
      </c>
      <c r="B848" s="2023"/>
      <c r="C848" s="88"/>
      <c r="D848" s="864"/>
      <c r="E848" s="864"/>
      <c r="F848" s="865"/>
      <c r="G848" s="1394">
        <v>5563.3600000000006</v>
      </c>
      <c r="H848" s="1394">
        <f t="shared" ref="H848:L848" si="515">SUM(H840:H847)</f>
        <v>0</v>
      </c>
      <c r="I848" s="1394">
        <f t="shared" si="515"/>
        <v>1000</v>
      </c>
      <c r="J848" s="1394">
        <f t="shared" si="515"/>
        <v>294.38</v>
      </c>
      <c r="K848" s="1394">
        <f t="shared" si="515"/>
        <v>1000</v>
      </c>
      <c r="L848" s="1394">
        <f t="shared" si="515"/>
        <v>5268.98</v>
      </c>
      <c r="M848" s="59">
        <f>IFERROR((S848/$S$2),"")</f>
        <v>231.97333333333333</v>
      </c>
      <c r="N848" s="854">
        <f>IFERROR((L848/M848),0)</f>
        <v>22.713731463386594</v>
      </c>
      <c r="O848" s="59">
        <f>IFERROR(SUMIF(ETM!$A:$A,$Q848,ETM!$E:$E),"")</f>
        <v>249.50000000000003</v>
      </c>
      <c r="P848" s="855">
        <f>IFERROR(L848/O848,0)</f>
        <v>21.118156312625246</v>
      </c>
      <c r="Q848" s="814" t="s">
        <v>385</v>
      </c>
      <c r="R848" s="785">
        <f>IFERROR(VLOOKUP($Q848,'391'!$S:$Z,8,0),"0")</f>
        <v>1391.84</v>
      </c>
      <c r="S848" s="796">
        <f>+R847+R848</f>
        <v>1391.84</v>
      </c>
      <c r="T848" s="797"/>
      <c r="U848" s="797"/>
      <c r="V848" s="797"/>
      <c r="W848" s="785">
        <f>IFERROR(VLOOKUP($Q848,'391'!$S:$AG,15,0),0)</f>
        <v>2468.7200000000003</v>
      </c>
      <c r="X848" s="1090">
        <f t="shared" si="508"/>
        <v>3094.6400000000003</v>
      </c>
      <c r="Y848" s="785"/>
      <c r="Z848" s="785"/>
      <c r="AA848" s="797"/>
      <c r="AB848" s="797"/>
      <c r="AC848" s="551"/>
      <c r="AD848" s="551"/>
      <c r="AE848" s="551"/>
      <c r="AF848" s="551"/>
      <c r="AG848" s="551"/>
      <c r="AH848" s="551"/>
      <c r="AI848" s="704"/>
      <c r="AJ848" s="704"/>
      <c r="AK848" s="704"/>
      <c r="AL848" s="704"/>
      <c r="AM848" s="704"/>
      <c r="AN848" s="704"/>
      <c r="AO848" s="704"/>
      <c r="AP848" s="704"/>
      <c r="AQ848" s="704"/>
      <c r="AR848" s="704"/>
      <c r="AS848" s="704"/>
    </row>
    <row r="849" spans="1:45" s="409" customFormat="1" ht="30" customHeight="1" x14ac:dyDescent="0.25">
      <c r="A849" s="2024">
        <f>IF(L856=0,"",MAX($A$16:A848)+1)</f>
        <v>52</v>
      </c>
      <c r="B849" s="2046" t="s">
        <v>281</v>
      </c>
      <c r="C849" s="347" t="s">
        <v>1826</v>
      </c>
      <c r="D849" s="970" t="s">
        <v>10</v>
      </c>
      <c r="E849" s="971">
        <v>46149</v>
      </c>
      <c r="F849" s="967">
        <f t="shared" ref="F849:F855" si="516">$L$7-E849</f>
        <v>112</v>
      </c>
      <c r="G849" s="1395">
        <v>1500</v>
      </c>
      <c r="H849" s="1395"/>
      <c r="I849" s="1395"/>
      <c r="J849" s="1396"/>
      <c r="K849" s="18">
        <f>IFERROR(SUMIF(INTAKE!$A:$A,$T849,INTAKE!$P:$P),0)</f>
        <v>0</v>
      </c>
      <c r="L849" s="1703">
        <f t="shared" ref="L849:L869" si="517">+G849+H849+I849-J849-K849</f>
        <v>1500</v>
      </c>
      <c r="M849" s="50"/>
      <c r="N849" s="167"/>
      <c r="O849" s="50"/>
      <c r="P849" s="744"/>
      <c r="Q849" s="795"/>
      <c r="R849" s="785">
        <f>IFERROR(VLOOKUP($Q849,'391'!$S:$Z,8,0),"")</f>
        <v>0</v>
      </c>
      <c r="S849" s="796"/>
      <c r="T849" s="797" t="str">
        <f t="shared" ref="T849:T855" si="518">$Q$856&amp;C849&amp;E849</f>
        <v>Feedcurb (Singapore)V1.246149</v>
      </c>
      <c r="U849" s="797"/>
      <c r="V849" s="797"/>
      <c r="W849" s="785">
        <f>IFERROR(VLOOKUP($Q849,'391'!$S:$AG,15,0),0)</f>
        <v>0</v>
      </c>
      <c r="X849" s="1090">
        <f t="shared" si="508"/>
        <v>1500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customHeight="1" x14ac:dyDescent="0.25">
      <c r="A850" s="2025"/>
      <c r="B850" s="2068"/>
      <c r="C850" s="347" t="s">
        <v>1624</v>
      </c>
      <c r="D850" s="970" t="s">
        <v>10</v>
      </c>
      <c r="E850" s="971">
        <v>46149</v>
      </c>
      <c r="F850" s="967">
        <f t="shared" si="516"/>
        <v>112</v>
      </c>
      <c r="G850" s="1395">
        <v>2000</v>
      </c>
      <c r="H850" s="1395"/>
      <c r="I850" s="1395"/>
      <c r="J850" s="1396"/>
      <c r="K850" s="1395">
        <f>IFERROR(SUMIF(INTAKE!$A:$A,$T850,INTAKE!$P:$P),0)</f>
        <v>0</v>
      </c>
      <c r="L850" s="1703">
        <f t="shared" si="517"/>
        <v>2000</v>
      </c>
      <c r="M850" s="48"/>
      <c r="N850" s="163"/>
      <c r="O850" s="48"/>
      <c r="P850" s="738"/>
      <c r="Q850" s="795"/>
      <c r="R850" s="785">
        <f>IFERROR(VLOOKUP($Q850,'391'!$S:$Z,8,0),"")</f>
        <v>0</v>
      </c>
      <c r="S850" s="796"/>
      <c r="T850" s="797" t="str">
        <f t="shared" si="518"/>
        <v>Feedcurb (Singapore)V2.246149</v>
      </c>
      <c r="U850" s="797"/>
      <c r="V850" s="797"/>
      <c r="W850" s="785">
        <f>IFERROR(VLOOKUP($Q850,'391'!$S:$AG,15,0),0)</f>
        <v>0</v>
      </c>
      <c r="X850" s="1090">
        <f t="shared" si="508"/>
        <v>2000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5"/>
      <c r="B851" s="2068"/>
      <c r="C851" s="347"/>
      <c r="D851" s="970" t="s">
        <v>10</v>
      </c>
      <c r="E851" s="971">
        <v>44623</v>
      </c>
      <c r="F851" s="967">
        <f t="shared" si="516"/>
        <v>1638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17"/>
        <v>0</v>
      </c>
      <c r="M851" s="48"/>
      <c r="N851" s="162"/>
      <c r="O851" s="48"/>
      <c r="P851" s="857"/>
      <c r="Q851" s="795"/>
      <c r="R851" s="785">
        <f>IFERROR(VLOOKUP($Q851,'391'!$S:$Z,8,0),"")</f>
        <v>0</v>
      </c>
      <c r="S851" s="796"/>
      <c r="T851" s="797" t="str">
        <f t="shared" si="518"/>
        <v>Feedcurb (Singapore)44623</v>
      </c>
      <c r="U851" s="797"/>
      <c r="V851" s="797"/>
      <c r="W851" s="785">
        <f>IFERROR(VLOOKUP($Q851,'391'!$S:$AG,15,0),0)</f>
        <v>0</v>
      </c>
      <c r="X851" s="1090">
        <f t="shared" si="508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09" customFormat="1" ht="30" hidden="1" customHeight="1" x14ac:dyDescent="0.25">
      <c r="A852" s="2025"/>
      <c r="B852" s="2068"/>
      <c r="C852" s="347"/>
      <c r="D852" s="970" t="s">
        <v>10</v>
      </c>
      <c r="E852" s="971">
        <v>44623</v>
      </c>
      <c r="F852" s="967">
        <f t="shared" si="516"/>
        <v>1638</v>
      </c>
      <c r="G852" s="1395">
        <v>0</v>
      </c>
      <c r="H852" s="1395"/>
      <c r="I852" s="1395"/>
      <c r="J852" s="1396"/>
      <c r="K852" s="1395">
        <f>IFERROR(SUMIF(INTAKE!$A:$A,$T852,INTAKE!$P:$P),0)</f>
        <v>0</v>
      </c>
      <c r="L852" s="1534">
        <f t="shared" si="517"/>
        <v>0</v>
      </c>
      <c r="M852" s="173"/>
      <c r="N852" s="173"/>
      <c r="O852" s="173"/>
      <c r="P852" s="754"/>
      <c r="Q852" s="795"/>
      <c r="R852" s="785">
        <f>IFERROR(VLOOKUP($Q852,'391'!$S:$Z,8,0),"")</f>
        <v>0</v>
      </c>
      <c r="S852" s="796"/>
      <c r="T852" s="797" t="str">
        <f t="shared" si="518"/>
        <v>Feedcurb (Singapore)44623</v>
      </c>
      <c r="U852" s="797"/>
      <c r="V852" s="797"/>
      <c r="W852" s="785">
        <f>IFERROR(VLOOKUP($Q852,'391'!$S:$AG,15,0),0)</f>
        <v>0</v>
      </c>
      <c r="X852" s="1090">
        <f t="shared" si="508"/>
        <v>0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409" customFormat="1" ht="30" hidden="1" customHeight="1" x14ac:dyDescent="0.25">
      <c r="A853" s="2025"/>
      <c r="B853" s="2068"/>
      <c r="C853" s="347"/>
      <c r="D853" s="970" t="s">
        <v>10</v>
      </c>
      <c r="E853" s="971">
        <v>45014</v>
      </c>
      <c r="F853" s="967">
        <f t="shared" si="516"/>
        <v>1247</v>
      </c>
      <c r="G853" s="1395">
        <v>0</v>
      </c>
      <c r="H853" s="1395"/>
      <c r="I853" s="1395"/>
      <c r="J853" s="1396"/>
      <c r="K853" s="1395">
        <f>IFERROR(SUMIF(INTAKE!$A:$A,$T853,INTAKE!$P:$P),0)</f>
        <v>0</v>
      </c>
      <c r="L853" s="1534">
        <f t="shared" si="517"/>
        <v>0</v>
      </c>
      <c r="M853" s="174"/>
      <c r="N853" s="174"/>
      <c r="O853" s="174"/>
      <c r="P853" s="755"/>
      <c r="Q853" s="795"/>
      <c r="R853" s="785">
        <f>IFERROR(VLOOKUP($Q853,'391'!$S:$Z,8,0),"")</f>
        <v>0</v>
      </c>
      <c r="S853" s="796"/>
      <c r="T853" s="797" t="str">
        <f t="shared" si="518"/>
        <v>Feedcurb (Singapore)45014</v>
      </c>
      <c r="U853" s="797"/>
      <c r="V853" s="797"/>
      <c r="W853" s="785">
        <f>IFERROR(VLOOKUP($Q853,'391'!$S:$AG,15,0),0)</f>
        <v>0</v>
      </c>
      <c r="X853" s="1090">
        <f t="shared" si="508"/>
        <v>0</v>
      </c>
      <c r="Y853" s="785"/>
      <c r="Z853" s="785"/>
      <c r="AA853" s="797"/>
      <c r="AB853" s="797"/>
      <c r="AC853" s="681"/>
      <c r="AD853" s="681"/>
      <c r="AE853" s="681"/>
      <c r="AF853" s="681"/>
      <c r="AG853" s="681"/>
      <c r="AH853" s="681"/>
      <c r="AI853" s="703"/>
      <c r="AJ853" s="703"/>
      <c r="AK853" s="703"/>
      <c r="AL853" s="703"/>
      <c r="AM853" s="703"/>
      <c r="AN853" s="703"/>
      <c r="AO853" s="703"/>
      <c r="AP853" s="703"/>
      <c r="AQ853" s="703"/>
      <c r="AR853" s="703"/>
      <c r="AS853" s="703"/>
    </row>
    <row r="854" spans="1:45" s="409" customFormat="1" ht="30" hidden="1" customHeight="1" x14ac:dyDescent="0.25">
      <c r="A854" s="2025"/>
      <c r="B854" s="2068"/>
      <c r="C854" s="347"/>
      <c r="D854" s="970" t="s">
        <v>10</v>
      </c>
      <c r="E854" s="971">
        <v>45014</v>
      </c>
      <c r="F854" s="967">
        <f t="shared" si="516"/>
        <v>1247</v>
      </c>
      <c r="G854" s="1395">
        <v>0</v>
      </c>
      <c r="H854" s="1395"/>
      <c r="I854" s="1395"/>
      <c r="J854" s="1396"/>
      <c r="K854" s="1395">
        <f>IFERROR(SUMIF(INTAKE!$A:$A,$T854,INTAKE!$P:$P),0)</f>
        <v>0</v>
      </c>
      <c r="L854" s="1534">
        <f t="shared" si="517"/>
        <v>0</v>
      </c>
      <c r="M854" s="174"/>
      <c r="N854" s="174"/>
      <c r="O854" s="174"/>
      <c r="P854" s="755"/>
      <c r="Q854" s="795"/>
      <c r="R854" s="785">
        <f>IFERROR(VLOOKUP($Q854,'391'!$S:$Z,8,0),"")</f>
        <v>0</v>
      </c>
      <c r="S854" s="796"/>
      <c r="T854" s="797" t="str">
        <f t="shared" si="518"/>
        <v>Feedcurb (Singapore)45014</v>
      </c>
      <c r="U854" s="797"/>
      <c r="V854" s="797"/>
      <c r="W854" s="785">
        <f>IFERROR(VLOOKUP($Q854,'391'!$S:$AG,15,0),0)</f>
        <v>0</v>
      </c>
      <c r="X854" s="1090">
        <f t="shared" si="508"/>
        <v>0</v>
      </c>
      <c r="Y854" s="785"/>
      <c r="Z854" s="785"/>
      <c r="AA854" s="797"/>
      <c r="AB854" s="797"/>
      <c r="AC854" s="681"/>
      <c r="AD854" s="681"/>
      <c r="AE854" s="681"/>
      <c r="AF854" s="681"/>
      <c r="AG854" s="681"/>
      <c r="AH854" s="681"/>
      <c r="AI854" s="703"/>
      <c r="AJ854" s="703"/>
      <c r="AK854" s="703"/>
      <c r="AL854" s="703"/>
      <c r="AM854" s="703"/>
      <c r="AN854" s="703"/>
      <c r="AO854" s="703"/>
      <c r="AP854" s="703"/>
      <c r="AQ854" s="703"/>
      <c r="AR854" s="703"/>
      <c r="AS854" s="703"/>
    </row>
    <row r="855" spans="1:45" s="413" customFormat="1" ht="30" customHeight="1" x14ac:dyDescent="0.25">
      <c r="A855" s="2025"/>
      <c r="B855" s="2068"/>
      <c r="C855" s="222" t="s">
        <v>46</v>
      </c>
      <c r="D855" s="969" t="s">
        <v>10</v>
      </c>
      <c r="E855" s="960">
        <v>46149</v>
      </c>
      <c r="F855" s="42">
        <f t="shared" si="516"/>
        <v>112</v>
      </c>
      <c r="G855" s="37">
        <v>0</v>
      </c>
      <c r="H855" s="1392"/>
      <c r="I855" s="58">
        <f>+SUM(K849:K854)</f>
        <v>0</v>
      </c>
      <c r="J855" s="1393">
        <f>+usage!I102</f>
        <v>0</v>
      </c>
      <c r="K855" s="1395">
        <f>IFERROR(SUMIF(INTAKE!$A:$A,$T855,INTAKE!$P:$P),0)</f>
        <v>0</v>
      </c>
      <c r="L855" s="1534">
        <f t="shared" si="517"/>
        <v>0</v>
      </c>
      <c r="M855" s="972"/>
      <c r="N855" s="972"/>
      <c r="O855" s="972"/>
      <c r="P855" s="755"/>
      <c r="Q855" s="795"/>
      <c r="R855" s="785">
        <f>IFERROR(VLOOKUP($Q855,'391'!$S:$Z,8,0),"")</f>
        <v>0</v>
      </c>
      <c r="S855" s="796"/>
      <c r="T855" s="797" t="str">
        <f t="shared" si="518"/>
        <v>Feedcurb (Singapore)Feedmill46149</v>
      </c>
      <c r="U855" s="797"/>
      <c r="V855" s="797"/>
      <c r="W855" s="785">
        <f>IFERROR(VLOOKUP($Q855,'391'!$S:$AG,15,0),0)</f>
        <v>0</v>
      </c>
      <c r="X855" s="1090">
        <f t="shared" si="508"/>
        <v>0</v>
      </c>
      <c r="Y855" s="785"/>
      <c r="Z855" s="785"/>
      <c r="AA855" s="797"/>
      <c r="AB855" s="797"/>
      <c r="AC855" s="681"/>
      <c r="AD855" s="681"/>
      <c r="AE855" s="681"/>
      <c r="AF855" s="681"/>
      <c r="AG855" s="681"/>
      <c r="AH855" s="681"/>
      <c r="AI855" s="703"/>
      <c r="AJ855" s="703"/>
      <c r="AK855" s="703"/>
      <c r="AL855" s="703"/>
      <c r="AM855" s="703"/>
      <c r="AN855" s="703"/>
      <c r="AO855" s="703"/>
      <c r="AP855" s="703"/>
      <c r="AQ855" s="703"/>
      <c r="AR855" s="703"/>
      <c r="AS855" s="703"/>
    </row>
    <row r="856" spans="1:45" s="265" customFormat="1" ht="30" customHeight="1" x14ac:dyDescent="0.25">
      <c r="A856" s="2022" t="s">
        <v>52</v>
      </c>
      <c r="B856" s="2023"/>
      <c r="C856" s="88"/>
      <c r="D856" s="864"/>
      <c r="E856" s="864"/>
      <c r="F856" s="865"/>
      <c r="G856" s="1394">
        <v>3500</v>
      </c>
      <c r="H856" s="1394">
        <f t="shared" ref="H856:I856" si="519">SUM(H849:H855)</f>
        <v>0</v>
      </c>
      <c r="I856" s="1394">
        <f t="shared" si="519"/>
        <v>0</v>
      </c>
      <c r="J856" s="1394">
        <f t="shared" ref="J856:K856" si="520">SUM(J849:J855)</f>
        <v>0</v>
      </c>
      <c r="K856" s="1394">
        <f t="shared" si="520"/>
        <v>0</v>
      </c>
      <c r="L856" s="1394">
        <f t="shared" si="517"/>
        <v>3500</v>
      </c>
      <c r="M856" s="59">
        <f>IFERROR((R856/$S$2),"")</f>
        <v>0</v>
      </c>
      <c r="N856" s="366">
        <f>IFERROR(L856/M856,0)</f>
        <v>0</v>
      </c>
      <c r="O856" s="59">
        <f>IFERROR(SUMIF(ETM!$A:$A,$Q856,ETM!$E:$E),"")</f>
        <v>0</v>
      </c>
      <c r="P856" s="880">
        <f>IFERROR(L856/O856,0)</f>
        <v>0</v>
      </c>
      <c r="Q856" s="814" t="s">
        <v>662</v>
      </c>
      <c r="R856" s="785">
        <f>IFERROR(VLOOKUP($Q856,'391'!$S:$Z,8,0),"")</f>
        <v>0</v>
      </c>
      <c r="S856" s="796"/>
      <c r="T856" s="797"/>
      <c r="U856" s="797"/>
      <c r="V856" s="797"/>
      <c r="W856" s="785">
        <f>IFERROR(VLOOKUP($Q856,'391'!$S:$AG,15,0),0)</f>
        <v>3500</v>
      </c>
      <c r="X856" s="1090">
        <f t="shared" si="508"/>
        <v>0</v>
      </c>
      <c r="Y856" s="785"/>
      <c r="Z856" s="785"/>
      <c r="AA856" s="797"/>
      <c r="AB856" s="797"/>
      <c r="AC856" s="551"/>
      <c r="AD856" s="551"/>
      <c r="AE856" s="551"/>
      <c r="AF856" s="551"/>
      <c r="AG856" s="551"/>
      <c r="AH856" s="551"/>
      <c r="AI856" s="704"/>
      <c r="AJ856" s="704"/>
      <c r="AK856" s="704"/>
      <c r="AL856" s="704"/>
      <c r="AM856" s="704"/>
      <c r="AN856" s="704"/>
      <c r="AO856" s="704"/>
      <c r="AP856" s="704"/>
      <c r="AQ856" s="704"/>
      <c r="AR856" s="704"/>
      <c r="AS856" s="704"/>
    </row>
    <row r="857" spans="1:45" s="6" customFormat="1" ht="30" hidden="1" customHeight="1" x14ac:dyDescent="0.25">
      <c r="A857" s="2000" t="str">
        <f>IF(L864=0,"",MAX($A$16:A856)+1)</f>
        <v/>
      </c>
      <c r="B857" s="2069" t="s">
        <v>96</v>
      </c>
      <c r="C857" s="143"/>
      <c r="D857" s="866" t="s">
        <v>10</v>
      </c>
      <c r="E857" s="933">
        <v>45091</v>
      </c>
      <c r="F857" s="73">
        <f t="shared" ref="F857:F863" si="521">$L$7-E857</f>
        <v>1170</v>
      </c>
      <c r="G857" s="63">
        <v>0</v>
      </c>
      <c r="H857" s="300"/>
      <c r="I857" s="12"/>
      <c r="J857" s="1300"/>
      <c r="K857" s="18">
        <f>IFERROR(SUMIF(INTAKE!$A:$A,$T857,INTAKE!$P:$P),0)</f>
        <v>0</v>
      </c>
      <c r="L857" s="1534">
        <f t="shared" si="517"/>
        <v>0</v>
      </c>
      <c r="M857" s="66"/>
      <c r="N857" s="920"/>
      <c r="O857" s="66"/>
      <c r="P857" s="744"/>
      <c r="Q857" s="795"/>
      <c r="R857" s="785">
        <f>IFERROR(VLOOKUP($Q857,'391'!$S:$Z,8,0),"")</f>
        <v>0</v>
      </c>
      <c r="S857" s="786"/>
      <c r="T857" s="787" t="str">
        <f t="shared" ref="T857:T863" si="522">$Q$864&amp;C857&amp;E857</f>
        <v>Betafin S445091</v>
      </c>
      <c r="U857" s="787"/>
      <c r="V857" s="787"/>
      <c r="W857" s="785">
        <f>IFERROR(VLOOKUP($Q857,'391'!$S:$AG,15,0),0)</f>
        <v>0</v>
      </c>
      <c r="X857" s="1090">
        <f t="shared" si="508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1"/>
      <c r="B858" s="2070"/>
      <c r="C858" s="143"/>
      <c r="D858" s="866" t="s">
        <v>10</v>
      </c>
      <c r="E858" s="933">
        <v>45029</v>
      </c>
      <c r="F858" s="73">
        <f t="shared" si="521"/>
        <v>1232</v>
      </c>
      <c r="G858" s="63">
        <v>0</v>
      </c>
      <c r="H858" s="312"/>
      <c r="I858" s="12"/>
      <c r="J858" s="1322"/>
      <c r="K858" s="18">
        <f>IFERROR(SUMIF(INTAKE!$A:$A,$T858,INTAKE!$P:$P),0)</f>
        <v>0</v>
      </c>
      <c r="L858" s="1534">
        <f t="shared" si="517"/>
        <v>0</v>
      </c>
      <c r="M858" s="101"/>
      <c r="N858" s="249"/>
      <c r="O858" s="101"/>
      <c r="P858" s="738"/>
      <c r="Q858" s="795"/>
      <c r="R858" s="785">
        <f>IFERROR(VLOOKUP($Q858,'391'!$S:$Z,8,0),"")</f>
        <v>0</v>
      </c>
      <c r="S858" s="786"/>
      <c r="T858" s="787" t="str">
        <f t="shared" si="522"/>
        <v>Betafin S445029</v>
      </c>
      <c r="U858" s="787"/>
      <c r="V858" s="787"/>
      <c r="W858" s="785">
        <f>IFERROR(VLOOKUP($Q858,'391'!$S:$AG,15,0),0)</f>
        <v>0</v>
      </c>
      <c r="X858" s="1090">
        <f t="shared" si="508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1"/>
      <c r="B859" s="2070"/>
      <c r="C859" s="143"/>
      <c r="D859" s="866" t="s">
        <v>10</v>
      </c>
      <c r="E859" s="933">
        <v>45029</v>
      </c>
      <c r="F859" s="73">
        <f t="shared" si="521"/>
        <v>1232</v>
      </c>
      <c r="G859" s="63">
        <v>0</v>
      </c>
      <c r="H859" s="63"/>
      <c r="I859" s="12"/>
      <c r="J859" s="1378"/>
      <c r="K859" s="63">
        <f>IFERROR(SUMIF(INTAKE!$A:$A,$T859,INTAKE!$P:$P),0)</f>
        <v>0</v>
      </c>
      <c r="L859" s="1534">
        <f t="shared" si="517"/>
        <v>0</v>
      </c>
      <c r="M859" s="101"/>
      <c r="N859" s="249"/>
      <c r="O859" s="101"/>
      <c r="P859" s="738"/>
      <c r="Q859" s="795"/>
      <c r="R859" s="785">
        <f>IFERROR(VLOOKUP($Q859,'391'!$S:$Z,8,0),"")</f>
        <v>0</v>
      </c>
      <c r="S859" s="786"/>
      <c r="T859" s="787" t="str">
        <f t="shared" si="522"/>
        <v>Betafin S445029</v>
      </c>
      <c r="U859" s="787"/>
      <c r="V859" s="787"/>
      <c r="W859" s="785">
        <f>IFERROR(VLOOKUP($Q859,'391'!$S:$AG,15,0),0)</f>
        <v>0</v>
      </c>
      <c r="X859" s="1090">
        <f t="shared" si="508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6" customFormat="1" ht="30" hidden="1" customHeight="1" x14ac:dyDescent="0.25">
      <c r="A860" s="2001"/>
      <c r="B860" s="2070"/>
      <c r="C860" s="143"/>
      <c r="D860" s="866" t="s">
        <v>10</v>
      </c>
      <c r="E860" s="933">
        <v>44937</v>
      </c>
      <c r="F860" s="73">
        <f t="shared" si="521"/>
        <v>1324</v>
      </c>
      <c r="G860" s="63">
        <v>0</v>
      </c>
      <c r="H860" s="63"/>
      <c r="I860" s="63"/>
      <c r="J860" s="1378"/>
      <c r="K860" s="63">
        <f>IFERROR(SUMIF(INTAKE!$A:$A,$T860,INTAKE!$P:$P),0)</f>
        <v>0</v>
      </c>
      <c r="L860" s="1534">
        <f t="shared" si="517"/>
        <v>0</v>
      </c>
      <c r="M860" s="101"/>
      <c r="N860" s="249"/>
      <c r="O860" s="101"/>
      <c r="P860" s="738"/>
      <c r="Q860" s="795"/>
      <c r="R860" s="785">
        <f>IFERROR(VLOOKUP($Q860,'391'!$S:$Z,8,0),"")</f>
        <v>0</v>
      </c>
      <c r="S860" s="786"/>
      <c r="T860" s="787" t="str">
        <f t="shared" si="522"/>
        <v>Betafin S444937</v>
      </c>
      <c r="U860" s="787"/>
      <c r="V860" s="787"/>
      <c r="W860" s="785">
        <f>IFERROR(VLOOKUP($Q860,'391'!$S:$AG,15,0),0)</f>
        <v>0</v>
      </c>
      <c r="X860" s="1090">
        <f t="shared" si="508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6" customFormat="1" ht="30" hidden="1" customHeight="1" x14ac:dyDescent="0.25">
      <c r="A861" s="2001"/>
      <c r="B861" s="2070"/>
      <c r="C861" s="143"/>
      <c r="D861" s="866" t="s">
        <v>10</v>
      </c>
      <c r="E861" s="933">
        <v>44426</v>
      </c>
      <c r="F861" s="73">
        <f t="shared" si="521"/>
        <v>1835</v>
      </c>
      <c r="G861" s="63">
        <v>0</v>
      </c>
      <c r="H861" s="63"/>
      <c r="I861" s="63"/>
      <c r="J861" s="1378"/>
      <c r="K861" s="63">
        <f>IFERROR(SUMIF(INTAKE!$A:$A,$T861,INTAKE!$P:$P),0)</f>
        <v>0</v>
      </c>
      <c r="L861" s="1534">
        <f t="shared" si="517"/>
        <v>0</v>
      </c>
      <c r="M861" s="101"/>
      <c r="N861" s="249"/>
      <c r="O861" s="23"/>
      <c r="P861" s="736"/>
      <c r="Q861" s="795"/>
      <c r="R861" s="785">
        <f>IFERROR(VLOOKUP($Q861,'391'!$S:$Z,8,0),"")</f>
        <v>0</v>
      </c>
      <c r="S861" s="786"/>
      <c r="T861" s="787" t="str">
        <f t="shared" si="522"/>
        <v>Betafin S444426</v>
      </c>
      <c r="U861" s="787"/>
      <c r="V861" s="787"/>
      <c r="W861" s="785">
        <f>IFERROR(VLOOKUP($Q861,'391'!$S:$AG,15,0),0)</f>
        <v>0</v>
      </c>
      <c r="X861" s="1090">
        <f t="shared" si="508"/>
        <v>0</v>
      </c>
      <c r="Y861" s="785"/>
      <c r="Z861" s="785"/>
      <c r="AA861" s="787"/>
      <c r="AB861" s="787"/>
      <c r="AC861" s="679"/>
      <c r="AD861" s="679"/>
      <c r="AE861" s="679"/>
      <c r="AF861" s="679"/>
      <c r="AG861" s="679"/>
      <c r="AH861" s="679"/>
      <c r="AI861" s="682"/>
      <c r="AJ861" s="682"/>
      <c r="AK861" s="682"/>
      <c r="AL861" s="682"/>
      <c r="AM861" s="682"/>
      <c r="AN861" s="682"/>
      <c r="AO861" s="682"/>
      <c r="AP861" s="682"/>
      <c r="AQ861" s="682"/>
      <c r="AR861" s="682"/>
      <c r="AS861" s="682"/>
    </row>
    <row r="862" spans="1:45" s="6" customFormat="1" ht="30" hidden="1" customHeight="1" x14ac:dyDescent="0.25">
      <c r="A862" s="2001"/>
      <c r="B862" s="2070"/>
      <c r="C862" s="143"/>
      <c r="D862" s="866" t="s">
        <v>10</v>
      </c>
      <c r="E862" s="933">
        <v>44421</v>
      </c>
      <c r="F862" s="73">
        <f t="shared" si="521"/>
        <v>1840</v>
      </c>
      <c r="G862" s="63">
        <v>0</v>
      </c>
      <c r="H862" s="63"/>
      <c r="I862" s="63"/>
      <c r="J862" s="1378"/>
      <c r="K862" s="63">
        <f>IFERROR(SUMIF(INTAKE!$A:$A,$T862,INTAKE!$P:$P),0)</f>
        <v>0</v>
      </c>
      <c r="L862" s="1534">
        <f t="shared" si="517"/>
        <v>0</v>
      </c>
      <c r="M862" s="23"/>
      <c r="N862" s="920"/>
      <c r="O862" s="23"/>
      <c r="P862" s="736"/>
      <c r="Q862" s="795"/>
      <c r="R862" s="785">
        <f>IFERROR(VLOOKUP($Q862,'391'!$S:$Z,8,0),"")</f>
        <v>0</v>
      </c>
      <c r="S862" s="786"/>
      <c r="T862" s="787" t="str">
        <f t="shared" si="522"/>
        <v>Betafin S444421</v>
      </c>
      <c r="U862" s="787"/>
      <c r="V862" s="787"/>
      <c r="W862" s="785">
        <f>IFERROR(VLOOKUP($Q862,'391'!$S:$AG,15,0),0)</f>
        <v>0</v>
      </c>
      <c r="X862" s="1090">
        <f t="shared" si="508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406" customFormat="1" ht="30" hidden="1" customHeight="1" x14ac:dyDescent="0.25">
      <c r="A863" s="2001"/>
      <c r="B863" s="2071"/>
      <c r="C863" s="128" t="s">
        <v>46</v>
      </c>
      <c r="D863" s="863" t="s">
        <v>10</v>
      </c>
      <c r="E863" s="934">
        <v>45091</v>
      </c>
      <c r="F863" s="39">
        <f t="shared" si="521"/>
        <v>1170</v>
      </c>
      <c r="G863" s="37">
        <v>0</v>
      </c>
      <c r="H863" s="37"/>
      <c r="I863" s="37">
        <f>+SUM(K857:K860)</f>
        <v>0</v>
      </c>
      <c r="J863" s="1385">
        <f>+usage!I83</f>
        <v>0</v>
      </c>
      <c r="K863" s="63">
        <f>IFERROR(SUMIF(INTAKE!$A:$A,$T863,INTAKE!$P:$P),0)</f>
        <v>0</v>
      </c>
      <c r="L863" s="1534">
        <f t="shared" si="517"/>
        <v>0</v>
      </c>
      <c r="M863" s="35"/>
      <c r="N863" s="87"/>
      <c r="O863" s="35"/>
      <c r="P863" s="740"/>
      <c r="Q863" s="795"/>
      <c r="R863" s="785">
        <f>IFERROR(VLOOKUP($Q863,'391'!$S:$Z,8,0),"")</f>
        <v>0</v>
      </c>
      <c r="S863" s="786"/>
      <c r="T863" s="787" t="str">
        <f t="shared" si="522"/>
        <v>Betafin S4Feedmill45091</v>
      </c>
      <c r="U863" s="787"/>
      <c r="V863" s="787"/>
      <c r="W863" s="785">
        <f>IFERROR(VLOOKUP($Q863,'391'!$S:$AG,15,0),0)</f>
        <v>0</v>
      </c>
      <c r="X863" s="1090">
        <f t="shared" si="508"/>
        <v>0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265" customFormat="1" ht="30" hidden="1" customHeight="1" x14ac:dyDescent="0.25">
      <c r="A864" s="2022" t="s">
        <v>137</v>
      </c>
      <c r="B864" s="2023"/>
      <c r="C864" s="88"/>
      <c r="D864" s="864"/>
      <c r="E864" s="864"/>
      <c r="F864" s="865"/>
      <c r="G864" s="1297">
        <v>0</v>
      </c>
      <c r="H864" s="1297">
        <f t="shared" ref="H864:K864" si="523">SUM(H857:H863)</f>
        <v>0</v>
      </c>
      <c r="I864" s="1297">
        <f t="shared" si="523"/>
        <v>0</v>
      </c>
      <c r="J864" s="1297">
        <f t="shared" si="523"/>
        <v>0</v>
      </c>
      <c r="K864" s="1297">
        <f t="shared" si="523"/>
        <v>0</v>
      </c>
      <c r="L864" s="1534">
        <f t="shared" si="517"/>
        <v>0</v>
      </c>
      <c r="M864" s="59" t="str">
        <f>IFERROR((R864/$S$2),"")</f>
        <v/>
      </c>
      <c r="N864" s="366">
        <f>IFERROR(L864/M864,0)</f>
        <v>0</v>
      </c>
      <c r="O864" s="59">
        <f>IFERROR(SUMIF(ETM!$A:$A,$Q864,ETM!$E:$E),"")</f>
        <v>0</v>
      </c>
      <c r="P864" s="880">
        <f>IFERROR(L864/O864,0)</f>
        <v>0</v>
      </c>
      <c r="Q864" s="814" t="s">
        <v>96</v>
      </c>
      <c r="R864" s="785" t="str">
        <f>IFERROR(VLOOKUP($Q864,'391'!$S:$Z,8,0),"")</f>
        <v/>
      </c>
      <c r="S864" s="796"/>
      <c r="T864" s="797"/>
      <c r="U864" s="797"/>
      <c r="V864" s="797"/>
      <c r="W864" s="785">
        <f>IFERROR(VLOOKUP($Q864,'391'!$S:$AG,15,0),0)</f>
        <v>0</v>
      </c>
      <c r="X864" s="1090">
        <f t="shared" si="508"/>
        <v>0</v>
      </c>
      <c r="Y864" s="785"/>
      <c r="Z864" s="785"/>
      <c r="AA864" s="797"/>
      <c r="AB864" s="797"/>
      <c r="AC864" s="551"/>
      <c r="AD864" s="551"/>
      <c r="AE864" s="551"/>
      <c r="AF864" s="551"/>
      <c r="AG864" s="551"/>
      <c r="AH864" s="551"/>
      <c r="AI864" s="704"/>
      <c r="AJ864" s="704"/>
      <c r="AK864" s="704"/>
      <c r="AL864" s="704"/>
      <c r="AM864" s="704"/>
      <c r="AN864" s="704"/>
      <c r="AO864" s="704"/>
      <c r="AP864" s="704"/>
      <c r="AQ864" s="704"/>
      <c r="AR864" s="704"/>
      <c r="AS864" s="704"/>
    </row>
    <row r="865" spans="1:45" s="6" customFormat="1" ht="30" hidden="1" customHeight="1" x14ac:dyDescent="0.25">
      <c r="A865" s="2000">
        <f>IF(L870=0,"",MAX($A$16:A864)+1)</f>
        <v>53</v>
      </c>
      <c r="B865" s="2069" t="s">
        <v>327</v>
      </c>
      <c r="C865" s="226"/>
      <c r="D865" s="875" t="s">
        <v>10</v>
      </c>
      <c r="E865" s="973"/>
      <c r="F865" s="938"/>
      <c r="G865" s="974">
        <v>0</v>
      </c>
      <c r="H865" s="958"/>
      <c r="I865" s="958"/>
      <c r="J865" s="1397"/>
      <c r="K865" s="958">
        <f>IFERROR(SUMIF(INTAKE!$A:$A,$T865,INTAKE!$P:$P),0)</f>
        <v>0</v>
      </c>
      <c r="L865" s="1534">
        <f t="shared" si="517"/>
        <v>0</v>
      </c>
      <c r="M865" s="66"/>
      <c r="N865" s="920"/>
      <c r="O865" s="66"/>
      <c r="P865" s="857"/>
      <c r="Q865" s="795"/>
      <c r="R865" s="785">
        <f>IFERROR(VLOOKUP($Q865,'391'!$S:$Z,8,0),"")</f>
        <v>0</v>
      </c>
      <c r="S865" s="786"/>
      <c r="T865" s="787" t="str">
        <f>$Q$870&amp;C865&amp;E865</f>
        <v>Betafin LQD 38% (Finland)</v>
      </c>
      <c r="U865" s="787"/>
      <c r="V865" s="787"/>
      <c r="W865" s="785">
        <f>IFERROR(VLOOKUP($Q865,'391'!$S:$AG,15,0),0)</f>
        <v>0</v>
      </c>
      <c r="X865" s="1090">
        <f t="shared" si="508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customHeight="1" x14ac:dyDescent="0.25">
      <c r="A866" s="2001"/>
      <c r="B866" s="2070"/>
      <c r="C866" s="226" t="s">
        <v>127</v>
      </c>
      <c r="D866" s="875" t="s">
        <v>10</v>
      </c>
      <c r="E866" s="973">
        <v>46237</v>
      </c>
      <c r="F866" s="938">
        <f>$L$7-E866</f>
        <v>24</v>
      </c>
      <c r="G866" s="974">
        <v>44962.6</v>
      </c>
      <c r="H866" s="958"/>
      <c r="I866" s="958"/>
      <c r="J866" s="1481">
        <f>usage!I84-J867</f>
        <v>1625.4</v>
      </c>
      <c r="K866" s="958"/>
      <c r="L866" s="1534">
        <f t="shared" si="517"/>
        <v>43337.2</v>
      </c>
      <c r="M866" s="101"/>
      <c r="N866" s="101"/>
      <c r="O866" s="101"/>
      <c r="P866" s="738"/>
      <c r="Q866" s="795"/>
      <c r="R866" s="785">
        <f>IFERROR(VLOOKUP($Q866,'391'!$S:$Z,8,0),"")</f>
        <v>0</v>
      </c>
      <c r="S866" s="786"/>
      <c r="T866" s="787" t="str">
        <f>$Q$870&amp;C866&amp;E866</f>
        <v>Betafin LQD 38% (Finland)LF746237</v>
      </c>
      <c r="U866" s="787"/>
      <c r="V866" s="787"/>
      <c r="W866" s="785">
        <f>IFERROR(VLOOKUP($Q866,'391'!$S:$AG,15,0),0)</f>
        <v>0</v>
      </c>
      <c r="X866" s="1090">
        <f t="shared" si="508"/>
        <v>44962.6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6" customFormat="1" ht="30" customHeight="1" x14ac:dyDescent="0.25">
      <c r="A867" s="2001"/>
      <c r="B867" s="2070"/>
      <c r="C867" s="226" t="s">
        <v>209</v>
      </c>
      <c r="D867" s="875" t="s">
        <v>10</v>
      </c>
      <c r="E867" s="973">
        <v>46258</v>
      </c>
      <c r="F867" s="938">
        <f>$L$7-E867</f>
        <v>3</v>
      </c>
      <c r="G867" s="974">
        <v>25649.999999999993</v>
      </c>
      <c r="H867" s="958"/>
      <c r="I867" s="958"/>
      <c r="J867" s="1481"/>
      <c r="K867" s="1405"/>
      <c r="L867" s="1534">
        <f t="shared" si="517"/>
        <v>25649.999999999993</v>
      </c>
      <c r="M867" s="22"/>
      <c r="N867" s="22"/>
      <c r="O867" s="22"/>
      <c r="P867" s="735"/>
      <c r="Q867" s="795"/>
      <c r="R867" s="785">
        <f>IFERROR(VLOOKUP($Q867,'391'!$S:$Z,8,0),"")</f>
        <v>0</v>
      </c>
      <c r="S867" s="786"/>
      <c r="T867" s="787" t="str">
        <f>$Q$870&amp;C867&amp;E867</f>
        <v>Betafin LQD 38% (Finland)LF846258</v>
      </c>
      <c r="U867" s="787"/>
      <c r="V867" s="787"/>
      <c r="W867" s="785">
        <f>IFERROR(VLOOKUP($Q867,'391'!$S:$AG,15,0),0)</f>
        <v>0</v>
      </c>
      <c r="X867" s="1090">
        <f t="shared" si="508"/>
        <v>25649.999999999993</v>
      </c>
      <c r="Y867" s="785"/>
      <c r="Z867" s="785"/>
      <c r="AA867" s="787"/>
      <c r="AB867" s="787"/>
      <c r="AC867" s="679"/>
      <c r="AD867" s="679"/>
      <c r="AE867" s="679"/>
      <c r="AF867" s="679"/>
      <c r="AG867" s="679"/>
      <c r="AH867" s="679"/>
      <c r="AI867" s="682"/>
      <c r="AJ867" s="682"/>
      <c r="AK867" s="682"/>
      <c r="AL867" s="682"/>
      <c r="AM867" s="682"/>
      <c r="AN867" s="682"/>
      <c r="AO867" s="682"/>
      <c r="AP867" s="682"/>
      <c r="AQ867" s="682"/>
      <c r="AR867" s="682"/>
      <c r="AS867" s="682"/>
    </row>
    <row r="868" spans="1:45" s="6" customFormat="1" ht="30" hidden="1" customHeight="1" x14ac:dyDescent="0.25">
      <c r="A868" s="2001"/>
      <c r="B868" s="2070"/>
      <c r="C868" s="226"/>
      <c r="D868" s="875" t="s">
        <v>10</v>
      </c>
      <c r="E868" s="973">
        <v>44673</v>
      </c>
      <c r="F868" s="938">
        <f t="shared" ref="F868:F869" si="524">$L$7-E868</f>
        <v>1588</v>
      </c>
      <c r="G868" s="974">
        <v>0</v>
      </c>
      <c r="H868" s="958"/>
      <c r="I868" s="958"/>
      <c r="J868" s="1397"/>
      <c r="K868" s="958"/>
      <c r="L868" s="1534">
        <f t="shared" si="517"/>
        <v>0</v>
      </c>
      <c r="M868" s="23"/>
      <c r="N868" s="23"/>
      <c r="O868" s="23"/>
      <c r="P868" s="736"/>
      <c r="Q868" s="795"/>
      <c r="R868" s="785">
        <f>IFERROR(VLOOKUP($Q868,'391'!$S:$Z,8,0),"")</f>
        <v>0</v>
      </c>
      <c r="S868" s="786"/>
      <c r="T868" s="787"/>
      <c r="U868" s="787"/>
      <c r="V868" s="787"/>
      <c r="W868" s="785">
        <f>IFERROR(VLOOKUP($Q868,'391'!$S:$AG,15,0),0)</f>
        <v>0</v>
      </c>
      <c r="X868" s="1090">
        <f t="shared" si="508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hidden="1" customHeight="1" x14ac:dyDescent="0.25">
      <c r="A869" s="2001"/>
      <c r="B869" s="2070"/>
      <c r="C869" s="226" t="s">
        <v>1171</v>
      </c>
      <c r="D869" s="875" t="s">
        <v>10</v>
      </c>
      <c r="E869" s="973"/>
      <c r="F869" s="938">
        <f t="shared" si="524"/>
        <v>46261</v>
      </c>
      <c r="G869" s="974">
        <v>0</v>
      </c>
      <c r="H869" s="958"/>
      <c r="I869" s="958"/>
      <c r="J869" s="1397"/>
      <c r="K869" s="958"/>
      <c r="L869" s="1534">
        <f t="shared" si="517"/>
        <v>0</v>
      </c>
      <c r="M869" s="23"/>
      <c r="N869" s="23"/>
      <c r="O869" s="23"/>
      <c r="P869" s="736"/>
      <c r="Q869" s="795"/>
      <c r="R869" s="785">
        <f>IFERROR(VLOOKUP($Q869,'391'!$S:$Z,8,0),"")</f>
        <v>0</v>
      </c>
      <c r="S869" s="786"/>
      <c r="T869" s="787"/>
      <c r="U869" s="787"/>
      <c r="V869" s="787"/>
      <c r="W869" s="785">
        <f>IFERROR(VLOOKUP($Q869,'391'!$S:$AG,15,0),0)</f>
        <v>0</v>
      </c>
      <c r="X869" s="1090">
        <f t="shared" si="508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265" customFormat="1" ht="30" customHeight="1" x14ac:dyDescent="0.25">
      <c r="A870" s="2022" t="s">
        <v>224</v>
      </c>
      <c r="B870" s="2023"/>
      <c r="C870" s="88"/>
      <c r="D870" s="864"/>
      <c r="E870" s="864"/>
      <c r="F870" s="865"/>
      <c r="G870" s="1297">
        <v>70612.599999999991</v>
      </c>
      <c r="H870" s="1297">
        <f t="shared" ref="H870:L870" si="525">+SUM(H865:H869)</f>
        <v>0</v>
      </c>
      <c r="I870" s="1297">
        <f t="shared" si="525"/>
        <v>0</v>
      </c>
      <c r="J870" s="1297">
        <f>+SUM(J865:J869)</f>
        <v>1625.4</v>
      </c>
      <c r="K870" s="1297">
        <f t="shared" si="525"/>
        <v>0</v>
      </c>
      <c r="L870" s="1297">
        <f t="shared" si="525"/>
        <v>68987.199999999983</v>
      </c>
      <c r="M870" s="59">
        <f>IFERROR((R870/$S$2),"")</f>
        <v>2237.6333333333337</v>
      </c>
      <c r="N870" s="366">
        <f>(L870/M870)</f>
        <v>30.830430961283486</v>
      </c>
      <c r="O870" s="59">
        <f>IFERROR(SUMIF(ETM!$A:$A,$Q870,ETM!$E:$E),"")</f>
        <v>2740.833333333333</v>
      </c>
      <c r="P870" s="880">
        <f>IFERROR(L870/O870,0)</f>
        <v>25.170155062328973</v>
      </c>
      <c r="Q870" s="814" t="s">
        <v>663</v>
      </c>
      <c r="R870" s="785">
        <f>IFERROR(VLOOKUP($Q870,'391'!$S:$Z,8,0),"")</f>
        <v>13425.800000000001</v>
      </c>
      <c r="S870" s="796"/>
      <c r="T870" s="797"/>
      <c r="U870" s="797"/>
      <c r="V870" s="797"/>
      <c r="W870" s="785">
        <f>IFERROR(VLOOKUP($Q870,'391'!$S:$AG,15,0),0)</f>
        <v>54775.9</v>
      </c>
      <c r="X870" s="1090">
        <f t="shared" si="508"/>
        <v>15836.69999999999</v>
      </c>
      <c r="Y870" s="785"/>
      <c r="Z870" s="785"/>
      <c r="AA870" s="797"/>
      <c r="AB870" s="797"/>
      <c r="AC870" s="551"/>
      <c r="AD870" s="551"/>
      <c r="AE870" s="551"/>
      <c r="AF870" s="551"/>
      <c r="AG870" s="551"/>
      <c r="AH870" s="551"/>
      <c r="AI870" s="704"/>
      <c r="AJ870" s="704"/>
      <c r="AK870" s="704"/>
      <c r="AL870" s="704"/>
      <c r="AM870" s="704"/>
      <c r="AN870" s="704"/>
      <c r="AO870" s="704"/>
      <c r="AP870" s="704"/>
      <c r="AQ870" s="704"/>
      <c r="AR870" s="704"/>
      <c r="AS870" s="704"/>
    </row>
    <row r="871" spans="1:45" s="6" customFormat="1" ht="30" customHeight="1" x14ac:dyDescent="0.25">
      <c r="A871" s="2000">
        <f>IF(L877=0,"",MAX($A$16:A870)+1)</f>
        <v>54</v>
      </c>
      <c r="B871" s="2069" t="s">
        <v>597</v>
      </c>
      <c r="C871" s="120" t="s">
        <v>2218</v>
      </c>
      <c r="D871" s="887" t="s">
        <v>10</v>
      </c>
      <c r="E871" s="888">
        <v>46253</v>
      </c>
      <c r="F871" s="70">
        <f t="shared" ref="F871:F872" si="526">$L$7-E871</f>
        <v>8</v>
      </c>
      <c r="G871" s="12">
        <v>2500</v>
      </c>
      <c r="H871" s="12"/>
      <c r="I871" s="12"/>
      <c r="J871" s="1368"/>
      <c r="K871" s="958">
        <f>IFERROR(SUMIF(INTAKE!$A:$A,$T871,INTAKE!$P:$P),0)</f>
        <v>0</v>
      </c>
      <c r="L871" s="1703">
        <f t="shared" ref="L871:L876" si="527">+G871+H871+I871-J871-K871</f>
        <v>2500</v>
      </c>
      <c r="M871" s="66"/>
      <c r="N871" s="66"/>
      <c r="O871" s="66"/>
      <c r="P871" s="744"/>
      <c r="Q871" s="795"/>
      <c r="R871" s="785">
        <f>IFERROR(VLOOKUP($Q871,'391'!$S:$Z,8,0),"")</f>
        <v>0</v>
      </c>
      <c r="S871" s="786"/>
      <c r="T871" s="787" t="str">
        <f t="shared" ref="T871:T876" si="528">$Q$877&amp;C871&amp;E871</f>
        <v>Sodium BicabonateV1.346253</v>
      </c>
      <c r="U871" s="787"/>
      <c r="V871" s="787"/>
      <c r="W871" s="785">
        <f>IFERROR(VLOOKUP($Q871,'391'!$S:$AG,15,0),0)</f>
        <v>0</v>
      </c>
      <c r="X871" s="1090">
        <f t="shared" si="508"/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01"/>
      <c r="B872" s="2070"/>
      <c r="C872" s="120" t="s">
        <v>2113</v>
      </c>
      <c r="D872" s="887" t="s">
        <v>10</v>
      </c>
      <c r="E872" s="888">
        <v>46253</v>
      </c>
      <c r="F872" s="70">
        <f t="shared" si="526"/>
        <v>8</v>
      </c>
      <c r="G872" s="12">
        <v>2500</v>
      </c>
      <c r="H872" s="12"/>
      <c r="I872" s="12"/>
      <c r="J872" s="1368"/>
      <c r="K872" s="958">
        <f>IFERROR(SUMIF(INTAKE!$A:$A,$T872,INTAKE!$P:$P),0)</f>
        <v>0</v>
      </c>
      <c r="L872" s="1703">
        <f t="shared" si="527"/>
        <v>2500</v>
      </c>
      <c r="M872" s="101"/>
      <c r="N872" s="101"/>
      <c r="O872" s="101"/>
      <c r="P872" s="738"/>
      <c r="Q872" s="795"/>
      <c r="R872" s="785">
        <f>IFERROR(VLOOKUP($Q872,'391'!$S:$Z,8,0),"")</f>
        <v>0</v>
      </c>
      <c r="S872" s="786"/>
      <c r="T872" s="787" t="str">
        <f t="shared" si="528"/>
        <v>Sodium BicabonateV2.346253</v>
      </c>
      <c r="U872" s="787"/>
      <c r="V872" s="787"/>
      <c r="W872" s="785">
        <f>IFERROR(VLOOKUP($Q872,'391'!$S:$AG,15,0),0)</f>
        <v>0</v>
      </c>
      <c r="X872" s="1090">
        <f t="shared" si="508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01"/>
      <c r="B873" s="2070"/>
      <c r="C873" s="120"/>
      <c r="D873" s="887" t="s">
        <v>10</v>
      </c>
      <c r="E873" s="888">
        <v>46253</v>
      </c>
      <c r="F873" s="70">
        <f t="shared" ref="F871:F873" si="529">$L$7-E873</f>
        <v>8</v>
      </c>
      <c r="G873" s="12"/>
      <c r="H873" s="12"/>
      <c r="I873" s="12"/>
      <c r="J873" s="1368"/>
      <c r="K873" s="958">
        <f>IFERROR(SUMIF(INTAKE!$A:$A,$T873,INTAKE!$P:$P),0)</f>
        <v>0</v>
      </c>
      <c r="L873" s="1703">
        <f t="shared" si="527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28"/>
        <v>Sodium Bicabonate46253</v>
      </c>
      <c r="U873" s="787"/>
      <c r="V873" s="787"/>
      <c r="W873" s="785">
        <f>IFERROR(VLOOKUP($Q873,'391'!$S:$AG,15,0),0)</f>
        <v>0</v>
      </c>
      <c r="X873" s="1090">
        <f t="shared" ref="X873:X900" si="530">G873-W873</f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6" customFormat="1" ht="30" hidden="1" customHeight="1" x14ac:dyDescent="0.25">
      <c r="A874" s="2001"/>
      <c r="B874" s="2075"/>
      <c r="C874" s="120"/>
      <c r="D874" s="887" t="s">
        <v>10</v>
      </c>
      <c r="E874" s="888">
        <v>46253</v>
      </c>
      <c r="F874" s="70">
        <f t="shared" ref="F874" si="531">$L$7-E874</f>
        <v>8</v>
      </c>
      <c r="G874" s="12">
        <v>0</v>
      </c>
      <c r="H874" s="12"/>
      <c r="I874" s="12"/>
      <c r="J874" s="1368"/>
      <c r="K874" s="958">
        <f>IFERROR(SUMIF(INTAKE!$A:$A,$T874,INTAKE!$P:$P),0)</f>
        <v>0</v>
      </c>
      <c r="L874" s="1712">
        <f t="shared" si="527"/>
        <v>0</v>
      </c>
      <c r="M874" s="23"/>
      <c r="N874" s="23"/>
      <c r="O874" s="23"/>
      <c r="P874" s="736"/>
      <c r="Q874" s="795"/>
      <c r="R874" s="785">
        <f>IFERROR(VLOOKUP($Q874,'391'!$S:$Z,8,0),"")</f>
        <v>0</v>
      </c>
      <c r="S874" s="786"/>
      <c r="T874" s="787" t="str">
        <f t="shared" si="528"/>
        <v>Sodium Bicabonate46253</v>
      </c>
      <c r="U874" s="787"/>
      <c r="V874" s="787"/>
      <c r="W874" s="785">
        <f>IFERROR(VLOOKUP($Q874,'391'!$S:$AG,15,0),0)</f>
        <v>0</v>
      </c>
      <c r="X874" s="1090">
        <f t="shared" ref="X874" si="532">G874-W874</f>
        <v>0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6" customFormat="1" ht="30" hidden="1" customHeight="1" x14ac:dyDescent="0.25">
      <c r="A875" s="2001"/>
      <c r="B875" s="2075"/>
      <c r="C875" s="120"/>
      <c r="D875" s="887" t="s">
        <v>10</v>
      </c>
      <c r="E875" s="888">
        <v>46102</v>
      </c>
      <c r="F875" s="70">
        <f t="shared" ref="F875:F876" si="533">$L$7-E875</f>
        <v>159</v>
      </c>
      <c r="G875" s="12">
        <v>0</v>
      </c>
      <c r="H875" s="12"/>
      <c r="I875" s="12"/>
      <c r="J875" s="1368"/>
      <c r="K875" s="958">
        <f>IFERROR(SUMIF(INTAKE!$A:$A,$T875,INTAKE!$P:$P),0)</f>
        <v>0</v>
      </c>
      <c r="L875" s="1712">
        <f t="shared" si="527"/>
        <v>0</v>
      </c>
      <c r="M875" s="23"/>
      <c r="N875" s="23"/>
      <c r="O875" s="23"/>
      <c r="P875" s="736"/>
      <c r="Q875" s="795"/>
      <c r="R875" s="785">
        <f>IFERROR(VLOOKUP($Q875,'391'!$S:$Z,8,0),"")</f>
        <v>0</v>
      </c>
      <c r="S875" s="786"/>
      <c r="T875" s="787" t="str">
        <f t="shared" si="528"/>
        <v>Sodium Bicabonate46102</v>
      </c>
      <c r="U875" s="787"/>
      <c r="V875" s="787"/>
      <c r="W875" s="785">
        <f>IFERROR(VLOOKUP($Q875,'391'!$S:$AG,15,0),0)</f>
        <v>0</v>
      </c>
      <c r="X875" s="1090">
        <f t="shared" si="530"/>
        <v>0</v>
      </c>
      <c r="Y875" s="785"/>
      <c r="Z875" s="785"/>
      <c r="AA875" s="787"/>
      <c r="AB875" s="787"/>
      <c r="AC875" s="679"/>
      <c r="AD875" s="679"/>
      <c r="AE875" s="679"/>
      <c r="AF875" s="679"/>
      <c r="AG875" s="679"/>
      <c r="AH875" s="679"/>
      <c r="AI875" s="682"/>
      <c r="AJ875" s="682"/>
      <c r="AK875" s="682"/>
      <c r="AL875" s="682"/>
      <c r="AM875" s="682"/>
      <c r="AN875" s="682"/>
      <c r="AO875" s="682"/>
      <c r="AP875" s="682"/>
      <c r="AQ875" s="682"/>
      <c r="AR875" s="682"/>
      <c r="AS875" s="682"/>
    </row>
    <row r="876" spans="1:45" s="406" customFormat="1" ht="30" customHeight="1" x14ac:dyDescent="0.25">
      <c r="A876" s="2001"/>
      <c r="B876" s="2071"/>
      <c r="C876" s="61" t="s">
        <v>46</v>
      </c>
      <c r="D876" s="863" t="s">
        <v>10</v>
      </c>
      <c r="E876" s="886">
        <v>46245</v>
      </c>
      <c r="F876" s="39">
        <f t="shared" si="533"/>
        <v>16</v>
      </c>
      <c r="G876" s="37">
        <v>2184.6600000000003</v>
      </c>
      <c r="H876" s="37"/>
      <c r="I876" s="37">
        <f>K871+K872+K873</f>
        <v>0</v>
      </c>
      <c r="J876" s="1398">
        <f>usage!I72</f>
        <v>691.7</v>
      </c>
      <c r="K876" s="37"/>
      <c r="L876" s="1534">
        <f t="shared" si="527"/>
        <v>1492.9600000000003</v>
      </c>
      <c r="M876" s="40"/>
      <c r="N876" s="1471"/>
      <c r="O876" s="40"/>
      <c r="P876" s="975"/>
      <c r="Q876" s="795"/>
      <c r="R876" s="785">
        <f>IFERROR(VLOOKUP($Q876,'391'!$S:$Z,8,0),"")</f>
        <v>0</v>
      </c>
      <c r="S876" s="786"/>
      <c r="T876" s="787" t="str">
        <f t="shared" si="528"/>
        <v>Sodium BicabonateFeedmill46245</v>
      </c>
      <c r="U876" s="787"/>
      <c r="V876" s="787"/>
      <c r="W876" s="785">
        <f>IFERROR(VLOOKUP($Q876,'391'!$S:$AG,15,0),0)</f>
        <v>0</v>
      </c>
      <c r="X876" s="1090">
        <f t="shared" si="530"/>
        <v>2184.6600000000003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265" customFormat="1" ht="30" customHeight="1" x14ac:dyDescent="0.25">
      <c r="A877" s="2022" t="s">
        <v>598</v>
      </c>
      <c r="B877" s="2023"/>
      <c r="C877" s="929"/>
      <c r="D877" s="864"/>
      <c r="E877" s="864"/>
      <c r="F877" s="865"/>
      <c r="G877" s="1297">
        <v>7184.66</v>
      </c>
      <c r="H877" s="1297">
        <f>SUM(H871:H876)</f>
        <v>0</v>
      </c>
      <c r="I877" s="1297">
        <f>SUM(I871:I876)</f>
        <v>0</v>
      </c>
      <c r="J877" s="1297">
        <f>SUM(J871:J876)</f>
        <v>691.7</v>
      </c>
      <c r="K877" s="1297">
        <f>SUM(K871:K876)</f>
        <v>0</v>
      </c>
      <c r="L877" s="1297">
        <f>SUM(L871:L876)</f>
        <v>6492.96</v>
      </c>
      <c r="M877" s="59">
        <f>IFERROR((R877/$S$2),"")</f>
        <v>642.95000000000005</v>
      </c>
      <c r="N877" s="366">
        <f>IFERROR(L877/M877,0)</f>
        <v>10.098701298701299</v>
      </c>
      <c r="O877" s="59">
        <f>IFERROR(SUMIF(ETM!$A:$A,$Q877,ETM!$E:$E),"")</f>
        <v>614</v>
      </c>
      <c r="P877" s="880">
        <f>IFERROR(L877/O877,0)</f>
        <v>10.57485342019544</v>
      </c>
      <c r="Q877" s="814" t="s">
        <v>664</v>
      </c>
      <c r="R877" s="785">
        <f>IFERROR(VLOOKUP($Q877,'391'!$S:$Z,8,0),"")</f>
        <v>3857.7000000000003</v>
      </c>
      <c r="S877" s="796"/>
      <c r="T877" s="797"/>
      <c r="U877" s="797"/>
      <c r="V877" s="797"/>
      <c r="W877" s="785">
        <f>IFERROR(VLOOKUP($Q877,'391'!$S:$AG,15,0),0)</f>
        <v>9093.44</v>
      </c>
      <c r="X877" s="1090">
        <f t="shared" si="530"/>
        <v>-1908.7800000000007</v>
      </c>
      <c r="Y877" s="785"/>
      <c r="Z877" s="785"/>
      <c r="AA877" s="797"/>
      <c r="AB877" s="797"/>
      <c r="AC877" s="551"/>
      <c r="AD877" s="551"/>
      <c r="AE877" s="551"/>
      <c r="AF877" s="551"/>
      <c r="AG877" s="551"/>
      <c r="AH877" s="551"/>
      <c r="AI877" s="704"/>
      <c r="AJ877" s="704"/>
      <c r="AK877" s="704"/>
      <c r="AL877" s="704"/>
      <c r="AM877" s="704"/>
      <c r="AN877" s="704"/>
      <c r="AO877" s="704"/>
      <c r="AP877" s="704"/>
      <c r="AQ877" s="704"/>
      <c r="AR877" s="704"/>
      <c r="AS877" s="704"/>
    </row>
    <row r="878" spans="1:45" s="6" customFormat="1" ht="30" hidden="1" customHeight="1" x14ac:dyDescent="0.25">
      <c r="A878" s="2076">
        <f>IF(L884=0,"",MAX($A$16:A877)+1)</f>
        <v>55</v>
      </c>
      <c r="B878" s="2069" t="s">
        <v>13</v>
      </c>
      <c r="C878" s="120"/>
      <c r="D878" s="887" t="s">
        <v>10</v>
      </c>
      <c r="E878" s="962">
        <v>45862</v>
      </c>
      <c r="F878" s="70">
        <f t="shared" ref="F878:F880" si="534">$L$7-E878</f>
        <v>399</v>
      </c>
      <c r="G878" s="12">
        <v>0</v>
      </c>
      <c r="H878" s="12"/>
      <c r="I878" s="12"/>
      <c r="J878" s="1368"/>
      <c r="K878" s="12">
        <f>IFERROR(SUMIF(INTAKE!$A:$A,$T878,INTAKE!$P:$P),0)</f>
        <v>0</v>
      </c>
      <c r="L878" s="1703">
        <f t="shared" ref="L878:L883" si="535">+G878+H878+I878-J878-K878</f>
        <v>0</v>
      </c>
      <c r="M878" s="147"/>
      <c r="N878" s="920"/>
      <c r="O878" s="147"/>
      <c r="P878" s="734"/>
      <c r="Q878" s="795"/>
      <c r="R878" s="785">
        <f>IFERROR(VLOOKUP($Q878,'391'!$S:$Z,8,0),"")</f>
        <v>0</v>
      </c>
      <c r="S878" s="786"/>
      <c r="T878" s="787" t="str">
        <f t="shared" ref="T878:T883" si="536">$Q$884&amp;C878&amp;E878</f>
        <v>Endox Dry (Singapore)45862</v>
      </c>
      <c r="U878" s="787"/>
      <c r="V878" s="787"/>
      <c r="W878" s="785">
        <f>IFERROR(VLOOKUP($Q878,'391'!$S:$AG,15,0),0)</f>
        <v>0</v>
      </c>
      <c r="X878" s="1090">
        <f t="shared" si="530"/>
        <v>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30" customHeight="1" x14ac:dyDescent="0.25">
      <c r="A879" s="2073"/>
      <c r="B879" s="2070"/>
      <c r="C879" s="120" t="s">
        <v>1852</v>
      </c>
      <c r="D879" s="887" t="s">
        <v>10</v>
      </c>
      <c r="E879" s="962">
        <v>46241</v>
      </c>
      <c r="F879" s="70">
        <f t="shared" si="534"/>
        <v>20</v>
      </c>
      <c r="G879" s="12">
        <v>825</v>
      </c>
      <c r="H879" s="12"/>
      <c r="I879" s="12"/>
      <c r="J879" s="1368"/>
      <c r="K879" s="12">
        <f>IFERROR(SUMIF(INTAKE!$A:$A,$T879,INTAKE!$P:$P),0)</f>
        <v>125</v>
      </c>
      <c r="L879" s="1703">
        <f t="shared" si="535"/>
        <v>700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36"/>
        <v>Endox Dry (Singapore)Z3.146241</v>
      </c>
      <c r="U879" s="787"/>
      <c r="V879" s="787"/>
      <c r="W879" s="785">
        <f>IFERROR(VLOOKUP($Q879,'391'!$S:$AG,15,0),0)</f>
        <v>0</v>
      </c>
      <c r="X879" s="1090">
        <f t="shared" si="530"/>
        <v>825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customHeight="1" x14ac:dyDescent="0.25">
      <c r="A880" s="2073"/>
      <c r="B880" s="2070"/>
      <c r="C880" s="120" t="s">
        <v>596</v>
      </c>
      <c r="D880" s="887" t="s">
        <v>10</v>
      </c>
      <c r="E880" s="962">
        <v>46247</v>
      </c>
      <c r="F880" s="70">
        <f t="shared" si="534"/>
        <v>14</v>
      </c>
      <c r="G880" s="12">
        <v>1000</v>
      </c>
      <c r="H880" s="12"/>
      <c r="I880" s="12"/>
      <c r="J880" s="1368"/>
      <c r="K880" s="12">
        <f>IFERROR(SUMIF(INTAKE!$A:$A,$T880,INTAKE!$P:$P),0)</f>
        <v>0</v>
      </c>
      <c r="L880" s="1703">
        <f t="shared" si="535"/>
        <v>1000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36"/>
        <v>Endox Dry (Singapore)V2.146247</v>
      </c>
      <c r="U880" s="787"/>
      <c r="V880" s="787"/>
      <c r="W880" s="785">
        <f>IFERROR(VLOOKUP($Q880,'391'!$S:$AG,15,0),0)</f>
        <v>0</v>
      </c>
      <c r="X880" s="1090">
        <f t="shared" si="530"/>
        <v>1000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28.5" hidden="1" customHeight="1" x14ac:dyDescent="0.25">
      <c r="A881" s="2073"/>
      <c r="B881" s="2075"/>
      <c r="C881" s="120"/>
      <c r="D881" s="887" t="s">
        <v>10</v>
      </c>
      <c r="E881" s="962">
        <v>46247</v>
      </c>
      <c r="F881" s="70">
        <f t="shared" ref="F879:F881" si="537">$L$7-E881</f>
        <v>14</v>
      </c>
      <c r="G881" s="12"/>
      <c r="H881" s="12"/>
      <c r="I881" s="12"/>
      <c r="J881" s="1368"/>
      <c r="K881" s="12">
        <f>IFERROR(SUMIF(INTAKE!$A:$A,$T881,INTAKE!$P:$P),0)</f>
        <v>0</v>
      </c>
      <c r="L881" s="1712">
        <f t="shared" si="535"/>
        <v>0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36"/>
        <v>Endox Dry (Singapore)46247</v>
      </c>
      <c r="U881" s="787"/>
      <c r="V881" s="787"/>
      <c r="W881" s="785">
        <f>IFERROR(VLOOKUP($Q881,'391'!$S:$AG,15,0),0)</f>
        <v>0</v>
      </c>
      <c r="X881" s="1090">
        <f t="shared" si="530"/>
        <v>0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6" customFormat="1" ht="30" hidden="1" customHeight="1" x14ac:dyDescent="0.25">
      <c r="A882" s="2073"/>
      <c r="B882" s="2070"/>
      <c r="C882" s="120"/>
      <c r="D882" s="887" t="s">
        <v>10</v>
      </c>
      <c r="E882" s="962">
        <v>46247</v>
      </c>
      <c r="F882" s="70">
        <f t="shared" ref="F882:F883" si="538">$L$7-E882</f>
        <v>14</v>
      </c>
      <c r="G882" s="12">
        <v>0</v>
      </c>
      <c r="H882" s="12"/>
      <c r="I882" s="12"/>
      <c r="J882" s="1368"/>
      <c r="K882" s="12">
        <f>IFERROR(SUMIF(INTAKE!$A:$A,$T882,INTAKE!$P:$P),0)</f>
        <v>0</v>
      </c>
      <c r="L882" s="1703">
        <f t="shared" si="535"/>
        <v>0</v>
      </c>
      <c r="M882" s="101"/>
      <c r="N882" s="249"/>
      <c r="O882" s="101"/>
      <c r="P882" s="738"/>
      <c r="Q882" s="795"/>
      <c r="R882" s="785">
        <f>IFERROR(VLOOKUP($Q882,'391'!$S:$Z,8,0),"")</f>
        <v>0</v>
      </c>
      <c r="S882" s="786"/>
      <c r="T882" s="787" t="str">
        <f t="shared" si="536"/>
        <v>Endox Dry (Singapore)46247</v>
      </c>
      <c r="U882" s="787"/>
      <c r="V882" s="787"/>
      <c r="W882" s="785">
        <f>IFERROR(VLOOKUP($Q882,'391'!$S:$AG,15,0),0)</f>
        <v>0</v>
      </c>
      <c r="X882" s="1090">
        <f t="shared" si="530"/>
        <v>0</v>
      </c>
      <c r="Y882" s="785"/>
      <c r="Z882" s="785"/>
      <c r="AA882" s="787"/>
      <c r="AB882" s="787"/>
      <c r="AC882" s="679"/>
      <c r="AD882" s="679"/>
      <c r="AE882" s="679"/>
      <c r="AF882" s="679"/>
      <c r="AG882" s="679"/>
      <c r="AH882" s="679"/>
      <c r="AI882" s="682"/>
      <c r="AJ882" s="682"/>
      <c r="AK882" s="682"/>
      <c r="AL882" s="682"/>
      <c r="AM882" s="682"/>
      <c r="AN882" s="682"/>
      <c r="AO882" s="682"/>
      <c r="AP882" s="682"/>
      <c r="AQ882" s="682"/>
      <c r="AR882" s="682"/>
      <c r="AS882" s="682"/>
    </row>
    <row r="883" spans="1:45" s="6" customFormat="1" ht="30" customHeight="1" x14ac:dyDescent="0.25">
      <c r="A883" s="2073"/>
      <c r="B883" s="2070"/>
      <c r="C883" s="187" t="s">
        <v>46</v>
      </c>
      <c r="D883" s="852" t="s">
        <v>10</v>
      </c>
      <c r="E883" s="968">
        <v>46241</v>
      </c>
      <c r="F883" s="73">
        <f t="shared" si="538"/>
        <v>20</v>
      </c>
      <c r="G883" s="58">
        <v>201.19</v>
      </c>
      <c r="H883" s="11"/>
      <c r="I883" s="58">
        <f>+SUM(K878:K882)</f>
        <v>125</v>
      </c>
      <c r="J883" s="1365">
        <f>+usage!I112</f>
        <v>125.16</v>
      </c>
      <c r="K883" s="12">
        <f>IFERROR(SUMIF(INTAKE!$A:$A,$T883,INTAKE!$P:$P),0)</f>
        <v>0</v>
      </c>
      <c r="L883" s="1534">
        <f t="shared" si="535"/>
        <v>201.03</v>
      </c>
      <c r="M883" s="101"/>
      <c r="N883" s="249"/>
      <c r="O883" s="101"/>
      <c r="P883" s="738"/>
      <c r="Q883" s="795"/>
      <c r="R883" s="785">
        <f>IFERROR(VLOOKUP($Q883,'391'!$S:$Z,8,0),"")</f>
        <v>0</v>
      </c>
      <c r="S883" s="786"/>
      <c r="T883" s="787" t="str">
        <f t="shared" si="536"/>
        <v>Endox Dry (Singapore)Feedmill46241</v>
      </c>
      <c r="U883" s="787"/>
      <c r="V883" s="787"/>
      <c r="W883" s="785">
        <f>IFERROR(VLOOKUP($Q883,'391'!$S:$AG,15,0),0)</f>
        <v>0</v>
      </c>
      <c r="X883" s="1090">
        <f t="shared" si="530"/>
        <v>201.19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265" customFormat="1" ht="30" customHeight="1" x14ac:dyDescent="0.25">
      <c r="A884" s="2022" t="s">
        <v>16</v>
      </c>
      <c r="B884" s="2023"/>
      <c r="C884" s="88"/>
      <c r="D884" s="864"/>
      <c r="E884" s="864"/>
      <c r="F884" s="865"/>
      <c r="G884" s="1297">
        <v>2026.19</v>
      </c>
      <c r="H884" s="1297">
        <f t="shared" ref="H884:L884" si="539">SUM(H878:H883)</f>
        <v>0</v>
      </c>
      <c r="I884" s="1297">
        <f t="shared" si="539"/>
        <v>125</v>
      </c>
      <c r="J884" s="1297">
        <f t="shared" si="539"/>
        <v>125.16</v>
      </c>
      <c r="K884" s="1297">
        <f t="shared" si="539"/>
        <v>125</v>
      </c>
      <c r="L884" s="1297">
        <f t="shared" si="539"/>
        <v>1901.03</v>
      </c>
      <c r="M884" s="59">
        <f>IFERROR((R884/$S$2),"")</f>
        <v>140.92333333333332</v>
      </c>
      <c r="N884" s="854">
        <f>(L884/M884)</f>
        <v>13.489817158265724</v>
      </c>
      <c r="O884" s="59">
        <f>IFERROR(SUMIF(ETM!$A:$A,$Q884,ETM!$E:$E),"")</f>
        <v>153.33333333333334</v>
      </c>
      <c r="P884" s="880">
        <f>IFERROR(L884/O884,0)</f>
        <v>12.398021739130433</v>
      </c>
      <c r="Q884" s="814" t="s">
        <v>665</v>
      </c>
      <c r="R884" s="785">
        <f>IFERROR(VLOOKUP($Q884,'391'!$S:$Z,8,0),"")</f>
        <v>845.54</v>
      </c>
      <c r="S884" s="796"/>
      <c r="T884" s="797"/>
      <c r="U884" s="797"/>
      <c r="V884" s="797"/>
      <c r="W884" s="785">
        <f>IFERROR(VLOOKUP($Q884,'391'!$S:$AG,15,0),0)</f>
        <v>2438.5500000000002</v>
      </c>
      <c r="X884" s="1090">
        <f t="shared" si="530"/>
        <v>-412.36000000000013</v>
      </c>
      <c r="Y884" s="785"/>
      <c r="Z884" s="785"/>
      <c r="AA884" s="797"/>
      <c r="AB884" s="797"/>
      <c r="AC884" s="551"/>
      <c r="AD884" s="551"/>
      <c r="AE884" s="551"/>
      <c r="AF884" s="551"/>
      <c r="AG884" s="551"/>
      <c r="AH884" s="551"/>
      <c r="AI884" s="704"/>
      <c r="AJ884" s="704"/>
      <c r="AK884" s="704"/>
      <c r="AL884" s="704"/>
      <c r="AM884" s="704"/>
      <c r="AN884" s="704"/>
      <c r="AO884" s="704"/>
      <c r="AP884" s="704"/>
      <c r="AQ884" s="704"/>
      <c r="AR884" s="704"/>
      <c r="AS884" s="704"/>
    </row>
    <row r="885" spans="1:45" s="6" customFormat="1" ht="30" hidden="1" customHeight="1" x14ac:dyDescent="0.25">
      <c r="A885" s="2000" t="str">
        <f>IF(L892=0,"",MAX($A$16:A884)+1)</f>
        <v/>
      </c>
      <c r="B885" s="2069" t="s">
        <v>276</v>
      </c>
      <c r="C885" s="160" t="s">
        <v>509</v>
      </c>
      <c r="D885" s="887" t="s">
        <v>10</v>
      </c>
      <c r="E885" s="962">
        <v>44334</v>
      </c>
      <c r="F885" s="70">
        <f t="shared" ref="F885:F891" si="540">$L$7-E885</f>
        <v>1927</v>
      </c>
      <c r="G885" s="12">
        <v>0</v>
      </c>
      <c r="H885" s="12"/>
      <c r="I885" s="12"/>
      <c r="J885" s="1368"/>
      <c r="K885" s="12"/>
      <c r="L885" s="1534">
        <f t="shared" ref="L885:L900" si="541">+G885+H885+I885-J885-K885</f>
        <v>0</v>
      </c>
      <c r="M885" s="66"/>
      <c r="N885" s="920"/>
      <c r="O885" s="66"/>
      <c r="P885" s="744"/>
      <c r="Q885" s="795"/>
      <c r="R885" s="785">
        <f>IFERROR(VLOOKUP($Q885,'391'!$S:$Z,8,0),"")</f>
        <v>0</v>
      </c>
      <c r="S885" s="786"/>
      <c r="T885" s="787"/>
      <c r="U885" s="787"/>
      <c r="V885" s="787"/>
      <c r="W885" s="785">
        <f>IFERROR(VLOOKUP($Q885,'391'!$S:$AG,15,0),0)</f>
        <v>0</v>
      </c>
      <c r="X885" s="1090">
        <f t="shared" si="530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1"/>
      <c r="B886" s="2070"/>
      <c r="C886" s="160" t="s">
        <v>123</v>
      </c>
      <c r="D886" s="887" t="s">
        <v>10</v>
      </c>
      <c r="E886" s="962">
        <v>45290</v>
      </c>
      <c r="F886" s="70">
        <f t="shared" si="540"/>
        <v>971</v>
      </c>
      <c r="G886" s="12">
        <v>0</v>
      </c>
      <c r="H886" s="12"/>
      <c r="I886" s="12"/>
      <c r="J886" s="1368"/>
      <c r="K886" s="1379">
        <f>IFERROR(SUMIF(INTAKE!$A:$A,$T886,INTAKE!$P:$P),0)</f>
        <v>0</v>
      </c>
      <c r="L886" s="1534">
        <f t="shared" si="541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ref="T886:T891" si="542">$Q$892&amp;C886&amp;E886</f>
        <v>Mycosorb A+A22.145290</v>
      </c>
      <c r="U886" s="787"/>
      <c r="V886" s="787"/>
      <c r="W886" s="785">
        <f>IFERROR(VLOOKUP($Q886,'391'!$S:$AG,15,0),0)</f>
        <v>0</v>
      </c>
      <c r="X886" s="1090">
        <f t="shared" si="530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1"/>
      <c r="B887" s="2070"/>
      <c r="C887" s="160"/>
      <c r="D887" s="887" t="s">
        <v>10</v>
      </c>
      <c r="E887" s="962">
        <v>45121</v>
      </c>
      <c r="F887" s="70">
        <f t="shared" si="540"/>
        <v>1140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41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2"/>
        <v>Mycosorb A+45121</v>
      </c>
      <c r="U887" s="787"/>
      <c r="V887" s="787"/>
      <c r="W887" s="785">
        <f>IFERROR(VLOOKUP($Q887,'391'!$S:$AG,15,0),0)</f>
        <v>0</v>
      </c>
      <c r="X887" s="1090">
        <f t="shared" si="530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1"/>
      <c r="B888" s="2070"/>
      <c r="C888" s="160"/>
      <c r="D888" s="887" t="s">
        <v>10</v>
      </c>
      <c r="E888" s="962">
        <v>45121</v>
      </c>
      <c r="F888" s="70">
        <f t="shared" si="540"/>
        <v>1140</v>
      </c>
      <c r="G888" s="12">
        <v>0</v>
      </c>
      <c r="H888" s="12"/>
      <c r="I888" s="12"/>
      <c r="J888" s="1368"/>
      <c r="K888" s="12">
        <f>IFERROR(SUMIF(INTAKE!$A:$A,$T888,INTAKE!$P:$P),0)</f>
        <v>0</v>
      </c>
      <c r="L888" s="1534">
        <f t="shared" si="541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2"/>
        <v>Mycosorb A+45121</v>
      </c>
      <c r="U888" s="787"/>
      <c r="V888" s="787"/>
      <c r="W888" s="785">
        <f>IFERROR(VLOOKUP($Q888,'391'!$S:$AG,15,0),0)</f>
        <v>0</v>
      </c>
      <c r="X888" s="1090">
        <f t="shared" si="530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6" customFormat="1" ht="30" hidden="1" customHeight="1" x14ac:dyDescent="0.25">
      <c r="A889" s="2001"/>
      <c r="B889" s="2070"/>
      <c r="C889" s="143"/>
      <c r="D889" s="887" t="s">
        <v>10</v>
      </c>
      <c r="E889" s="962">
        <v>43600</v>
      </c>
      <c r="F889" s="70">
        <f t="shared" si="540"/>
        <v>2661</v>
      </c>
      <c r="G889" s="12">
        <v>0</v>
      </c>
      <c r="H889" s="12"/>
      <c r="I889" s="12"/>
      <c r="J889" s="1368"/>
      <c r="K889" s="12">
        <f>IFERROR(SUMIF(INTAKE!$A:$A,$T889,INTAKE!$P:$P),0)</f>
        <v>0</v>
      </c>
      <c r="L889" s="1534">
        <f t="shared" si="541"/>
        <v>0</v>
      </c>
      <c r="M889" s="101"/>
      <c r="N889" s="249"/>
      <c r="O889" s="101"/>
      <c r="P889" s="738"/>
      <c r="Q889" s="795"/>
      <c r="R889" s="785">
        <f>IFERROR(VLOOKUP($Q889,'391'!$S:$Z,8,0),"")</f>
        <v>0</v>
      </c>
      <c r="S889" s="786"/>
      <c r="T889" s="787" t="str">
        <f t="shared" si="542"/>
        <v>Mycosorb A+43600</v>
      </c>
      <c r="U889" s="787"/>
      <c r="V889" s="787"/>
      <c r="W889" s="785">
        <f>IFERROR(VLOOKUP($Q889,'391'!$S:$AG,15,0),0)</f>
        <v>0</v>
      </c>
      <c r="X889" s="1090">
        <f t="shared" si="530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6" customFormat="1" ht="30" hidden="1" customHeight="1" x14ac:dyDescent="0.25">
      <c r="A890" s="2001"/>
      <c r="B890" s="2070"/>
      <c r="C890" s="123" t="s">
        <v>46</v>
      </c>
      <c r="D890" s="850" t="s">
        <v>10</v>
      </c>
      <c r="E890" s="960">
        <v>45290</v>
      </c>
      <c r="F890" s="42">
        <f t="shared" si="540"/>
        <v>971</v>
      </c>
      <c r="G890" s="56">
        <v>0</v>
      </c>
      <c r="H890" s="56"/>
      <c r="I890" s="56">
        <f>+SUM(K885:K887)</f>
        <v>0</v>
      </c>
      <c r="J890" s="1369">
        <f>+usage!I104</f>
        <v>0</v>
      </c>
      <c r="K890" s="12">
        <f>IFERROR(SUMIF(INTAKE!$A:$A,$T890,INTAKE!$P:$P),0)</f>
        <v>0</v>
      </c>
      <c r="L890" s="1534">
        <f t="shared" si="541"/>
        <v>0</v>
      </c>
      <c r="M890" s="101"/>
      <c r="N890" s="249"/>
      <c r="O890" s="101"/>
      <c r="P890" s="738"/>
      <c r="Q890" s="795"/>
      <c r="R890" s="785">
        <f>IFERROR(VLOOKUP($Q890,'391'!$S:$Z,8,0),"")</f>
        <v>0</v>
      </c>
      <c r="S890" s="786"/>
      <c r="T890" s="787" t="str">
        <f t="shared" si="542"/>
        <v>Mycosorb A+Feedmill45290</v>
      </c>
      <c r="U890" s="787"/>
      <c r="V890" s="787"/>
      <c r="W890" s="785">
        <f>IFERROR(VLOOKUP($Q890,'391'!$S:$AG,15,0),0)</f>
        <v>0</v>
      </c>
      <c r="X890" s="1090">
        <f t="shared" si="530"/>
        <v>0</v>
      </c>
      <c r="Y890" s="785"/>
      <c r="Z890" s="785"/>
      <c r="AA890" s="787"/>
      <c r="AB890" s="787"/>
      <c r="AC890" s="679"/>
      <c r="AD890" s="679"/>
      <c r="AE890" s="679"/>
      <c r="AF890" s="679"/>
      <c r="AG890" s="679"/>
      <c r="AH890" s="679"/>
      <c r="AI890" s="682"/>
      <c r="AJ890" s="682"/>
      <c r="AK890" s="682"/>
      <c r="AL890" s="682"/>
      <c r="AM890" s="682"/>
      <c r="AN890" s="682"/>
      <c r="AO890" s="682"/>
      <c r="AP890" s="682"/>
      <c r="AQ890" s="682"/>
      <c r="AR890" s="682"/>
      <c r="AS890" s="682"/>
    </row>
    <row r="891" spans="1:45" s="406" customFormat="1" ht="30" hidden="1" customHeight="1" x14ac:dyDescent="0.25">
      <c r="A891" s="2001"/>
      <c r="B891" s="2071"/>
      <c r="C891" s="119" t="s">
        <v>46</v>
      </c>
      <c r="D891" s="863" t="s">
        <v>10</v>
      </c>
      <c r="E891" s="934">
        <v>42341</v>
      </c>
      <c r="F891" s="39">
        <f t="shared" si="540"/>
        <v>3920</v>
      </c>
      <c r="G891" s="37">
        <v>0</v>
      </c>
      <c r="H891" s="37"/>
      <c r="I891" s="37"/>
      <c r="J891" s="1385"/>
      <c r="K891" s="37"/>
      <c r="L891" s="1534">
        <f t="shared" si="541"/>
        <v>0</v>
      </c>
      <c r="M891" s="35"/>
      <c r="N891" s="87"/>
      <c r="O891" s="35"/>
      <c r="P891" s="857"/>
      <c r="Q891" s="795"/>
      <c r="R891" s="785">
        <f>IFERROR(VLOOKUP($Q891,'391'!$S:$Z,8,0),"")</f>
        <v>0</v>
      </c>
      <c r="S891" s="786"/>
      <c r="T891" s="787" t="str">
        <f t="shared" si="542"/>
        <v>Mycosorb A+Feedmill42341</v>
      </c>
      <c r="U891" s="787"/>
      <c r="V891" s="787"/>
      <c r="W891" s="785">
        <f>IFERROR(VLOOKUP($Q891,'391'!$S:$AG,15,0),0)</f>
        <v>0</v>
      </c>
      <c r="X891" s="1090">
        <f t="shared" si="530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265" customFormat="1" ht="30" hidden="1" customHeight="1" x14ac:dyDescent="0.25">
      <c r="A892" s="2022" t="s">
        <v>282</v>
      </c>
      <c r="B892" s="2023"/>
      <c r="C892" s="88"/>
      <c r="D892" s="864"/>
      <c r="E892" s="864"/>
      <c r="F892" s="865"/>
      <c r="G892" s="1297">
        <v>0</v>
      </c>
      <c r="H892" s="1297">
        <f t="shared" ref="H892:K892" si="543">SUM(H885:H891)</f>
        <v>0</v>
      </c>
      <c r="I892" s="1297">
        <f t="shared" si="543"/>
        <v>0</v>
      </c>
      <c r="J892" s="1297">
        <f t="shared" si="543"/>
        <v>0</v>
      </c>
      <c r="K892" s="1297">
        <f t="shared" si="543"/>
        <v>0</v>
      </c>
      <c r="L892" s="1534">
        <f t="shared" si="541"/>
        <v>0</v>
      </c>
      <c r="M892" s="59" t="str">
        <f>IFERROR((R892/$S$2),"")</f>
        <v/>
      </c>
      <c r="N892" s="854" t="e">
        <f>(L892/M892)</f>
        <v>#VALUE!</v>
      </c>
      <c r="O892" s="59">
        <f>IFERROR(SUMIF(ETM!$A:$A,$Q892,ETM!$E:$E),"")</f>
        <v>0</v>
      </c>
      <c r="P892" s="880">
        <f>IFERROR(L892/O892,0)</f>
        <v>0</v>
      </c>
      <c r="Q892" s="814" t="s">
        <v>666</v>
      </c>
      <c r="R892" s="785" t="str">
        <f>IFERROR(VLOOKUP($Q892,'391'!$S:$Z,8,0),"")</f>
        <v/>
      </c>
      <c r="S892" s="796"/>
      <c r="T892" s="797"/>
      <c r="U892" s="797"/>
      <c r="V892" s="797"/>
      <c r="W892" s="785">
        <f>IFERROR(VLOOKUP($Q892,'391'!$S:$AG,15,0),0)</f>
        <v>0</v>
      </c>
      <c r="X892" s="1090">
        <f t="shared" si="530"/>
        <v>0</v>
      </c>
      <c r="Y892" s="785"/>
      <c r="Z892" s="785"/>
      <c r="AA892" s="797"/>
      <c r="AB892" s="797"/>
      <c r="AC892" s="551"/>
      <c r="AD892" s="551"/>
      <c r="AE892" s="551"/>
      <c r="AF892" s="551"/>
      <c r="AG892" s="551"/>
      <c r="AH892" s="551"/>
      <c r="AI892" s="704"/>
      <c r="AJ892" s="704"/>
      <c r="AK892" s="704"/>
      <c r="AL892" s="704"/>
      <c r="AM892" s="704"/>
      <c r="AN892" s="704"/>
      <c r="AO892" s="704"/>
      <c r="AP892" s="704"/>
      <c r="AQ892" s="704"/>
      <c r="AR892" s="704"/>
      <c r="AS892" s="704"/>
    </row>
    <row r="893" spans="1:45" s="411" customFormat="1" ht="30" hidden="1" customHeight="1" x14ac:dyDescent="0.25">
      <c r="A893" s="2024">
        <f>IF(L901=0,"",MAX($A$16:A892)+1)</f>
        <v>56</v>
      </c>
      <c r="B893" s="2046" t="s">
        <v>1238</v>
      </c>
      <c r="C893" s="160"/>
      <c r="D893" s="866" t="s">
        <v>10</v>
      </c>
      <c r="E893" s="935">
        <v>44768</v>
      </c>
      <c r="F893" s="75">
        <f t="shared" ref="F893:F900" si="544">$L$7-E893</f>
        <v>1493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534">
        <f t="shared" si="541"/>
        <v>0</v>
      </c>
      <c r="M893" s="50"/>
      <c r="N893" s="920"/>
      <c r="O893" s="50"/>
      <c r="P893" s="744"/>
      <c r="Q893" s="795"/>
      <c r="R893" s="785">
        <f>IFERROR(VLOOKUP($Q893,'391'!$S:$Z,8,0),"")</f>
        <v>0</v>
      </c>
      <c r="S893" s="786"/>
      <c r="T893" s="787" t="str">
        <f>$Q$901&amp;C893&amp;E893</f>
        <v>ALLPLEX B (USA)44768</v>
      </c>
      <c r="U893" s="787"/>
      <c r="V893" s="787"/>
      <c r="W893" s="785">
        <f>IFERROR(VLOOKUP($Q893,'391'!$S:$AG,15,0),0)</f>
        <v>0</v>
      </c>
      <c r="X893" s="1090">
        <f t="shared" si="530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customHeight="1" x14ac:dyDescent="0.25">
      <c r="A894" s="2025"/>
      <c r="B894" s="2068"/>
      <c r="C894" s="160" t="s">
        <v>194</v>
      </c>
      <c r="D894" s="866" t="s">
        <v>10</v>
      </c>
      <c r="E894" s="935">
        <v>46220</v>
      </c>
      <c r="F894" s="75">
        <f t="shared" ref="F894" si="545">$L$7-E894</f>
        <v>41</v>
      </c>
      <c r="G894" s="63">
        <v>450</v>
      </c>
      <c r="H894" s="63"/>
      <c r="I894" s="63"/>
      <c r="J894" s="1378"/>
      <c r="K894" s="63">
        <f>IFERROR(SUMIF(INTAKE!$A:$A,$T894,INTAKE!$P:$P),0)</f>
        <v>50</v>
      </c>
      <c r="L894" s="1703">
        <f t="shared" si="541"/>
        <v>400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ref="T894:T900" si="546">$Q$900&amp;C894&amp;E894</f>
        <v>Allplex B (Local)V7.246220</v>
      </c>
      <c r="U894" s="787"/>
      <c r="V894" s="787"/>
      <c r="W894" s="785">
        <f>IFERROR(VLOOKUP($Q894,'391'!$S:$AG,15,0),0)</f>
        <v>0</v>
      </c>
      <c r="X894" s="1090">
        <f t="shared" si="530"/>
        <v>450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customHeight="1" x14ac:dyDescent="0.25">
      <c r="A895" s="2025"/>
      <c r="B895" s="2068"/>
      <c r="C895" s="160" t="s">
        <v>197</v>
      </c>
      <c r="D895" s="866" t="s">
        <v>10</v>
      </c>
      <c r="E895" s="935">
        <v>46251</v>
      </c>
      <c r="F895" s="75">
        <f t="shared" si="544"/>
        <v>10</v>
      </c>
      <c r="G895" s="63">
        <v>1000</v>
      </c>
      <c r="H895" s="63"/>
      <c r="I895" s="63"/>
      <c r="J895" s="1378"/>
      <c r="K895" s="63">
        <f>IFERROR(SUMIF(INTAKE!$A:$A,$T895,INTAKE!$P:$P),0)</f>
        <v>0</v>
      </c>
      <c r="L895" s="1703">
        <f t="shared" si="541"/>
        <v>1000</v>
      </c>
      <c r="M895" s="48"/>
      <c r="N895" s="163"/>
      <c r="O895" s="48"/>
      <c r="P895" s="738"/>
      <c r="Q895" s="795"/>
      <c r="R895" s="785">
        <f>IFERROR(VLOOKUP($Q895,'391'!$S:$Z,8,0),"")</f>
        <v>0</v>
      </c>
      <c r="S895" s="786"/>
      <c r="T895" s="787" t="str">
        <f t="shared" si="546"/>
        <v>Allplex B (Local)V8.246251</v>
      </c>
      <c r="U895" s="787"/>
      <c r="V895" s="787"/>
      <c r="W895" s="785">
        <f>IFERROR(VLOOKUP($Q895,'391'!$S:$AG,15,0),0)</f>
        <v>0</v>
      </c>
      <c r="X895" s="1090">
        <f t="shared" si="530"/>
        <v>1000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5"/>
      <c r="B896" s="2068"/>
      <c r="C896" s="160"/>
      <c r="D896" s="866" t="s">
        <v>10</v>
      </c>
      <c r="E896" s="935">
        <v>46220</v>
      </c>
      <c r="F896" s="75">
        <f t="shared" ref="F896" si="547">$L$7-E896</f>
        <v>41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703">
        <f t="shared" si="541"/>
        <v>0</v>
      </c>
      <c r="M896" s="48"/>
      <c r="N896" s="163"/>
      <c r="O896" s="48"/>
      <c r="P896" s="738"/>
      <c r="Q896" s="795"/>
      <c r="R896" s="785">
        <f>IFERROR(VLOOKUP($Q896,'391'!$S:$Z,8,0),"")</f>
        <v>0</v>
      </c>
      <c r="S896" s="786"/>
      <c r="T896" s="787" t="str">
        <f t="shared" si="546"/>
        <v>Allplex B (Local)46220</v>
      </c>
      <c r="U896" s="787"/>
      <c r="V896" s="787"/>
      <c r="W896" s="785">
        <f>IFERROR(VLOOKUP($Q896,'391'!$S:$AG,15,0),0)</f>
        <v>0</v>
      </c>
      <c r="X896" s="1090">
        <f t="shared" si="530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5"/>
      <c r="B897" s="2068"/>
      <c r="C897" s="160"/>
      <c r="D897" s="866" t="s">
        <v>10</v>
      </c>
      <c r="E897" s="935">
        <v>46063</v>
      </c>
      <c r="F897" s="75">
        <f t="shared" si="544"/>
        <v>198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41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46"/>
        <v>Allplex B (Local)46063</v>
      </c>
      <c r="U897" s="787"/>
      <c r="V897" s="787"/>
      <c r="W897" s="785">
        <f>IFERROR(VLOOKUP($Q897,'391'!$S:$AG,15,0),0)</f>
        <v>0</v>
      </c>
      <c r="X897" s="1090">
        <f t="shared" si="530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1" customFormat="1" ht="30" hidden="1" customHeight="1" x14ac:dyDescent="0.25">
      <c r="A898" s="2025"/>
      <c r="B898" s="2068"/>
      <c r="C898" s="160"/>
      <c r="D898" s="866" t="s">
        <v>10</v>
      </c>
      <c r="E898" s="935">
        <v>44231</v>
      </c>
      <c r="F898" s="75">
        <f t="shared" si="544"/>
        <v>2030</v>
      </c>
      <c r="G898" s="63">
        <v>0</v>
      </c>
      <c r="H898" s="63"/>
      <c r="I898" s="63"/>
      <c r="J898" s="1378"/>
      <c r="K898" s="63">
        <f>IFERROR(SUMIF(INTAKE!$A:$A,$T898,INTAKE!$P:$P),0)</f>
        <v>0</v>
      </c>
      <c r="L898" s="1534">
        <f t="shared" si="541"/>
        <v>0</v>
      </c>
      <c r="M898" s="45"/>
      <c r="N898" s="1460"/>
      <c r="O898" s="45"/>
      <c r="P898" s="736"/>
      <c r="Q898" s="795"/>
      <c r="R898" s="785">
        <f>IFERROR(VLOOKUP($Q898,'391'!$S:$Z,8,0),"")</f>
        <v>0</v>
      </c>
      <c r="S898" s="786"/>
      <c r="T898" s="787" t="str">
        <f t="shared" si="546"/>
        <v>Allplex B (Local)44231</v>
      </c>
      <c r="U898" s="787"/>
      <c r="V898" s="787"/>
      <c r="W898" s="785">
        <f>IFERROR(VLOOKUP($Q898,'391'!$S:$AG,15,0),0)</f>
        <v>0</v>
      </c>
      <c r="X898" s="1090">
        <f t="shared" si="530"/>
        <v>0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1" customFormat="1" ht="30" hidden="1" customHeight="1" x14ac:dyDescent="0.25">
      <c r="A899" s="2025"/>
      <c r="B899" s="2068"/>
      <c r="C899" s="160"/>
      <c r="D899" s="866" t="s">
        <v>10</v>
      </c>
      <c r="E899" s="935">
        <v>44172</v>
      </c>
      <c r="F899" s="75">
        <f t="shared" si="544"/>
        <v>2089</v>
      </c>
      <c r="G899" s="63">
        <v>0</v>
      </c>
      <c r="H899" s="63"/>
      <c r="I899" s="63"/>
      <c r="J899" s="1378"/>
      <c r="K899" s="63">
        <f>IFERROR(SUMIF(INTAKE!$A:$A,$T899,INTAKE!$P:$P),0)</f>
        <v>0</v>
      </c>
      <c r="L899" s="1534">
        <f t="shared" si="541"/>
        <v>0</v>
      </c>
      <c r="M899" s="45"/>
      <c r="N899" s="1460"/>
      <c r="O899" s="45"/>
      <c r="P899" s="736"/>
      <c r="Q899" s="795"/>
      <c r="R899" s="785">
        <f>IFERROR(VLOOKUP($Q899,'391'!$S:$Z,8,0),"")</f>
        <v>0</v>
      </c>
      <c r="S899" s="786"/>
      <c r="T899" s="787" t="str">
        <f t="shared" si="546"/>
        <v>Allplex B (Local)44172</v>
      </c>
      <c r="U899" s="787"/>
      <c r="V899" s="787"/>
      <c r="W899" s="785">
        <f>IFERROR(VLOOKUP($Q899,'391'!$S:$AG,15,0),0)</f>
        <v>0</v>
      </c>
      <c r="X899" s="1090">
        <f t="shared" si="530"/>
        <v>0</v>
      </c>
      <c r="Y899" s="785"/>
      <c r="Z899" s="785"/>
      <c r="AA899" s="787"/>
      <c r="AB899" s="787"/>
      <c r="AC899" s="679"/>
      <c r="AD899" s="679"/>
      <c r="AE899" s="679"/>
      <c r="AF899" s="679"/>
      <c r="AG899" s="679"/>
      <c r="AH899" s="679"/>
      <c r="AI899" s="682"/>
      <c r="AJ899" s="682"/>
      <c r="AK899" s="682"/>
      <c r="AL899" s="682"/>
      <c r="AM899" s="682"/>
      <c r="AN899" s="682"/>
      <c r="AO899" s="682"/>
      <c r="AP899" s="682"/>
      <c r="AQ899" s="682"/>
      <c r="AR899" s="682"/>
      <c r="AS899" s="682"/>
    </row>
    <row r="900" spans="1:45" s="410" customFormat="1" ht="30" customHeight="1" x14ac:dyDescent="0.25">
      <c r="A900" s="2025"/>
      <c r="B900" s="2068"/>
      <c r="C900" s="123" t="s">
        <v>46</v>
      </c>
      <c r="D900" s="850" t="s">
        <v>10</v>
      </c>
      <c r="E900" s="960">
        <v>46220</v>
      </c>
      <c r="F900" s="42">
        <f t="shared" si="544"/>
        <v>41</v>
      </c>
      <c r="G900" s="56">
        <v>38.95999999999998</v>
      </c>
      <c r="H900" s="56"/>
      <c r="I900" s="56">
        <f>+SUM(K893:K897)</f>
        <v>50</v>
      </c>
      <c r="J900" s="1369">
        <f>+usage!I124</f>
        <v>29.35</v>
      </c>
      <c r="K900" s="63">
        <f>IFERROR(SUMIF(INTAKE!$A:$A,$T900,INTAKE!$P:$P),0)</f>
        <v>0</v>
      </c>
      <c r="L900" s="1534">
        <f t="shared" si="541"/>
        <v>59.609999999999978</v>
      </c>
      <c r="M900" s="223"/>
      <c r="N900" s="920"/>
      <c r="O900" s="223"/>
      <c r="P900" s="736"/>
      <c r="Q900" s="666" t="s">
        <v>1208</v>
      </c>
      <c r="R900" s="785">
        <f>IFERROR(VLOOKUP($Q900,'391'!$S:$Z,8,0),"")</f>
        <v>276.19</v>
      </c>
      <c r="S900" s="786"/>
      <c r="T900" s="787" t="str">
        <f t="shared" si="546"/>
        <v>Allplex B (Local)Feedmill46220</v>
      </c>
      <c r="U900" s="787"/>
      <c r="V900" s="787"/>
      <c r="W900" s="785">
        <f>IFERROR(VLOOKUP($Q900,'391'!$S:$AG,15,0),0)</f>
        <v>1526.93</v>
      </c>
      <c r="X900" s="1090">
        <f t="shared" si="530"/>
        <v>-1487.97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414" customFormat="1" ht="30" customHeight="1" x14ac:dyDescent="0.25">
      <c r="A901" s="2022" t="s">
        <v>17</v>
      </c>
      <c r="B901" s="2023"/>
      <c r="C901" s="88"/>
      <c r="D901" s="864"/>
      <c r="E901" s="864"/>
      <c r="F901" s="865"/>
      <c r="G901" s="1297">
        <v>1488.96</v>
      </c>
      <c r="H901" s="1297">
        <f t="shared" ref="H901:I901" si="548">SUM(H893:H900)</f>
        <v>0</v>
      </c>
      <c r="I901" s="1297">
        <f t="shared" si="548"/>
        <v>50</v>
      </c>
      <c r="J901" s="1297">
        <f t="shared" ref="J901:L901" si="549">SUM(J893:J900)</f>
        <v>29.35</v>
      </c>
      <c r="K901" s="1297">
        <f t="shared" si="549"/>
        <v>50</v>
      </c>
      <c r="L901" s="1297">
        <f t="shared" si="549"/>
        <v>1459.61</v>
      </c>
      <c r="M901" s="59">
        <f>IFERROR(((R901+R900)/$S$2),"")</f>
        <v>46.031666666666666</v>
      </c>
      <c r="N901" s="366">
        <f>(L901/M901)</f>
        <v>31.708823635902817</v>
      </c>
      <c r="O901" s="59">
        <f>IFERROR(SUMIF(ETM!$A:$A,$Q901,ETM!$E:$E),"")</f>
        <v>22.500000000000004</v>
      </c>
      <c r="P901" s="880">
        <f>IFERROR(L901/O901,0)</f>
        <v>64.871555555555545</v>
      </c>
      <c r="Q901" s="814" t="s">
        <v>667</v>
      </c>
      <c r="R901" s="785" t="str">
        <f>IFERROR(VLOOKUP($Q901,'391'!$S:$Z,8,0),"0")</f>
        <v>0</v>
      </c>
      <c r="S901" s="796"/>
      <c r="T901" s="797"/>
      <c r="U901" s="797"/>
      <c r="V901" s="797"/>
      <c r="W901" s="785">
        <f>IFERROR(VLOOKUP($Q901,'391'!$S:$AG,15,0),0)</f>
        <v>0</v>
      </c>
      <c r="X901" s="1231">
        <f>G901-(W901+W900)</f>
        <v>-37.970000000000027</v>
      </c>
      <c r="Y901" s="785"/>
      <c r="Z901" s="785"/>
      <c r="AA901" s="797"/>
      <c r="AB901" s="797"/>
      <c r="AC901" s="551"/>
      <c r="AD901" s="551"/>
      <c r="AE901" s="551"/>
      <c r="AF901" s="551"/>
      <c r="AG901" s="551"/>
      <c r="AH901" s="551"/>
      <c r="AI901" s="704"/>
      <c r="AJ901" s="704"/>
      <c r="AK901" s="704"/>
      <c r="AL901" s="704"/>
      <c r="AM901" s="704"/>
      <c r="AN901" s="704"/>
      <c r="AO901" s="704"/>
      <c r="AP901" s="704"/>
      <c r="AQ901" s="704"/>
      <c r="AR901" s="704"/>
      <c r="AS901" s="704"/>
    </row>
    <row r="902" spans="1:45" s="6" customFormat="1" ht="30" hidden="1" customHeight="1" x14ac:dyDescent="0.25">
      <c r="A902" s="2076">
        <f>IF(L911=0,"",MAX($A$16:A901)+1)</f>
        <v>57</v>
      </c>
      <c r="B902" s="2069" t="s">
        <v>1236</v>
      </c>
      <c r="C902" s="120"/>
      <c r="D902" s="887" t="s">
        <v>10</v>
      </c>
      <c r="E902" s="962">
        <v>43329</v>
      </c>
      <c r="F902" s="70">
        <f t="shared" ref="F902:F910" si="550">$L$7-E902</f>
        <v>2932</v>
      </c>
      <c r="G902" s="12">
        <v>0</v>
      </c>
      <c r="H902" s="11"/>
      <c r="I902" s="11"/>
      <c r="J902" s="1388"/>
      <c r="K902" s="11"/>
      <c r="L902" s="1534">
        <f t="shared" ref="L902:L910" si="551">+G902+H902+I902-J902-K902</f>
        <v>0</v>
      </c>
      <c r="M902" s="147"/>
      <c r="N902" s="248"/>
      <c r="O902" s="147"/>
      <c r="P902" s="748"/>
      <c r="Q902" s="795"/>
      <c r="R902" s="785">
        <f>IFERROR(VLOOKUP($Q902,'391'!$S:$Z,8,0),"")</f>
        <v>0</v>
      </c>
      <c r="S902" s="786"/>
      <c r="T902" s="787"/>
      <c r="U902" s="787"/>
      <c r="V902" s="787"/>
      <c r="W902" s="785">
        <f>IFERROR(VLOOKUP($Q902,'391'!$S:$AG,15,0),0)</f>
        <v>0</v>
      </c>
      <c r="X902" s="1090">
        <f t="shared" ref="X902:X910" si="552">G902-W902</f>
        <v>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73"/>
      <c r="B903" s="2070"/>
      <c r="C903" s="160" t="s">
        <v>509</v>
      </c>
      <c r="D903" s="887" t="s">
        <v>10</v>
      </c>
      <c r="E903" s="962">
        <v>46234</v>
      </c>
      <c r="F903" s="70">
        <f t="shared" si="550"/>
        <v>27</v>
      </c>
      <c r="G903" s="12">
        <v>4000</v>
      </c>
      <c r="H903" s="11"/>
      <c r="I903" s="11"/>
      <c r="J903" s="1388"/>
      <c r="K903" s="1399">
        <f>IFERROR(SUMIF(INTAKE!$A:$A,$T903,INTAKE!$P:$P),0)</f>
        <v>0</v>
      </c>
      <c r="L903" s="1703">
        <f t="shared" si="551"/>
        <v>4000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$Q$910&amp;C903&amp;E903</f>
        <v>Allplex GF (Local)A18.546234</v>
      </c>
      <c r="U903" s="787"/>
      <c r="V903" s="787"/>
      <c r="W903" s="785">
        <f>IFERROR(VLOOKUP($Q903,'391'!$S:$AG,15,0),0)</f>
        <v>0</v>
      </c>
      <c r="X903" s="1090">
        <f t="shared" si="552"/>
        <v>4000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customHeight="1" x14ac:dyDescent="0.25">
      <c r="A904" s="2073"/>
      <c r="B904" s="2070"/>
      <c r="C904" s="160" t="s">
        <v>2136</v>
      </c>
      <c r="D904" s="887" t="s">
        <v>10</v>
      </c>
      <c r="E904" s="962">
        <v>46234</v>
      </c>
      <c r="F904" s="70">
        <f t="shared" si="550"/>
        <v>27</v>
      </c>
      <c r="G904" s="12">
        <v>1000</v>
      </c>
      <c r="H904" s="11"/>
      <c r="I904" s="11"/>
      <c r="J904" s="1388"/>
      <c r="K904" s="11">
        <f>IFERROR(SUMIF(INTAKE!$A:$A,$T904,INTAKE!$P:$P),0)</f>
        <v>0</v>
      </c>
      <c r="L904" s="1703">
        <f t="shared" si="551"/>
        <v>1000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$Q$910&amp;C904&amp;E904</f>
        <v>Allplex GF (Local)V6.346234</v>
      </c>
      <c r="U904" s="787"/>
      <c r="V904" s="787"/>
      <c r="W904" s="785">
        <f>IFERROR(VLOOKUP($Q904,'391'!$S:$AG,15,0),0)</f>
        <v>0</v>
      </c>
      <c r="X904" s="1090">
        <f t="shared" si="552"/>
        <v>1000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customHeight="1" x14ac:dyDescent="0.25">
      <c r="A905" s="2073"/>
      <c r="B905" s="2070"/>
      <c r="C905" s="160" t="s">
        <v>235</v>
      </c>
      <c r="D905" s="887" t="s">
        <v>10</v>
      </c>
      <c r="E905" s="962">
        <v>46234</v>
      </c>
      <c r="F905" s="70">
        <f t="shared" si="550"/>
        <v>27</v>
      </c>
      <c r="G905" s="12">
        <v>1000</v>
      </c>
      <c r="H905" s="11"/>
      <c r="I905" s="11"/>
      <c r="J905" s="1388"/>
      <c r="K905" s="11">
        <f>IFERROR(SUMIF(INTAKE!$A:$A,$T905,INTAKE!$P:$P),0)</f>
        <v>0</v>
      </c>
      <c r="L905" s="1703">
        <f t="shared" si="551"/>
        <v>1000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$Q$910&amp;C905&amp;E905</f>
        <v>Allplex GF (Local)V7.346234</v>
      </c>
      <c r="U905" s="787"/>
      <c r="V905" s="787"/>
      <c r="W905" s="785">
        <f>IFERROR(VLOOKUP($Q905,'391'!$S:$AG,15,0),0)</f>
        <v>0</v>
      </c>
      <c r="X905" s="1090">
        <f t="shared" si="552"/>
        <v>1000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customHeight="1" x14ac:dyDescent="0.25">
      <c r="A906" s="2073"/>
      <c r="B906" s="2070"/>
      <c r="C906" s="160" t="s">
        <v>1883</v>
      </c>
      <c r="D906" s="887" t="s">
        <v>10</v>
      </c>
      <c r="E906" s="962">
        <v>46234</v>
      </c>
      <c r="F906" s="70">
        <f t="shared" si="550"/>
        <v>27</v>
      </c>
      <c r="G906" s="12">
        <v>1000</v>
      </c>
      <c r="H906" s="11"/>
      <c r="I906" s="11"/>
      <c r="J906" s="1388"/>
      <c r="K906" s="11">
        <f>IFERROR(SUMIF(INTAKE!$A:$A,$T906,INTAKE!$P:$P),0)</f>
        <v>0</v>
      </c>
      <c r="L906" s="1703">
        <f t="shared" si="551"/>
        <v>1000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$Q$910&amp;C906&amp;E906</f>
        <v>Allplex GF (Local)Z1.346234</v>
      </c>
      <c r="U906" s="787"/>
      <c r="V906" s="787"/>
      <c r="W906" s="785">
        <f>IFERROR(VLOOKUP($Q906,'391'!$S:$AG,15,0),0)</f>
        <v>0</v>
      </c>
      <c r="X906" s="1090">
        <f t="shared" si="552"/>
        <v>1000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customHeight="1" x14ac:dyDescent="0.25">
      <c r="A907" s="2073"/>
      <c r="B907" s="2070"/>
      <c r="C907" s="160" t="s">
        <v>2137</v>
      </c>
      <c r="D907" s="887" t="s">
        <v>10</v>
      </c>
      <c r="E907" s="962">
        <v>46234</v>
      </c>
      <c r="F907" s="70">
        <f t="shared" si="550"/>
        <v>27</v>
      </c>
      <c r="G907" s="12">
        <v>1000</v>
      </c>
      <c r="H907" s="11"/>
      <c r="I907" s="11"/>
      <c r="J907" s="1388"/>
      <c r="K907" s="11">
        <f>IFERROR(SUMIF(INTAKE!$A:$A,$T907,INTAKE!$P:$P),0)</f>
        <v>0</v>
      </c>
      <c r="L907" s="1703">
        <f t="shared" si="551"/>
        <v>1000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$Q$911&amp;C907&amp;E907</f>
        <v>ALLPLEX GF (USA)Z6.346234</v>
      </c>
      <c r="U907" s="787"/>
      <c r="V907" s="787"/>
      <c r="W907" s="785">
        <f>IFERROR(VLOOKUP($Q907,'391'!$S:$AG,15,0),0)</f>
        <v>0</v>
      </c>
      <c r="X907" s="1090">
        <f t="shared" si="552"/>
        <v>1000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3"/>
      <c r="B908" s="2070"/>
      <c r="C908" s="160" t="s">
        <v>247</v>
      </c>
      <c r="D908" s="887" t="s">
        <v>10</v>
      </c>
      <c r="E908" s="962">
        <v>46251</v>
      </c>
      <c r="F908" s="70">
        <f t="shared" ref="F908" si="553">$L$7-E908</f>
        <v>10</v>
      </c>
      <c r="G908" s="12">
        <v>12000</v>
      </c>
      <c r="H908" s="11"/>
      <c r="I908" s="11"/>
      <c r="J908" s="1388"/>
      <c r="K908" s="11">
        <f>IFERROR(SUMIF(INTAKE!$A:$A,$T908,INTAKE!$P:$P),0)</f>
        <v>0</v>
      </c>
      <c r="L908" s="1712">
        <f t="shared" si="551"/>
        <v>12000</v>
      </c>
      <c r="M908" s="101"/>
      <c r="N908" s="249"/>
      <c r="O908" s="101"/>
      <c r="P908" s="750"/>
      <c r="Q908" s="795"/>
      <c r="R908" s="785">
        <f>IFERROR(VLOOKUP($Q908,'391'!$S:$Z,8,0),"")</f>
        <v>0</v>
      </c>
      <c r="S908" s="786"/>
      <c r="T908" s="787" t="str">
        <f>$Q$911&amp;C908&amp;E908</f>
        <v>ALLPLEX GF (USA)A19.146251</v>
      </c>
      <c r="U908" s="787"/>
      <c r="V908" s="787"/>
      <c r="W908" s="785">
        <f>IFERROR(VLOOKUP($Q908,'391'!$S:$AG,15,0),0)</f>
        <v>0</v>
      </c>
      <c r="X908" s="1090">
        <f t="shared" si="552"/>
        <v>12000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6" customFormat="1" ht="30" hidden="1" customHeight="1" x14ac:dyDescent="0.25">
      <c r="A909" s="2073"/>
      <c r="B909" s="2070"/>
      <c r="C909" s="160"/>
      <c r="D909" s="887" t="s">
        <v>10</v>
      </c>
      <c r="E909" s="962">
        <v>46251</v>
      </c>
      <c r="F909" s="70">
        <f t="shared" si="550"/>
        <v>10</v>
      </c>
      <c r="G909" s="12">
        <v>0</v>
      </c>
      <c r="H909" s="11"/>
      <c r="I909" s="11"/>
      <c r="J909" s="1388"/>
      <c r="K909" s="11">
        <f>IFERROR(SUMIF(INTAKE!$A:$A,$T909,INTAKE!$P:$P),0)</f>
        <v>0</v>
      </c>
      <c r="L909" s="1703">
        <f t="shared" si="551"/>
        <v>0</v>
      </c>
      <c r="M909" s="101"/>
      <c r="N909" s="249"/>
      <c r="O909" s="101"/>
      <c r="P909" s="750"/>
      <c r="Q909" s="795"/>
      <c r="R909" s="785">
        <f>IFERROR(VLOOKUP($Q909,'391'!$S:$Z,8,0),"")</f>
        <v>0</v>
      </c>
      <c r="S909" s="786"/>
      <c r="T909" s="787" t="str">
        <f>$Q$911&amp;C909&amp;E909</f>
        <v>ALLPLEX GF (USA)46251</v>
      </c>
      <c r="U909" s="787"/>
      <c r="V909" s="787"/>
      <c r="W909" s="785">
        <f>IFERROR(VLOOKUP($Q909,'391'!$S:$AG,15,0),0)</f>
        <v>0</v>
      </c>
      <c r="X909" s="1090">
        <f t="shared" si="552"/>
        <v>0</v>
      </c>
      <c r="Y909" s="785"/>
      <c r="Z909" s="785"/>
      <c r="AA909" s="787"/>
      <c r="AB909" s="787"/>
      <c r="AC909" s="679"/>
      <c r="AD909" s="679"/>
      <c r="AE909" s="679"/>
      <c r="AF909" s="679"/>
      <c r="AG909" s="679"/>
      <c r="AH909" s="679"/>
      <c r="AI909" s="682"/>
      <c r="AJ909" s="682"/>
      <c r="AK909" s="682"/>
      <c r="AL909" s="682"/>
      <c r="AM909" s="682"/>
      <c r="AN909" s="682"/>
      <c r="AO909" s="682"/>
      <c r="AP909" s="682"/>
      <c r="AQ909" s="682"/>
      <c r="AR909" s="682"/>
      <c r="AS909" s="682"/>
    </row>
    <row r="910" spans="1:45" s="6" customFormat="1" ht="30" customHeight="1" x14ac:dyDescent="0.25">
      <c r="A910" s="2073"/>
      <c r="B910" s="2070"/>
      <c r="C910" s="187" t="s">
        <v>46</v>
      </c>
      <c r="D910" s="852" t="s">
        <v>10</v>
      </c>
      <c r="E910" s="968">
        <v>46234</v>
      </c>
      <c r="F910" s="73">
        <f t="shared" si="550"/>
        <v>27</v>
      </c>
      <c r="G910" s="58">
        <v>2201.84</v>
      </c>
      <c r="H910" s="58"/>
      <c r="I910" s="58">
        <f>+SUM(K903:K908)</f>
        <v>0</v>
      </c>
      <c r="J910" s="1365">
        <f>+usage!I126</f>
        <v>819.86</v>
      </c>
      <c r="K910" s="11">
        <f>IFERROR(SUMIF(INTAKE!$A:$A,$T910,INTAKE!$P:$P),0)</f>
        <v>0</v>
      </c>
      <c r="L910" s="1534">
        <f t="shared" si="551"/>
        <v>1381.98</v>
      </c>
      <c r="M910" s="101"/>
      <c r="N910" s="249"/>
      <c r="O910" s="101"/>
      <c r="P910" s="750"/>
      <c r="Q910" s="666" t="s">
        <v>1205</v>
      </c>
      <c r="R910" s="785">
        <f>IFERROR(VLOOKUP($Q910,'391'!$S:$Z,8,0),"")</f>
        <v>4035.3</v>
      </c>
      <c r="S910" s="786"/>
      <c r="T910" s="787" t="str">
        <f>$Q$911&amp;C910&amp;E910</f>
        <v>ALLPLEX GF (USA)Feedmill46234</v>
      </c>
      <c r="U910" s="787"/>
      <c r="V910" s="787"/>
      <c r="W910" s="785">
        <f>IFERROR(VLOOKUP($Q910,'391'!$S:$AG,15,0),0)</f>
        <v>24350.06</v>
      </c>
      <c r="X910" s="1090">
        <f t="shared" si="552"/>
        <v>-22148.22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265" customFormat="1" ht="30" customHeight="1" x14ac:dyDescent="0.25">
      <c r="A911" s="2022" t="s">
        <v>18</v>
      </c>
      <c r="B911" s="2023"/>
      <c r="C911" s="88"/>
      <c r="D911" s="864"/>
      <c r="E911" s="864"/>
      <c r="F911" s="865"/>
      <c r="G911" s="1297">
        <v>22201.84</v>
      </c>
      <c r="H911" s="1297">
        <f t="shared" ref="H911:I911" si="554">SUM(H902:H910)</f>
        <v>0</v>
      </c>
      <c r="I911" s="1297">
        <f t="shared" si="554"/>
        <v>0</v>
      </c>
      <c r="J911" s="1297">
        <f t="shared" ref="J911:L911" si="555">SUM(J902:J910)</f>
        <v>819.86</v>
      </c>
      <c r="K911" s="1297">
        <f t="shared" si="555"/>
        <v>0</v>
      </c>
      <c r="L911" s="1297">
        <f t="shared" si="555"/>
        <v>21381.98</v>
      </c>
      <c r="M911" s="59">
        <f>IFERROR(((R911+R910)/$S$2),"")</f>
        <v>672.55000000000007</v>
      </c>
      <c r="N911" s="366">
        <f>(L911/M911)</f>
        <v>31.792402051892047</v>
      </c>
      <c r="O911" s="59">
        <f>IFERROR(SUMIF(ETM!$A:$A,$Q911,ETM!$E:$E),"")</f>
        <v>858.66666666666674</v>
      </c>
      <c r="P911" s="880">
        <f>IFERROR(L911/O911,0)</f>
        <v>24.901374223602481</v>
      </c>
      <c r="Q911" s="814" t="s">
        <v>668</v>
      </c>
      <c r="R911" s="785" t="str">
        <f>IFERROR(VLOOKUP($Q911,'391'!$S:$Z,8,0),"0")</f>
        <v>0</v>
      </c>
      <c r="S911" s="796"/>
      <c r="T911" s="797"/>
      <c r="U911" s="797"/>
      <c r="V911" s="797"/>
      <c r="W911" s="785">
        <f>IFERROR(VLOOKUP($Q911,'391'!$S:$AG,15,0),0)</f>
        <v>0</v>
      </c>
      <c r="X911" s="1231">
        <f>G911-(W911+W910)</f>
        <v>-2148.2200000000012</v>
      </c>
      <c r="Y911" s="785"/>
      <c r="Z911" s="785"/>
      <c r="AA911" s="797"/>
      <c r="AB911" s="797"/>
      <c r="AC911" s="551"/>
      <c r="AD911" s="551"/>
      <c r="AE911" s="551"/>
      <c r="AF911" s="551"/>
      <c r="AG911" s="551"/>
      <c r="AH911" s="551"/>
      <c r="AI911" s="704"/>
      <c r="AJ911" s="704"/>
      <c r="AK911" s="704"/>
      <c r="AL911" s="704"/>
      <c r="AM911" s="704"/>
      <c r="AN911" s="704"/>
      <c r="AO911" s="704"/>
      <c r="AP911" s="704"/>
      <c r="AQ911" s="704"/>
      <c r="AR911" s="704"/>
      <c r="AS911" s="704"/>
    </row>
    <row r="912" spans="1:45" s="6" customFormat="1" ht="30" hidden="1" customHeight="1" x14ac:dyDescent="0.25">
      <c r="A912" s="2000">
        <f>IF(L929=0,"",MAX($A$16:A911)+1)</f>
        <v>58</v>
      </c>
      <c r="B912" s="2069" t="s">
        <v>1237</v>
      </c>
      <c r="C912" s="160"/>
      <c r="D912" s="881" t="s">
        <v>10</v>
      </c>
      <c r="E912" s="976">
        <v>45989</v>
      </c>
      <c r="F912" s="71">
        <f t="shared" ref="F912" si="556">$L$7-E912</f>
        <v>272</v>
      </c>
      <c r="G912" s="11">
        <v>0</v>
      </c>
      <c r="H912" s="12"/>
      <c r="I912" s="12"/>
      <c r="J912" s="1368"/>
      <c r="K912" s="11">
        <f>IFERROR(SUMIF(INTAKE!$A:$A,$T912,INTAKE!$P:$P),0)</f>
        <v>0</v>
      </c>
      <c r="L912" s="1703">
        <f t="shared" ref="L912:L928" si="557">+G912+H912+I912-J912-K912</f>
        <v>0</v>
      </c>
      <c r="M912" s="147"/>
      <c r="N912" s="248"/>
      <c r="O912" s="1451"/>
      <c r="P912" s="748"/>
      <c r="Q912" s="795"/>
      <c r="R912" s="785">
        <f>IFERROR(VLOOKUP($Q912,'391'!$S:$Z,8,0),"")</f>
        <v>0</v>
      </c>
      <c r="S912" s="786"/>
      <c r="T912" s="787" t="str">
        <f t="shared" ref="T912:T921" si="558">$Q$928&amp;C912&amp;E912</f>
        <v>Allplex S (Local)45989</v>
      </c>
      <c r="U912" s="787"/>
      <c r="V912" s="787"/>
      <c r="W912" s="785">
        <f>IFERROR(VLOOKUP($Q912,'391'!$S:$AG,15,0),0)</f>
        <v>0</v>
      </c>
      <c r="X912" s="1090">
        <f t="shared" ref="X912:X928" si="559">G912-W912</f>
        <v>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customHeight="1" x14ac:dyDescent="0.25">
      <c r="A913" s="2001"/>
      <c r="B913" s="2070"/>
      <c r="C913" s="160" t="s">
        <v>287</v>
      </c>
      <c r="D913" s="881" t="s">
        <v>10</v>
      </c>
      <c r="E913" s="976">
        <v>46234</v>
      </c>
      <c r="F913" s="71">
        <f t="shared" ref="F913:F914" si="560">$L$7-E913</f>
        <v>27</v>
      </c>
      <c r="G913" s="11">
        <v>2000</v>
      </c>
      <c r="H913" s="12"/>
      <c r="I913" s="12"/>
      <c r="J913" s="1368"/>
      <c r="K913" s="11">
        <f>IFERROR(SUMIF(INTAKE!$A:$A,$T913,INTAKE!$P:$P),0)</f>
        <v>0</v>
      </c>
      <c r="L913" s="1703">
        <f t="shared" si="557"/>
        <v>2000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58"/>
        <v>Allplex S (Local)A19.646234</v>
      </c>
      <c r="U913" s="787"/>
      <c r="V913" s="787"/>
      <c r="W913" s="785">
        <f>IFERROR(VLOOKUP($Q913,'391'!$S:$AG,15,0),0)</f>
        <v>0</v>
      </c>
      <c r="X913" s="1090">
        <f t="shared" si="559"/>
        <v>2000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customHeight="1" x14ac:dyDescent="0.25">
      <c r="A914" s="2001"/>
      <c r="B914" s="2070"/>
      <c r="C914" s="160" t="s">
        <v>1663</v>
      </c>
      <c r="D914" s="881" t="s">
        <v>10</v>
      </c>
      <c r="E914" s="976">
        <v>46251</v>
      </c>
      <c r="F914" s="71">
        <f t="shared" si="560"/>
        <v>10</v>
      </c>
      <c r="G914" s="11">
        <v>7000</v>
      </c>
      <c r="H914" s="12"/>
      <c r="I914" s="12"/>
      <c r="J914" s="1368"/>
      <c r="K914" s="11">
        <f>IFERROR(SUMIF(INTAKE!$A:$A,$T914,INTAKE!$P:$P),0)</f>
        <v>0</v>
      </c>
      <c r="L914" s="1703">
        <f t="shared" si="557"/>
        <v>7000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58"/>
        <v>Allplex S (Local)A22.546251</v>
      </c>
      <c r="U914" s="787"/>
      <c r="V914" s="787"/>
      <c r="W914" s="785">
        <f>IFERROR(VLOOKUP($Q914,'391'!$S:$AG,15,0),0)</f>
        <v>0</v>
      </c>
      <c r="X914" s="1090">
        <f t="shared" si="559"/>
        <v>7000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1"/>
      <c r="B915" s="2070"/>
      <c r="C915" s="160"/>
      <c r="D915" s="881" t="s">
        <v>10</v>
      </c>
      <c r="E915" s="976">
        <v>46251</v>
      </c>
      <c r="F915" s="71">
        <f t="shared" ref="F915" si="561">$L$7-E915</f>
        <v>10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57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58"/>
        <v>Allplex S (Local)46251</v>
      </c>
      <c r="U915" s="787"/>
      <c r="V915" s="787"/>
      <c r="W915" s="785">
        <f>IFERROR(VLOOKUP($Q915,'391'!$S:$AG,15,0),0)</f>
        <v>0</v>
      </c>
      <c r="X915" s="1090">
        <f t="shared" si="559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1"/>
      <c r="B916" s="2075"/>
      <c r="C916" s="160"/>
      <c r="D916" s="881" t="s">
        <v>10</v>
      </c>
      <c r="E916" s="976">
        <v>46020</v>
      </c>
      <c r="F916" s="71">
        <f t="shared" ref="F916" si="562">$L$7-E916</f>
        <v>241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ref="L916:L923" si="563">+G916+H916+I916-J916-K916</f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58"/>
        <v>Allplex S (Local)46020</v>
      </c>
      <c r="U916" s="787"/>
      <c r="V916" s="787"/>
      <c r="W916" s="785">
        <f>IFERROR(VLOOKUP($Q916,'391'!$S:$AG,15,0),0)</f>
        <v>0</v>
      </c>
      <c r="X916" s="1090">
        <f t="shared" ref="X916:X923" si="564">G916-W916</f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1"/>
      <c r="B917" s="2075"/>
      <c r="C917" s="160"/>
      <c r="D917" s="881" t="s">
        <v>10</v>
      </c>
      <c r="E917" s="976">
        <v>45989</v>
      </c>
      <c r="F917" s="71">
        <f t="shared" ref="F917" si="565">$L$7-E917</f>
        <v>272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63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58"/>
        <v>Allplex S (Local)45989</v>
      </c>
      <c r="U917" s="787"/>
      <c r="V917" s="787"/>
      <c r="W917" s="785">
        <f>IFERROR(VLOOKUP($Q917,'391'!$S:$AG,15,0),0)</f>
        <v>0</v>
      </c>
      <c r="X917" s="1090">
        <f t="shared" si="564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1"/>
      <c r="B918" s="2075"/>
      <c r="C918" s="160"/>
      <c r="D918" s="881" t="s">
        <v>10</v>
      </c>
      <c r="E918" s="976">
        <v>45989</v>
      </c>
      <c r="F918" s="71">
        <f t="shared" ref="F918" si="566">$L$7-E918</f>
        <v>272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63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58"/>
        <v>Allplex S (Local)45989</v>
      </c>
      <c r="U918" s="787"/>
      <c r="V918" s="787"/>
      <c r="W918" s="785">
        <f>IFERROR(VLOOKUP($Q918,'391'!$S:$AG,15,0),0)</f>
        <v>0</v>
      </c>
      <c r="X918" s="1090">
        <f t="shared" si="564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1"/>
      <c r="B919" s="2075"/>
      <c r="C919" s="160"/>
      <c r="D919" s="881" t="s">
        <v>10</v>
      </c>
      <c r="E919" s="976">
        <v>45989</v>
      </c>
      <c r="F919" s="71">
        <f t="shared" ref="F919" si="567">$L$7-E919</f>
        <v>272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63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58"/>
        <v>Allplex S (Local)45989</v>
      </c>
      <c r="U919" s="787"/>
      <c r="V919" s="787"/>
      <c r="W919" s="785">
        <f>IFERROR(VLOOKUP($Q919,'391'!$S:$AG,15,0),0)</f>
        <v>0</v>
      </c>
      <c r="X919" s="1090">
        <f t="shared" si="564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1"/>
      <c r="B920" s="2075"/>
      <c r="C920" s="160"/>
      <c r="D920" s="881" t="s">
        <v>10</v>
      </c>
      <c r="E920" s="976">
        <v>45989</v>
      </c>
      <c r="F920" s="71">
        <f t="shared" ref="F920" si="568">$L$7-E920</f>
        <v>272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63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 t="shared" si="558"/>
        <v>Allplex S (Local)45989</v>
      </c>
      <c r="U920" s="787"/>
      <c r="V920" s="787"/>
      <c r="W920" s="785">
        <f>IFERROR(VLOOKUP($Q920,'391'!$S:$AG,15,0),0)</f>
        <v>0</v>
      </c>
      <c r="X920" s="1090">
        <f t="shared" si="564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1"/>
      <c r="B921" s="2075"/>
      <c r="C921" s="160"/>
      <c r="D921" s="881" t="s">
        <v>10</v>
      </c>
      <c r="E921" s="976">
        <v>45989</v>
      </c>
      <c r="F921" s="71">
        <f t="shared" ref="F921" si="569">$L$7-E921</f>
        <v>272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63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 t="shared" si="558"/>
        <v>Allplex S (Local)45989</v>
      </c>
      <c r="U921" s="787"/>
      <c r="V921" s="787"/>
      <c r="W921" s="785">
        <f>IFERROR(VLOOKUP($Q921,'391'!$S:$AG,15,0),0)</f>
        <v>0</v>
      </c>
      <c r="X921" s="1090">
        <f t="shared" si="564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1"/>
      <c r="B922" s="2075"/>
      <c r="C922" s="160"/>
      <c r="D922" s="881" t="s">
        <v>10</v>
      </c>
      <c r="E922" s="976">
        <v>45989</v>
      </c>
      <c r="F922" s="71">
        <f t="shared" ref="F922" si="570">$L$7-E922</f>
        <v>272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63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$Q$929&amp;C922&amp;E922</f>
        <v>ALLPLEX S (USA)45989</v>
      </c>
      <c r="U922" s="787"/>
      <c r="V922" s="787"/>
      <c r="W922" s="785">
        <f>IFERROR(VLOOKUP($Q922,'391'!$S:$AG,15,0),0)</f>
        <v>0</v>
      </c>
      <c r="X922" s="1090">
        <f t="shared" si="564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1"/>
      <c r="B923" s="2075"/>
      <c r="C923" s="160"/>
      <c r="D923" s="881" t="s">
        <v>10</v>
      </c>
      <c r="E923" s="976">
        <v>45989</v>
      </c>
      <c r="F923" s="71">
        <f t="shared" ref="F923" si="571">$L$7-E923</f>
        <v>272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63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$Q$929&amp;C923&amp;E923</f>
        <v>ALLPLEX S (USA)45989</v>
      </c>
      <c r="U923" s="787"/>
      <c r="V923" s="787"/>
      <c r="W923" s="785">
        <f>IFERROR(VLOOKUP($Q923,'391'!$S:$AG,15,0),0)</f>
        <v>0</v>
      </c>
      <c r="X923" s="1090">
        <f t="shared" si="564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1"/>
      <c r="B924" s="2070"/>
      <c r="C924" s="160"/>
      <c r="D924" s="881" t="s">
        <v>10</v>
      </c>
      <c r="E924" s="976">
        <v>45989</v>
      </c>
      <c r="F924" s="71">
        <f t="shared" ref="F924" si="572">$L$7-E924</f>
        <v>272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57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$Q$928&amp;C924&amp;E924</f>
        <v>Allplex S (Local)45989</v>
      </c>
      <c r="U924" s="787"/>
      <c r="V924" s="787"/>
      <c r="W924" s="785">
        <f>IFERROR(VLOOKUP($Q924,'391'!$S:$AG,15,0),0)</f>
        <v>0</v>
      </c>
      <c r="X924" s="1090">
        <f t="shared" si="559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1"/>
      <c r="B925" s="2070"/>
      <c r="C925" s="160"/>
      <c r="D925" s="881" t="s">
        <v>10</v>
      </c>
      <c r="E925" s="976">
        <v>45989</v>
      </c>
      <c r="F925" s="71">
        <f t="shared" ref="F925" si="573">$L$7-E925</f>
        <v>272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57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$Q$928&amp;C925&amp;E925</f>
        <v>Allplex S (Local)45989</v>
      </c>
      <c r="U925" s="787"/>
      <c r="V925" s="787"/>
      <c r="W925" s="785">
        <f>IFERROR(VLOOKUP($Q925,'391'!$S:$AG,15,0),0)</f>
        <v>0</v>
      </c>
      <c r="X925" s="1090">
        <f t="shared" si="559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hidden="1" customHeight="1" x14ac:dyDescent="0.25">
      <c r="A926" s="2001"/>
      <c r="B926" s="2070"/>
      <c r="C926" s="160"/>
      <c r="D926" s="881" t="s">
        <v>10</v>
      </c>
      <c r="E926" s="976">
        <v>45989</v>
      </c>
      <c r="F926" s="71">
        <f t="shared" ref="F926" si="574">$L$7-E926</f>
        <v>272</v>
      </c>
      <c r="G926" s="11">
        <v>0</v>
      </c>
      <c r="H926" s="12"/>
      <c r="I926" s="12"/>
      <c r="J926" s="1368"/>
      <c r="K926" s="11">
        <f>IFERROR(SUMIF(INTAKE!$A:$A,$T926,INTAKE!$P:$P),0)</f>
        <v>0</v>
      </c>
      <c r="L926" s="1703">
        <f t="shared" si="557"/>
        <v>0</v>
      </c>
      <c r="M926" s="101"/>
      <c r="N926" s="249"/>
      <c r="O926" s="369"/>
      <c r="P926" s="750"/>
      <c r="Q926" s="795"/>
      <c r="R926" s="785">
        <f>IFERROR(VLOOKUP($Q926,'391'!$S:$Z,8,0),"")</f>
        <v>0</v>
      </c>
      <c r="S926" s="786"/>
      <c r="T926" s="787" t="str">
        <f>$Q$929&amp;C926&amp;E926</f>
        <v>ALLPLEX S (USA)45989</v>
      </c>
      <c r="U926" s="787"/>
      <c r="V926" s="787"/>
      <c r="W926" s="785">
        <f>IFERROR(VLOOKUP($Q926,'391'!$S:$AG,15,0),0)</f>
        <v>0</v>
      </c>
      <c r="X926" s="1090">
        <f t="shared" si="559"/>
        <v>0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6" customFormat="1" ht="30" hidden="1" customHeight="1" x14ac:dyDescent="0.25">
      <c r="A927" s="2001"/>
      <c r="B927" s="2070"/>
      <c r="C927" s="160"/>
      <c r="D927" s="881" t="s">
        <v>10</v>
      </c>
      <c r="E927" s="976">
        <v>45989</v>
      </c>
      <c r="F927" s="71">
        <f t="shared" ref="F927" si="575">$L$7-E927</f>
        <v>272</v>
      </c>
      <c r="G927" s="11">
        <v>0</v>
      </c>
      <c r="H927" s="12"/>
      <c r="I927" s="12"/>
      <c r="J927" s="1368"/>
      <c r="K927" s="11">
        <f>IFERROR(SUMIF(INTAKE!$A:$A,$T927,INTAKE!$P:$P),0)</f>
        <v>0</v>
      </c>
      <c r="L927" s="1703">
        <f t="shared" si="557"/>
        <v>0</v>
      </c>
      <c r="M927" s="101"/>
      <c r="N927" s="249"/>
      <c r="O927" s="369"/>
      <c r="P927" s="750"/>
      <c r="Q927" s="795"/>
      <c r="R927" s="785">
        <f>IFERROR(VLOOKUP($Q927,'391'!$S:$Z,8,0),"")</f>
        <v>0</v>
      </c>
      <c r="S927" s="786"/>
      <c r="T927" s="787" t="str">
        <f>$Q$929&amp;C927&amp;E927</f>
        <v>ALLPLEX S (USA)45989</v>
      </c>
      <c r="U927" s="787"/>
      <c r="V927" s="787"/>
      <c r="W927" s="785">
        <f>IFERROR(VLOOKUP($Q927,'391'!$S:$AG,15,0),0)</f>
        <v>0</v>
      </c>
      <c r="X927" s="1090">
        <f t="shared" si="559"/>
        <v>0</v>
      </c>
      <c r="Y927" s="785"/>
      <c r="Z927" s="785"/>
      <c r="AA927" s="787"/>
      <c r="AB927" s="787"/>
      <c r="AC927" s="679"/>
      <c r="AD927" s="679"/>
      <c r="AE927" s="679"/>
      <c r="AF927" s="679"/>
      <c r="AG927" s="679"/>
      <c r="AH927" s="679"/>
      <c r="AI927" s="682"/>
      <c r="AJ927" s="682"/>
      <c r="AK927" s="682"/>
      <c r="AL927" s="682"/>
      <c r="AM927" s="682"/>
      <c r="AN927" s="682"/>
      <c r="AO927" s="682"/>
      <c r="AP927" s="682"/>
      <c r="AQ927" s="682"/>
      <c r="AR927" s="682"/>
      <c r="AS927" s="682"/>
    </row>
    <row r="928" spans="1:45" s="6" customFormat="1" ht="30" customHeight="1" x14ac:dyDescent="0.25">
      <c r="A928" s="2001"/>
      <c r="B928" s="2070"/>
      <c r="C928" s="107" t="s">
        <v>46</v>
      </c>
      <c r="D928" s="850" t="s">
        <v>10</v>
      </c>
      <c r="E928" s="960">
        <v>46234</v>
      </c>
      <c r="F928" s="42">
        <f t="shared" ref="F928" si="576">$L$7-E928</f>
        <v>27</v>
      </c>
      <c r="G928" s="56">
        <v>1724.3600000000006</v>
      </c>
      <c r="H928" s="56"/>
      <c r="I928" s="56">
        <f>+SUM(K912:K925)</f>
        <v>0</v>
      </c>
      <c r="J928" s="1369">
        <f>+usage!I125</f>
        <v>375.04</v>
      </c>
      <c r="K928" s="11">
        <f>IFERROR(SUMIF(INTAKE!$A:$A,$T928,INTAKE!$P:$P),0)</f>
        <v>0</v>
      </c>
      <c r="L928" s="1534">
        <f t="shared" si="557"/>
        <v>1349.3200000000006</v>
      </c>
      <c r="M928" s="101"/>
      <c r="N928" s="249"/>
      <c r="O928" s="369"/>
      <c r="P928" s="750"/>
      <c r="Q928" s="666" t="s">
        <v>1206</v>
      </c>
      <c r="R928" s="785">
        <f>IFERROR(VLOOKUP($Q928,'391'!$S:$Z,8,0),"")</f>
        <v>2908.68</v>
      </c>
      <c r="S928" s="786"/>
      <c r="T928" s="787" t="str">
        <f>$Q$929&amp;C928&amp;E928</f>
        <v>ALLPLEX S (USA)Feedmill46234</v>
      </c>
      <c r="U928" s="787"/>
      <c r="V928" s="787"/>
      <c r="W928" s="785">
        <f>IFERROR(VLOOKUP($Q928,'391'!$S:$AG,15,0),0)</f>
        <v>12431.98</v>
      </c>
      <c r="X928" s="1090">
        <f t="shared" si="559"/>
        <v>-10707.619999999999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265" customFormat="1" ht="30" customHeight="1" x14ac:dyDescent="0.25">
      <c r="A929" s="2022" t="s">
        <v>19</v>
      </c>
      <c r="B929" s="2023"/>
      <c r="C929" s="88"/>
      <c r="D929" s="864"/>
      <c r="E929" s="864"/>
      <c r="F929" s="865"/>
      <c r="G929" s="1297">
        <v>10724.36</v>
      </c>
      <c r="H929" s="1297">
        <f t="shared" ref="H929:L929" si="577">SUM(H912:H928)</f>
        <v>0</v>
      </c>
      <c r="I929" s="1297">
        <f t="shared" si="577"/>
        <v>0</v>
      </c>
      <c r="J929" s="1297">
        <f t="shared" si="577"/>
        <v>375.04</v>
      </c>
      <c r="K929" s="1297">
        <f t="shared" si="577"/>
        <v>0</v>
      </c>
      <c r="L929" s="1297">
        <f t="shared" si="577"/>
        <v>10349.32</v>
      </c>
      <c r="M929" s="59">
        <f>IFERROR(((R929+R928)/$S$2),"")</f>
        <v>484.78</v>
      </c>
      <c r="N929" s="854">
        <f>(L929/M929)</f>
        <v>21.348487973926318</v>
      </c>
      <c r="O929" s="59">
        <f>IFERROR(SUMIF(ETM!$A:$A,$Q929,ETM!$E:$E),"")</f>
        <v>522.16666666666663</v>
      </c>
      <c r="P929" s="855">
        <f>IFERROR(L929/O929,0)</f>
        <v>19.819955314395148</v>
      </c>
      <c r="Q929" s="814" t="s">
        <v>669</v>
      </c>
      <c r="R929" s="785" t="str">
        <f>IFERROR(VLOOKUP($Q929,'391'!$S:$Z,8,0),"0")</f>
        <v>0</v>
      </c>
      <c r="S929" s="796"/>
      <c r="T929" s="787"/>
      <c r="U929" s="797"/>
      <c r="V929" s="797"/>
      <c r="W929" s="785">
        <f>IFERROR(VLOOKUP($Q929,'391'!$S:$AG,15,0),0)</f>
        <v>0</v>
      </c>
      <c r="X929" s="1231">
        <f>G929-(W929+W928)</f>
        <v>-1707.619999999999</v>
      </c>
      <c r="Y929" s="785"/>
      <c r="Z929" s="785"/>
      <c r="AA929" s="797"/>
      <c r="AB929" s="797"/>
      <c r="AC929" s="551"/>
      <c r="AD929" s="551"/>
      <c r="AE929" s="551"/>
      <c r="AF929" s="551"/>
      <c r="AG929" s="551"/>
      <c r="AH929" s="551"/>
      <c r="AI929" s="704"/>
      <c r="AJ929" s="704"/>
      <c r="AK929" s="704"/>
      <c r="AL929" s="704"/>
      <c r="AM929" s="704"/>
      <c r="AN929" s="704"/>
      <c r="AO929" s="704"/>
      <c r="AP929" s="704"/>
      <c r="AQ929" s="704"/>
      <c r="AR929" s="704"/>
      <c r="AS929" s="704"/>
    </row>
    <row r="930" spans="1:45" s="6" customFormat="1" ht="30" hidden="1" customHeight="1" x14ac:dyDescent="0.25">
      <c r="A930" s="2076" t="str">
        <f>IF(L934=0,"",MAX($A$16:A929)+1)</f>
        <v/>
      </c>
      <c r="B930" s="2018" t="s">
        <v>204</v>
      </c>
      <c r="C930" s="2206" t="s">
        <v>139</v>
      </c>
      <c r="D930" s="887" t="s">
        <v>10</v>
      </c>
      <c r="E930" s="888">
        <v>41811</v>
      </c>
      <c r="F930" s="70">
        <f>$L$7-E930</f>
        <v>4450</v>
      </c>
      <c r="G930" s="12">
        <v>0</v>
      </c>
      <c r="H930" s="12"/>
      <c r="I930" s="12"/>
      <c r="J930" s="1368"/>
      <c r="K930" s="12"/>
      <c r="L930" s="1534">
        <f t="shared" ref="L930:L942" si="578">+G930+H930+I930-J930-K930</f>
        <v>0</v>
      </c>
      <c r="M930" s="20"/>
      <c r="N930" s="196"/>
      <c r="O930" s="20"/>
      <c r="P930" s="857"/>
      <c r="Q930" s="795"/>
      <c r="R930" s="785">
        <f>IFERROR(VLOOKUP($Q930,'391'!$S:$Z,8,0),"")</f>
        <v>0</v>
      </c>
      <c r="S930" s="786"/>
      <c r="T930" s="787" t="str">
        <f t="shared" ref="T930:T936" si="579">$Q$929&amp;C930&amp;E930</f>
        <v>ALLPLEX S (USA)X5.341811</v>
      </c>
      <c r="U930" s="787"/>
      <c r="V930" s="787"/>
      <c r="W930" s="785">
        <f>IFERROR(VLOOKUP($Q930,'391'!$S:$AG,15,0),0)</f>
        <v>0</v>
      </c>
      <c r="X930" s="1090">
        <f t="shared" ref="X930:X994" si="580">G930-W930</f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s="6" customFormat="1" ht="30" hidden="1" customHeight="1" x14ac:dyDescent="0.25">
      <c r="A931" s="2073"/>
      <c r="B931" s="2019"/>
      <c r="C931" s="2207"/>
      <c r="D931" s="887" t="s">
        <v>10</v>
      </c>
      <c r="E931" s="888">
        <v>41811</v>
      </c>
      <c r="F931" s="70">
        <f>$L$7-E931</f>
        <v>4450</v>
      </c>
      <c r="G931" s="12">
        <v>0</v>
      </c>
      <c r="H931" s="12"/>
      <c r="I931" s="12"/>
      <c r="J931" s="1368"/>
      <c r="K931" s="12"/>
      <c r="L931" s="1534">
        <f t="shared" si="578"/>
        <v>0</v>
      </c>
      <c r="M931" s="22"/>
      <c r="N931" s="920"/>
      <c r="O931" s="22"/>
      <c r="P931" s="857"/>
      <c r="Q931" s="795"/>
      <c r="R931" s="785">
        <f>IFERROR(VLOOKUP($Q931,'391'!$S:$Z,8,0),"")</f>
        <v>0</v>
      </c>
      <c r="S931" s="786"/>
      <c r="T931" s="787" t="str">
        <f t="shared" si="579"/>
        <v>ALLPLEX S (USA)41811</v>
      </c>
      <c r="U931" s="787"/>
      <c r="V931" s="787"/>
      <c r="W931" s="785">
        <f>IFERROR(VLOOKUP($Q931,'391'!$S:$AG,15,0),0)</f>
        <v>0</v>
      </c>
      <c r="X931" s="1090">
        <f t="shared" si="580"/>
        <v>0</v>
      </c>
      <c r="Y931" s="785"/>
      <c r="Z931" s="785"/>
      <c r="AA931" s="787"/>
      <c r="AB931" s="787"/>
      <c r="AC931" s="679"/>
      <c r="AD931" s="679"/>
      <c r="AE931" s="679"/>
      <c r="AF931" s="679"/>
      <c r="AG931" s="679"/>
      <c r="AH931" s="679"/>
      <c r="AI931" s="682"/>
      <c r="AJ931" s="682"/>
      <c r="AK931" s="682"/>
      <c r="AL931" s="682"/>
      <c r="AM931" s="682"/>
      <c r="AN931" s="682"/>
      <c r="AO931" s="682"/>
      <c r="AP931" s="682"/>
      <c r="AQ931" s="682"/>
      <c r="AR931" s="682"/>
      <c r="AS931" s="682"/>
    </row>
    <row r="932" spans="1:45" s="6" customFormat="1" ht="30" hidden="1" customHeight="1" x14ac:dyDescent="0.25">
      <c r="A932" s="2073"/>
      <c r="B932" s="2019"/>
      <c r="C932" s="2207"/>
      <c r="D932" s="887" t="s">
        <v>10</v>
      </c>
      <c r="E932" s="888">
        <v>41811</v>
      </c>
      <c r="F932" s="70">
        <f>$L$7-E932</f>
        <v>4450</v>
      </c>
      <c r="G932" s="12">
        <v>0</v>
      </c>
      <c r="H932" s="12"/>
      <c r="I932" s="12"/>
      <c r="J932" s="1368"/>
      <c r="K932" s="12"/>
      <c r="L932" s="1534">
        <f t="shared" si="578"/>
        <v>0</v>
      </c>
      <c r="M932" s="22"/>
      <c r="N932" s="920"/>
      <c r="O932" s="22"/>
      <c r="P932" s="857"/>
      <c r="Q932" s="795"/>
      <c r="R932" s="785">
        <f>IFERROR(VLOOKUP($Q932,'391'!$S:$Z,8,0),"")</f>
        <v>0</v>
      </c>
      <c r="S932" s="786"/>
      <c r="T932" s="787" t="str">
        <f t="shared" si="579"/>
        <v>ALLPLEX S (USA)41811</v>
      </c>
      <c r="U932" s="787"/>
      <c r="V932" s="787"/>
      <c r="W932" s="785">
        <f>IFERROR(VLOOKUP($Q932,'391'!$S:$AG,15,0),0)</f>
        <v>0</v>
      </c>
      <c r="X932" s="1090">
        <f t="shared" si="580"/>
        <v>0</v>
      </c>
      <c r="Y932" s="785"/>
      <c r="Z932" s="785"/>
      <c r="AA932" s="787"/>
      <c r="AB932" s="787"/>
      <c r="AC932" s="679"/>
      <c r="AD932" s="679"/>
      <c r="AE932" s="679"/>
      <c r="AF932" s="679"/>
      <c r="AG932" s="679"/>
      <c r="AH932" s="679"/>
      <c r="AI932" s="682"/>
      <c r="AJ932" s="682"/>
      <c r="AK932" s="682"/>
      <c r="AL932" s="682"/>
      <c r="AM932" s="682"/>
      <c r="AN932" s="682"/>
      <c r="AO932" s="682"/>
      <c r="AP932" s="682"/>
      <c r="AQ932" s="682"/>
      <c r="AR932" s="682"/>
      <c r="AS932" s="682"/>
    </row>
    <row r="933" spans="1:45" ht="30" hidden="1" customHeight="1" x14ac:dyDescent="0.25">
      <c r="A933" s="2073"/>
      <c r="B933" s="2019"/>
      <c r="C933" s="119" t="s">
        <v>46</v>
      </c>
      <c r="D933" s="863" t="s">
        <v>10</v>
      </c>
      <c r="E933" s="886">
        <v>41811</v>
      </c>
      <c r="F933" s="39">
        <f>$L$7-E933</f>
        <v>4450</v>
      </c>
      <c r="G933" s="37">
        <v>0</v>
      </c>
      <c r="H933" s="37"/>
      <c r="I933" s="37"/>
      <c r="J933" s="1385"/>
      <c r="K933" s="37"/>
      <c r="L933" s="1534">
        <f t="shared" si="578"/>
        <v>0</v>
      </c>
      <c r="M933" s="49"/>
      <c r="N933" s="920"/>
      <c r="O933" s="49"/>
      <c r="P933" s="857"/>
      <c r="Q933" s="795"/>
      <c r="R933" s="785">
        <f>IFERROR(VLOOKUP($Q933,'391'!$S:$Z,8,0),"")</f>
        <v>0</v>
      </c>
      <c r="T933" s="787" t="str">
        <f t="shared" si="579"/>
        <v>ALLPLEX S (USA)Feedmill41811</v>
      </c>
      <c r="U933" s="787"/>
      <c r="V933" s="787"/>
      <c r="W933" s="785">
        <f>IFERROR(VLOOKUP($Q933,'391'!$S:$AG,15,0),0)</f>
        <v>0</v>
      </c>
      <c r="X933" s="1090">
        <f t="shared" si="580"/>
        <v>0</v>
      </c>
      <c r="Y933" s="785"/>
      <c r="Z933" s="785"/>
      <c r="AA933" s="787"/>
      <c r="AB933" s="787"/>
      <c r="AC933" s="679"/>
    </row>
    <row r="934" spans="1:45" s="265" customFormat="1" ht="30" hidden="1" customHeight="1" x14ac:dyDescent="0.25">
      <c r="A934" s="2022" t="s">
        <v>202</v>
      </c>
      <c r="B934" s="2023"/>
      <c r="C934" s="88"/>
      <c r="D934" s="864"/>
      <c r="E934" s="864"/>
      <c r="F934" s="865"/>
      <c r="G934" s="1297">
        <v>0</v>
      </c>
      <c r="H934" s="1344">
        <f>SUM(H930:H933)</f>
        <v>0</v>
      </c>
      <c r="I934" s="1344">
        <f>SUM(I930:I933)</f>
        <v>0</v>
      </c>
      <c r="J934" s="1400">
        <f>SUM(J930:J933)</f>
        <v>0</v>
      </c>
      <c r="K934" s="1344"/>
      <c r="L934" s="1534">
        <f t="shared" si="578"/>
        <v>0</v>
      </c>
      <c r="M934" s="59"/>
      <c r="N934" s="366"/>
      <c r="O934" s="59"/>
      <c r="P934" s="857"/>
      <c r="Q934" s="795"/>
      <c r="R934" s="785">
        <f>IFERROR(VLOOKUP($Q934,'391'!$S:$Z,8,0),"")</f>
        <v>0</v>
      </c>
      <c r="S934" s="796"/>
      <c r="T934" s="787" t="str">
        <f t="shared" si="579"/>
        <v>ALLPLEX S (USA)</v>
      </c>
      <c r="U934" s="797"/>
      <c r="V934" s="797"/>
      <c r="W934" s="785">
        <f>IFERROR(VLOOKUP($Q934,'391'!$S:$AG,15,0),0)</f>
        <v>0</v>
      </c>
      <c r="X934" s="1090">
        <f t="shared" si="580"/>
        <v>0</v>
      </c>
      <c r="Y934" s="785"/>
      <c r="Z934" s="785"/>
      <c r="AA934" s="797"/>
      <c r="AB934" s="797"/>
      <c r="AC934" s="551"/>
      <c r="AD934" s="551"/>
      <c r="AE934" s="551"/>
      <c r="AF934" s="551"/>
      <c r="AG934" s="551"/>
      <c r="AH934" s="551"/>
      <c r="AI934" s="704"/>
      <c r="AJ934" s="704"/>
      <c r="AK934" s="704"/>
      <c r="AL934" s="704"/>
      <c r="AM934" s="704"/>
      <c r="AN934" s="704"/>
      <c r="AO934" s="704"/>
      <c r="AP934" s="704"/>
      <c r="AQ934" s="704"/>
      <c r="AR934" s="704"/>
      <c r="AS934" s="704"/>
    </row>
    <row r="935" spans="1:45" s="6" customFormat="1" ht="30" hidden="1" customHeight="1" x14ac:dyDescent="0.25">
      <c r="A935" s="2076">
        <f>IF(L943=0,"",MAX($A$16:A934)+1)</f>
        <v>59</v>
      </c>
      <c r="B935" s="2069" t="s">
        <v>517</v>
      </c>
      <c r="C935" s="120" t="s">
        <v>235</v>
      </c>
      <c r="D935" s="887" t="s">
        <v>10</v>
      </c>
      <c r="E935" s="888">
        <v>42595</v>
      </c>
      <c r="F935" s="75">
        <f t="shared" ref="F935:F942" si="581">$L$7-E935</f>
        <v>3666</v>
      </c>
      <c r="G935" s="12">
        <v>0</v>
      </c>
      <c r="H935" s="12"/>
      <c r="I935" s="12"/>
      <c r="J935" s="1368"/>
      <c r="K935" s="12"/>
      <c r="L935" s="1534">
        <f t="shared" si="578"/>
        <v>0</v>
      </c>
      <c r="M935" s="66"/>
      <c r="N935" s="920"/>
      <c r="O935" s="66"/>
      <c r="P935" s="857"/>
      <c r="Q935" s="795"/>
      <c r="R935" s="785">
        <f>IFERROR(VLOOKUP($Q935,'391'!$S:$Z,8,0),"")</f>
        <v>0</v>
      </c>
      <c r="S935" s="786"/>
      <c r="T935" s="787" t="str">
        <f t="shared" si="579"/>
        <v>ALLPLEX S (USA)V7.342595</v>
      </c>
      <c r="U935" s="787"/>
      <c r="V935" s="787"/>
      <c r="W935" s="785">
        <f>IFERROR(VLOOKUP($Q935,'391'!$S:$AG,15,0),0)</f>
        <v>0</v>
      </c>
      <c r="X935" s="1090">
        <f t="shared" si="580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hidden="1" customHeight="1" x14ac:dyDescent="0.25">
      <c r="A936" s="2073"/>
      <c r="B936" s="2075"/>
      <c r="C936" s="120" t="s">
        <v>264</v>
      </c>
      <c r="D936" s="887" t="s">
        <v>10</v>
      </c>
      <c r="E936" s="888">
        <v>42700</v>
      </c>
      <c r="F936" s="75">
        <f t="shared" si="581"/>
        <v>3561</v>
      </c>
      <c r="G936" s="12">
        <v>0</v>
      </c>
      <c r="H936" s="12"/>
      <c r="I936" s="12"/>
      <c r="J936" s="1368"/>
      <c r="K936" s="12"/>
      <c r="L936" s="1534">
        <f t="shared" si="578"/>
        <v>0</v>
      </c>
      <c r="M936" s="101"/>
      <c r="N936" s="249"/>
      <c r="O936" s="101"/>
      <c r="P936" s="857"/>
      <c r="Q936" s="795"/>
      <c r="R936" s="785">
        <f>IFERROR(VLOOKUP($Q936,'391'!$S:$Z,8,0),"")</f>
        <v>0</v>
      </c>
      <c r="S936" s="786"/>
      <c r="T936" s="787" t="str">
        <f t="shared" si="579"/>
        <v>ALLPLEX S (USA)Z5.242700</v>
      </c>
      <c r="U936" s="787"/>
      <c r="V936" s="787"/>
      <c r="W936" s="785">
        <f>IFERROR(VLOOKUP($Q936,'391'!$S:$AG,15,0),0)</f>
        <v>0</v>
      </c>
      <c r="X936" s="1090">
        <f t="shared" si="580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hidden="1" customHeight="1" x14ac:dyDescent="0.25">
      <c r="A937" s="2073"/>
      <c r="B937" s="2075"/>
      <c r="C937" s="120"/>
      <c r="D937" s="887" t="s">
        <v>10</v>
      </c>
      <c r="E937" s="888">
        <v>46123</v>
      </c>
      <c r="F937" s="75">
        <f t="shared" si="581"/>
        <v>138</v>
      </c>
      <c r="G937" s="12">
        <v>0</v>
      </c>
      <c r="H937" s="12"/>
      <c r="I937" s="12"/>
      <c r="J937" s="1368"/>
      <c r="K937" s="12">
        <f>IFERROR(SUMIF(INTAKE!$A:$A,$T937,INTAKE!$P:$P),0)</f>
        <v>0</v>
      </c>
      <c r="L937" s="1703">
        <f t="shared" si="578"/>
        <v>0</v>
      </c>
      <c r="M937" s="101"/>
      <c r="N937" s="249"/>
      <c r="O937" s="101"/>
      <c r="P937" s="857"/>
      <c r="Q937" s="795"/>
      <c r="R937" s="785">
        <f>IFERROR(VLOOKUP($Q937,'391'!$S:$Z,8,0),"")</f>
        <v>0</v>
      </c>
      <c r="S937" s="786"/>
      <c r="T937" s="787" t="str">
        <f t="shared" ref="T937:T942" si="582">$Q$943&amp;C937&amp;E937</f>
        <v>Pigortek 659 (France)46123</v>
      </c>
      <c r="U937" s="787"/>
      <c r="V937" s="787"/>
      <c r="W937" s="785">
        <f>IFERROR(VLOOKUP($Q937,'391'!$S:$AG,15,0),0)</f>
        <v>0</v>
      </c>
      <c r="X937" s="1090">
        <f t="shared" si="580"/>
        <v>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customHeight="1" x14ac:dyDescent="0.25">
      <c r="A938" s="2073"/>
      <c r="B938" s="2075"/>
      <c r="C938" s="120" t="s">
        <v>246</v>
      </c>
      <c r="D938" s="887" t="s">
        <v>10</v>
      </c>
      <c r="E938" s="888">
        <v>46233</v>
      </c>
      <c r="F938" s="75">
        <f t="shared" ref="F938:F939" si="583">$L$7-E938</f>
        <v>28</v>
      </c>
      <c r="G938" s="12">
        <v>400</v>
      </c>
      <c r="H938" s="12"/>
      <c r="I938" s="12"/>
      <c r="J938" s="1368"/>
      <c r="K938" s="12">
        <f>IFERROR(SUMIF(INTAKE!$A:$A,$T938,INTAKE!$P:$P),0)</f>
        <v>50</v>
      </c>
      <c r="L938" s="1703">
        <f t="shared" si="578"/>
        <v>350</v>
      </c>
      <c r="M938" s="101"/>
      <c r="N938" s="101"/>
      <c r="O938" s="101"/>
      <c r="P938" s="738"/>
      <c r="Q938" s="795"/>
      <c r="R938" s="785">
        <f>IFERROR(VLOOKUP($Q938,'391'!$S:$Z,8,0),"")</f>
        <v>0</v>
      </c>
      <c r="S938" s="786"/>
      <c r="T938" s="787" t="str">
        <f t="shared" si="582"/>
        <v>Pigortek 659 (France)V3.246233</v>
      </c>
      <c r="U938" s="787"/>
      <c r="V938" s="787"/>
      <c r="W938" s="785">
        <f>IFERROR(VLOOKUP($Q938,'391'!$S:$AG,15,0),0)</f>
        <v>0</v>
      </c>
      <c r="X938" s="1090">
        <f t="shared" si="580"/>
        <v>400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customHeight="1" x14ac:dyDescent="0.25">
      <c r="A939" s="2073"/>
      <c r="B939" s="2075"/>
      <c r="C939" s="120" t="s">
        <v>581</v>
      </c>
      <c r="D939" s="887" t="s">
        <v>10</v>
      </c>
      <c r="E939" s="888">
        <v>46247</v>
      </c>
      <c r="F939" s="75">
        <f t="shared" si="583"/>
        <v>14</v>
      </c>
      <c r="G939" s="12">
        <v>1000</v>
      </c>
      <c r="H939" s="12"/>
      <c r="I939" s="12"/>
      <c r="J939" s="1368"/>
      <c r="K939" s="12">
        <f>IFERROR(SUMIF(INTAKE!$A:$A,$T939,INTAKE!$P:$P),0)</f>
        <v>0</v>
      </c>
      <c r="L939" s="1712">
        <f t="shared" si="578"/>
        <v>1000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2"/>
        <v>Pigortek 659 (France)V5.146247</v>
      </c>
      <c r="U939" s="787"/>
      <c r="V939" s="787"/>
      <c r="W939" s="785">
        <f>IFERROR(VLOOKUP($Q939,'391'!$S:$AG,15,0),0)</f>
        <v>0</v>
      </c>
      <c r="X939" s="1090">
        <f t="shared" si="580"/>
        <v>1000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hidden="1" customHeight="1" x14ac:dyDescent="0.25">
      <c r="A940" s="2073"/>
      <c r="B940" s="2075"/>
      <c r="C940" s="120"/>
      <c r="D940" s="887" t="s">
        <v>10</v>
      </c>
      <c r="E940" s="888">
        <v>46247</v>
      </c>
      <c r="F940" s="75">
        <f t="shared" ref="F940" si="584">$L$7-E940</f>
        <v>14</v>
      </c>
      <c r="G940" s="12">
        <v>0</v>
      </c>
      <c r="H940" s="12"/>
      <c r="I940" s="12"/>
      <c r="J940" s="1368"/>
      <c r="K940" s="12">
        <f>IFERROR(SUMIF(INTAKE!$A:$A,$T940,INTAKE!$P:$P),0)</f>
        <v>0</v>
      </c>
      <c r="L940" s="1703">
        <f t="shared" si="578"/>
        <v>0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2"/>
        <v>Pigortek 659 (France)46247</v>
      </c>
      <c r="U940" s="787"/>
      <c r="V940" s="787"/>
      <c r="W940" s="785">
        <f>IFERROR(VLOOKUP($Q940,'391'!$S:$AG,15,0),0)</f>
        <v>0</v>
      </c>
      <c r="X940" s="1090">
        <f t="shared" si="580"/>
        <v>0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6" customFormat="1" ht="30" hidden="1" customHeight="1" x14ac:dyDescent="0.25">
      <c r="A941" s="2073"/>
      <c r="B941" s="2075"/>
      <c r="C941" s="120"/>
      <c r="D941" s="887" t="s">
        <v>10</v>
      </c>
      <c r="E941" s="888">
        <v>45659</v>
      </c>
      <c r="F941" s="75">
        <f t="shared" si="581"/>
        <v>602</v>
      </c>
      <c r="G941" s="12">
        <v>0</v>
      </c>
      <c r="H941" s="12"/>
      <c r="I941" s="12"/>
      <c r="J941" s="1368"/>
      <c r="K941" s="12">
        <f>IFERROR(SUMIF(INTAKE!$A:$A,$T941,INTAKE!$P:$P),0)</f>
        <v>0</v>
      </c>
      <c r="L941" s="1534">
        <f t="shared" si="578"/>
        <v>0</v>
      </c>
      <c r="M941" s="379"/>
      <c r="N941" s="379"/>
      <c r="O941" s="379"/>
      <c r="P941" s="736"/>
      <c r="Q941" s="795"/>
      <c r="R941" s="785">
        <f>IFERROR(VLOOKUP($Q941,'391'!$S:$Z,8,0),"")</f>
        <v>0</v>
      </c>
      <c r="S941" s="786"/>
      <c r="T941" s="787" t="str">
        <f t="shared" si="582"/>
        <v>Pigortek 659 (France)45659</v>
      </c>
      <c r="U941" s="787"/>
      <c r="V941" s="787"/>
      <c r="W941" s="785">
        <f>IFERROR(VLOOKUP($Q941,'391'!$S:$AG,15,0),0)</f>
        <v>0</v>
      </c>
      <c r="X941" s="1090">
        <f t="shared" si="580"/>
        <v>0</v>
      </c>
      <c r="Y941" s="785"/>
      <c r="Z941" s="785"/>
      <c r="AA941" s="787"/>
      <c r="AB941" s="787"/>
      <c r="AC941" s="679"/>
      <c r="AD941" s="679"/>
      <c r="AE941" s="679"/>
      <c r="AF941" s="679"/>
      <c r="AG941" s="679"/>
      <c r="AH941" s="679"/>
      <c r="AI941" s="682"/>
      <c r="AJ941" s="682"/>
      <c r="AK941" s="682"/>
      <c r="AL941" s="682"/>
      <c r="AM941" s="682"/>
      <c r="AN941" s="682"/>
      <c r="AO941" s="682"/>
      <c r="AP941" s="682"/>
      <c r="AQ941" s="682"/>
      <c r="AR941" s="682"/>
      <c r="AS941" s="682"/>
    </row>
    <row r="942" spans="1:45" s="6" customFormat="1" ht="30" customHeight="1" x14ac:dyDescent="0.25">
      <c r="A942" s="2073"/>
      <c r="B942" s="2071"/>
      <c r="C942" s="123" t="s">
        <v>46</v>
      </c>
      <c r="D942" s="850" t="s">
        <v>10</v>
      </c>
      <c r="E942" s="851">
        <v>46233</v>
      </c>
      <c r="F942" s="911">
        <f t="shared" si="581"/>
        <v>28</v>
      </c>
      <c r="G942" s="56">
        <v>53.710000000000065</v>
      </c>
      <c r="H942" s="56"/>
      <c r="I942" s="56">
        <f>SUM(K938:K939)</f>
        <v>50</v>
      </c>
      <c r="J942" s="1369">
        <f>+usage!I91</f>
        <v>21.64</v>
      </c>
      <c r="K942" s="12">
        <f>IFERROR(SUMIF(INTAKE!$A:$A,$T942,INTAKE!$P:$P),0)</f>
        <v>0</v>
      </c>
      <c r="L942" s="1534">
        <f t="shared" si="578"/>
        <v>82.070000000000064</v>
      </c>
      <c r="M942" s="379"/>
      <c r="N942" s="379"/>
      <c r="O942" s="379"/>
      <c r="P942" s="736"/>
      <c r="Q942" s="795"/>
      <c r="R942" s="785">
        <f>IFERROR(VLOOKUP($Q942,'391'!$S:$Z,8,0),"")</f>
        <v>0</v>
      </c>
      <c r="S942" s="786"/>
      <c r="T942" s="787" t="str">
        <f t="shared" si="582"/>
        <v>Pigortek 659 (France)Feedmill46233</v>
      </c>
      <c r="U942" s="787"/>
      <c r="V942" s="787"/>
      <c r="W942" s="785">
        <f>IFERROR(VLOOKUP($Q942,'391'!$S:$AG,15,0),0)</f>
        <v>0</v>
      </c>
      <c r="X942" s="1090">
        <f t="shared" si="580"/>
        <v>53.710000000000065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265" customFormat="1" ht="30" customHeight="1" x14ac:dyDescent="0.25">
      <c r="A943" s="2022" t="s">
        <v>518</v>
      </c>
      <c r="B943" s="2023"/>
      <c r="C943" s="88"/>
      <c r="D943" s="864"/>
      <c r="E943" s="864"/>
      <c r="F943" s="865"/>
      <c r="G943" s="1297">
        <v>1453.71</v>
      </c>
      <c r="H943" s="1297">
        <f t="shared" ref="H943:L943" si="585">SUM(H935:H942)</f>
        <v>0</v>
      </c>
      <c r="I943" s="1297">
        <f t="shared" si="585"/>
        <v>50</v>
      </c>
      <c r="J943" s="1297">
        <f t="shared" si="585"/>
        <v>21.64</v>
      </c>
      <c r="K943" s="1297">
        <f t="shared" si="585"/>
        <v>50</v>
      </c>
      <c r="L943" s="1297">
        <f t="shared" si="585"/>
        <v>1432.0700000000002</v>
      </c>
      <c r="M943" s="59">
        <f>IFERROR((R943/$S$2),"")</f>
        <v>75.674999999999997</v>
      </c>
      <c r="N943" s="854">
        <f>(L943/M943)</f>
        <v>18.923951106706312</v>
      </c>
      <c r="O943" s="59">
        <f>IFERROR(SUMIF(ETM!$A:$A,$Q943,ETM!$E:$E),"")</f>
        <v>74.333333333333329</v>
      </c>
      <c r="P943" s="880">
        <f>IFERROR(L943/O943,0)</f>
        <v>19.265515695067268</v>
      </c>
      <c r="Q943" s="814" t="s">
        <v>670</v>
      </c>
      <c r="R943" s="785">
        <f>IFERROR(VLOOKUP($Q943,'391'!$S:$Z,8,0),"")</f>
        <v>454.05</v>
      </c>
      <c r="S943" s="796"/>
      <c r="T943" s="797"/>
      <c r="U943" s="797"/>
      <c r="V943" s="797"/>
      <c r="W943" s="785">
        <f>IFERROR(VLOOKUP($Q943,'391'!$S:$AG,15,0),0)</f>
        <v>1705.23</v>
      </c>
      <c r="X943" s="1090">
        <f t="shared" si="580"/>
        <v>-251.51999999999998</v>
      </c>
      <c r="Y943" s="785"/>
      <c r="Z943" s="785"/>
      <c r="AA943" s="797"/>
      <c r="AB943" s="797"/>
      <c r="AC943" s="551"/>
      <c r="AD943" s="551"/>
      <c r="AE943" s="551"/>
      <c r="AF943" s="551"/>
      <c r="AG943" s="551"/>
      <c r="AH943" s="551"/>
      <c r="AI943" s="704"/>
      <c r="AJ943" s="704"/>
      <c r="AK943" s="704"/>
      <c r="AL943" s="704"/>
      <c r="AM943" s="704"/>
      <c r="AN943" s="704"/>
      <c r="AO943" s="704"/>
      <c r="AP943" s="704"/>
      <c r="AQ943" s="704"/>
      <c r="AR943" s="704"/>
      <c r="AS943" s="704"/>
    </row>
    <row r="944" spans="1:45" s="6" customFormat="1" ht="30" hidden="1" customHeight="1" x14ac:dyDescent="0.25">
      <c r="A944" s="2000">
        <f>IF(L955=0,"",MAX($A$16:A943)+1)</f>
        <v>60</v>
      </c>
      <c r="B944" s="2018" t="s">
        <v>1374</v>
      </c>
      <c r="C944" s="143"/>
      <c r="D944" s="1747" t="s">
        <v>10</v>
      </c>
      <c r="E944" s="882">
        <v>46158</v>
      </c>
      <c r="F944" s="359">
        <f t="shared" ref="F944:F949" si="586">$L$7-E944</f>
        <v>103</v>
      </c>
      <c r="G944" s="12">
        <v>0</v>
      </c>
      <c r="H944" s="12"/>
      <c r="I944" s="12"/>
      <c r="J944" s="1368"/>
      <c r="K944" s="12">
        <f>IFERROR(SUMIF(INTAKE!$A:$A,$T944,INTAKE!$P:$P),0)</f>
        <v>0</v>
      </c>
      <c r="L944" s="1703">
        <f t="shared" ref="L944:L954" si="587">+G944+H944+I944-J944-K944</f>
        <v>0</v>
      </c>
      <c r="M944" s="66"/>
      <c r="N944" s="66"/>
      <c r="O944" s="66"/>
      <c r="P944" s="744"/>
      <c r="Q944" s="795"/>
      <c r="R944" s="785">
        <f>IFERROR(VLOOKUP($Q944,'391'!$S:$Z,8,0),"")</f>
        <v>0</v>
      </c>
      <c r="S944" s="786"/>
      <c r="T944" s="787" t="str">
        <f t="shared" ref="T944:T952" si="588">$Q$955&amp;C944&amp;E944</f>
        <v>Myco curb liquid46158</v>
      </c>
      <c r="U944" s="787"/>
      <c r="V944" s="787"/>
      <c r="W944" s="785">
        <f>IFERROR(VLOOKUP($Q944,'391'!$S:$AG,15,0),0)</f>
        <v>0</v>
      </c>
      <c r="X944" s="1090">
        <f t="shared" si="580"/>
        <v>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1"/>
      <c r="B945" s="2019"/>
      <c r="C945" s="143" t="s">
        <v>1717</v>
      </c>
      <c r="D945" s="1747" t="s">
        <v>10</v>
      </c>
      <c r="E945" s="882">
        <v>46175</v>
      </c>
      <c r="F945" s="359">
        <f t="shared" si="586"/>
        <v>86</v>
      </c>
      <c r="G945" s="12">
        <v>10000</v>
      </c>
      <c r="H945" s="12"/>
      <c r="I945" s="12"/>
      <c r="J945" s="1368"/>
      <c r="K945" s="12">
        <f>IFERROR(SUMIF(INTAKE!$A:$A,$T945,INTAKE!$P:$P),0)</f>
        <v>0</v>
      </c>
      <c r="L945" s="1703">
        <f t="shared" si="587"/>
        <v>10000</v>
      </c>
      <c r="M945" s="101"/>
      <c r="N945" s="101"/>
      <c r="O945" s="101"/>
      <c r="P945" s="738"/>
      <c r="Q945" s="795"/>
      <c r="R945" s="785">
        <f>IFERROR(VLOOKUP($Q945,'391'!$S:$Z,8,0),"")</f>
        <v>0</v>
      </c>
      <c r="S945" s="786"/>
      <c r="T945" s="787" t="str">
        <f t="shared" si="588"/>
        <v>Myco curb liquidA15.246175</v>
      </c>
      <c r="U945" s="787"/>
      <c r="V945" s="787"/>
      <c r="W945" s="785">
        <f>IFERROR(VLOOKUP($Q945,'391'!$S:$AG,15,0),0)</f>
        <v>0</v>
      </c>
      <c r="X945" s="1090">
        <f t="shared" si="580"/>
        <v>10000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1"/>
      <c r="B946" s="2019"/>
      <c r="C946" s="143" t="s">
        <v>1798</v>
      </c>
      <c r="D946" s="1747" t="s">
        <v>10</v>
      </c>
      <c r="E946" s="882">
        <v>46186</v>
      </c>
      <c r="F946" s="359">
        <f t="shared" si="586"/>
        <v>75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87"/>
        <v>18000</v>
      </c>
      <c r="M946" s="101"/>
      <c r="N946" s="101"/>
      <c r="O946" s="101"/>
      <c r="P946" s="738"/>
      <c r="Q946" s="795"/>
      <c r="R946" s="785">
        <f>IFERROR(VLOOKUP($Q946,'391'!$S:$Z,8,0),"")</f>
        <v>0</v>
      </c>
      <c r="S946" s="786"/>
      <c r="T946" s="787" t="str">
        <f t="shared" si="588"/>
        <v>Myco curb liquidA16.2A46186</v>
      </c>
      <c r="U946" s="787"/>
      <c r="V946" s="787"/>
      <c r="W946" s="785">
        <f>IFERROR(VLOOKUP($Q946,'391'!$S:$AG,15,0),0)</f>
        <v>0</v>
      </c>
      <c r="X946" s="1090">
        <f t="shared" si="580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1"/>
      <c r="B947" s="2020"/>
      <c r="C947" s="143" t="s">
        <v>1798</v>
      </c>
      <c r="D947" s="1747" t="s">
        <v>10</v>
      </c>
      <c r="E947" s="882">
        <v>46191</v>
      </c>
      <c r="F947" s="359">
        <f t="shared" si="586"/>
        <v>70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ref="L947" si="589">+G947+H947+I947-J947-K947</f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88"/>
        <v>Myco curb liquidA16.2A46191</v>
      </c>
      <c r="U947" s="787"/>
      <c r="V947" s="787"/>
      <c r="W947" s="785">
        <f>IFERROR(VLOOKUP($Q947,'391'!$S:$AG,15,0),0)</f>
        <v>0</v>
      </c>
      <c r="X947" s="1090">
        <f t="shared" ref="X947" si="590">G947-W947</f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1"/>
      <c r="B948" s="2019"/>
      <c r="C948" s="143" t="s">
        <v>1798</v>
      </c>
      <c r="D948" s="1747" t="s">
        <v>10</v>
      </c>
      <c r="E948" s="882">
        <v>46213</v>
      </c>
      <c r="F948" s="359">
        <f t="shared" si="586"/>
        <v>48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si="587"/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88"/>
        <v>Myco curb liquidA16.2A46213</v>
      </c>
      <c r="U948" s="787"/>
      <c r="V948" s="787"/>
      <c r="W948" s="785">
        <f>IFERROR(VLOOKUP($Q948,'391'!$S:$AG,15,0),0)</f>
        <v>0</v>
      </c>
      <c r="X948" s="1090">
        <f t="shared" si="580"/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1"/>
      <c r="B949" s="2021"/>
      <c r="C949" s="143" t="s">
        <v>2131</v>
      </c>
      <c r="D949" s="1747" t="s">
        <v>10</v>
      </c>
      <c r="E949" s="882">
        <v>46233</v>
      </c>
      <c r="F949" s="359">
        <f t="shared" si="586"/>
        <v>28</v>
      </c>
      <c r="G949" s="12">
        <v>18000</v>
      </c>
      <c r="H949" s="12"/>
      <c r="I949" s="12"/>
      <c r="J949" s="1388"/>
      <c r="K949" s="12">
        <f>IFERROR(SUMIF(INTAKE!$A:$A,$T949,INTAKE!$P:$P),0)</f>
        <v>0</v>
      </c>
      <c r="L949" s="1703">
        <f t="shared" si="587"/>
        <v>18000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88"/>
        <v>Myco curb liquidA16.1B46233</v>
      </c>
      <c r="U949" s="787"/>
      <c r="V949" s="787"/>
      <c r="W949" s="785">
        <f>IFERROR(VLOOKUP($Q949,'391'!$S:$AG,15,0),0)</f>
        <v>0</v>
      </c>
      <c r="X949" s="1090">
        <f t="shared" si="580"/>
        <v>18000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1"/>
      <c r="B950" s="2020"/>
      <c r="C950" s="143" t="s">
        <v>2131</v>
      </c>
      <c r="D950" s="1747" t="s">
        <v>10</v>
      </c>
      <c r="E950" s="882">
        <v>46239</v>
      </c>
      <c r="F950" s="359">
        <f t="shared" ref="F950:F951" si="591">$L$7-E950</f>
        <v>22</v>
      </c>
      <c r="G950" s="12">
        <v>18000</v>
      </c>
      <c r="H950" s="12"/>
      <c r="I950" s="12"/>
      <c r="J950" s="1388"/>
      <c r="K950" s="12">
        <f>IFERROR(SUMIF(INTAKE!$A:$A,$T950,INTAKE!$P:$P),0)</f>
        <v>0</v>
      </c>
      <c r="L950" s="1703">
        <f t="shared" ref="L950" si="592">+G950+H950+I950-J950-K950</f>
        <v>18000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88"/>
        <v>Myco curb liquidA16.1B46239</v>
      </c>
      <c r="U950" s="787"/>
      <c r="V950" s="787"/>
      <c r="W950" s="785">
        <f>IFERROR(VLOOKUP($Q950,'391'!$S:$AG,15,0),0)</f>
        <v>0</v>
      </c>
      <c r="X950" s="1090">
        <f t="shared" ref="X950" si="593">G950-W950</f>
        <v>18000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1"/>
      <c r="B951" s="2019"/>
      <c r="C951" s="1483" t="s">
        <v>1199</v>
      </c>
      <c r="D951" s="977" t="s">
        <v>10</v>
      </c>
      <c r="E951" s="853">
        <v>46158</v>
      </c>
      <c r="F951" s="359">
        <f t="shared" si="591"/>
        <v>103</v>
      </c>
      <c r="G951" s="56">
        <v>1993</v>
      </c>
      <c r="H951" s="56"/>
      <c r="I951" s="1401"/>
      <c r="J951" s="1369">
        <f>sdmixer!K13</f>
        <v>0</v>
      </c>
      <c r="K951" s="1379"/>
      <c r="L951" s="1534">
        <f t="shared" si="587"/>
        <v>1993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 t="str">
        <f t="shared" si="588"/>
        <v>Myco curb liquidSilo46158</v>
      </c>
      <c r="U951" s="787"/>
      <c r="V951" s="787"/>
      <c r="W951" s="785">
        <f>IFERROR(VLOOKUP($Q951,'391'!$S:$AG,15,0),0)</f>
        <v>0</v>
      </c>
      <c r="X951" s="1090">
        <f t="shared" si="580"/>
        <v>1993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s="6" customFormat="1" ht="30" customHeight="1" x14ac:dyDescent="0.25">
      <c r="A952" s="2001"/>
      <c r="B952" s="2019"/>
      <c r="C952" s="151" t="s">
        <v>495</v>
      </c>
      <c r="D952" s="977" t="s">
        <v>10</v>
      </c>
      <c r="E952" s="853">
        <v>46214</v>
      </c>
      <c r="F952" s="41">
        <f t="shared" ref="F952:F954" si="594">$L$7-E952</f>
        <v>47</v>
      </c>
      <c r="G952" s="56">
        <v>23202.579999999998</v>
      </c>
      <c r="H952" s="56"/>
      <c r="I952" s="1401"/>
      <c r="J952" s="1775">
        <f>usage!I103-J953-J951</f>
        <v>2098.71</v>
      </c>
      <c r="K952" s="1379"/>
      <c r="L952" s="1534">
        <f t="shared" si="587"/>
        <v>21103.87</v>
      </c>
      <c r="M952" s="369"/>
      <c r="N952" s="369"/>
      <c r="O952" s="369"/>
      <c r="P952" s="738"/>
      <c r="Q952" s="795"/>
      <c r="R952" s="785">
        <f>IFERROR(VLOOKUP($Q952,'391'!$S:$Z,8,0),"")</f>
        <v>0</v>
      </c>
      <c r="S952" s="786"/>
      <c r="T952" s="787" t="str">
        <f t="shared" si="588"/>
        <v>Myco curb liquidLA446214</v>
      </c>
      <c r="U952" s="787"/>
      <c r="V952" s="787"/>
      <c r="W952" s="785">
        <f>IFERROR(VLOOKUP($Q952,'391'!$S:$AG,15,0),0)</f>
        <v>0</v>
      </c>
      <c r="X952" s="1090">
        <f t="shared" si="580"/>
        <v>23202.579999999998</v>
      </c>
      <c r="Y952" s="785"/>
      <c r="Z952" s="785"/>
      <c r="AA952" s="787"/>
      <c r="AB952" s="787"/>
      <c r="AC952" s="679"/>
      <c r="AD952" s="679"/>
      <c r="AE952" s="679"/>
      <c r="AF952" s="679"/>
      <c r="AG952" s="679"/>
      <c r="AH952" s="679"/>
      <c r="AI952" s="682"/>
      <c r="AJ952" s="682"/>
      <c r="AK952" s="682"/>
      <c r="AL952" s="682"/>
      <c r="AM952" s="682"/>
      <c r="AN952" s="682"/>
      <c r="AO952" s="682"/>
      <c r="AP952" s="682"/>
      <c r="AQ952" s="682"/>
      <c r="AR952" s="682"/>
      <c r="AS952" s="682"/>
    </row>
    <row r="953" spans="1:45" s="6" customFormat="1" ht="30" customHeight="1" x14ac:dyDescent="0.25">
      <c r="A953" s="2001"/>
      <c r="B953" s="2019"/>
      <c r="C953" s="149" t="s">
        <v>589</v>
      </c>
      <c r="D953" s="977" t="s">
        <v>10</v>
      </c>
      <c r="E953" s="851">
        <v>46255</v>
      </c>
      <c r="F953" s="41">
        <f t="shared" si="594"/>
        <v>6</v>
      </c>
      <c r="G953" s="56">
        <v>22800</v>
      </c>
      <c r="H953" s="56"/>
      <c r="I953" s="56"/>
      <c r="J953" s="1369"/>
      <c r="K953" s="1710"/>
      <c r="L953" s="1534">
        <f t="shared" si="587"/>
        <v>22800</v>
      </c>
      <c r="M953" s="369"/>
      <c r="N953" s="369"/>
      <c r="O953" s="369"/>
      <c r="P953" s="738"/>
      <c r="Q953" s="795"/>
      <c r="R953" s="785">
        <f>IFERROR(VLOOKUP($Q953,'391'!$S:$Z,8,0),"")</f>
        <v>0</v>
      </c>
      <c r="S953" s="786"/>
      <c r="T953" s="787"/>
      <c r="U953" s="787"/>
      <c r="V953" s="787"/>
      <c r="W953" s="785">
        <f>IFERROR(VLOOKUP($Q953,'391'!$S:$AG,15,0),0)</f>
        <v>0</v>
      </c>
      <c r="X953" s="1090">
        <f t="shared" si="580"/>
        <v>22800</v>
      </c>
      <c r="Y953" s="785"/>
      <c r="Z953" s="785"/>
      <c r="AA953" s="787"/>
      <c r="AB953" s="787"/>
      <c r="AC953" s="679"/>
      <c r="AD953" s="679"/>
      <c r="AE953" s="679"/>
      <c r="AF953" s="679"/>
      <c r="AG953" s="679"/>
      <c r="AH953" s="679"/>
      <c r="AI953" s="682"/>
      <c r="AJ953" s="682"/>
      <c r="AK953" s="682"/>
      <c r="AL953" s="682"/>
      <c r="AM953" s="682"/>
      <c r="AN953" s="682"/>
      <c r="AO953" s="682"/>
      <c r="AP953" s="682"/>
      <c r="AQ953" s="682"/>
      <c r="AR953" s="682"/>
      <c r="AS953" s="682"/>
    </row>
    <row r="954" spans="1:45" ht="30" hidden="1" customHeight="1" x14ac:dyDescent="0.25">
      <c r="A954" s="2001"/>
      <c r="B954" s="2019"/>
      <c r="C954" s="149" t="s">
        <v>1199</v>
      </c>
      <c r="D954" s="977" t="s">
        <v>10</v>
      </c>
      <c r="E954" s="851">
        <v>44818</v>
      </c>
      <c r="F954" s="41">
        <f t="shared" si="594"/>
        <v>1443</v>
      </c>
      <c r="G954" s="56">
        <v>0</v>
      </c>
      <c r="H954" s="56"/>
      <c r="I954" s="56"/>
      <c r="J954" s="1369"/>
      <c r="K954" s="56"/>
      <c r="L954" s="1534">
        <f t="shared" si="587"/>
        <v>0</v>
      </c>
      <c r="M954" s="370"/>
      <c r="N954" s="162"/>
      <c r="O954" s="47"/>
      <c r="P954" s="857"/>
      <c r="Q954" s="795"/>
      <c r="R954" s="785">
        <f>IFERROR(VLOOKUP($Q954,'391'!$S:$Z,8,0),"")</f>
        <v>0</v>
      </c>
      <c r="U954" s="787"/>
      <c r="V954" s="787"/>
      <c r="W954" s="785">
        <f>IFERROR(VLOOKUP($Q954,'391'!$S:$AG,15,0),0)</f>
        <v>0</v>
      </c>
      <c r="X954" s="1090">
        <f t="shared" si="580"/>
        <v>0</v>
      </c>
      <c r="Y954" s="785"/>
      <c r="Z954" s="785"/>
      <c r="AA954" s="787"/>
      <c r="AB954" s="787"/>
      <c r="AC954" s="679"/>
    </row>
    <row r="955" spans="1:45" s="265" customFormat="1" ht="30" customHeight="1" x14ac:dyDescent="0.25">
      <c r="A955" s="2022" t="s">
        <v>132</v>
      </c>
      <c r="B955" s="2023"/>
      <c r="C955" s="88"/>
      <c r="D955" s="864"/>
      <c r="E955" s="864"/>
      <c r="F955" s="865"/>
      <c r="G955" s="1297">
        <v>147995.58000000002</v>
      </c>
      <c r="H955" s="1297">
        <f>+SUM(H944:H953)</f>
        <v>0</v>
      </c>
      <c r="I955" s="1297">
        <f t="shared" ref="I955:L955" si="595">+SUM(I944:I953)</f>
        <v>0</v>
      </c>
      <c r="J955" s="1297">
        <f t="shared" si="595"/>
        <v>2098.71</v>
      </c>
      <c r="K955" s="1297">
        <f t="shared" si="595"/>
        <v>0</v>
      </c>
      <c r="L955" s="1297">
        <f t="shared" si="595"/>
        <v>145896.87</v>
      </c>
      <c r="M955" s="982">
        <f>IFERROR((R955/$S$2),"")</f>
        <v>1975.1633333333332</v>
      </c>
      <c r="N955" s="366">
        <f>IFERROR(L955/M955,0)</f>
        <v>73.865724184835344</v>
      </c>
      <c r="O955" s="982">
        <f>IFERROR(SUMIF(ETM!$A:$A,$Q955,ETM!$E:$E),"")</f>
        <v>2305.666666666667</v>
      </c>
      <c r="P955" s="855">
        <f>IFERROR(L955/O955,0)</f>
        <v>63.277520601416789</v>
      </c>
      <c r="Q955" s="814" t="s">
        <v>671</v>
      </c>
      <c r="R955" s="785">
        <f>IFERROR(VLOOKUP($Q955,'391'!$S:$Z,8,0),"")</f>
        <v>11850.98</v>
      </c>
      <c r="S955" s="796"/>
      <c r="T955" s="797"/>
      <c r="U955" s="797"/>
      <c r="V955" s="797"/>
      <c r="W955" s="785">
        <f>IFERROR(VLOOKUP($Q955,'391'!$S:$AG,15,0),0)</f>
        <v>154001.25</v>
      </c>
      <c r="X955" s="1090">
        <f t="shared" si="580"/>
        <v>-6005.6699999999837</v>
      </c>
      <c r="Y955" s="785"/>
      <c r="Z955" s="785"/>
      <c r="AA955" s="797"/>
      <c r="AB955" s="797"/>
      <c r="AC955" s="551"/>
      <c r="AD955" s="551"/>
      <c r="AE955" s="551"/>
      <c r="AF955" s="551"/>
      <c r="AG955" s="551"/>
      <c r="AH955" s="551"/>
      <c r="AI955" s="704"/>
      <c r="AJ955" s="704"/>
      <c r="AK955" s="704"/>
      <c r="AL955" s="704"/>
      <c r="AM955" s="704"/>
      <c r="AN955" s="704"/>
      <c r="AO955" s="704"/>
      <c r="AP955" s="704"/>
      <c r="AQ955" s="704"/>
      <c r="AR955" s="704"/>
      <c r="AS955" s="704"/>
    </row>
    <row r="956" spans="1:45" s="405" customFormat="1" ht="30" hidden="1" customHeight="1" x14ac:dyDescent="0.25">
      <c r="A956" s="2024" t="str">
        <f>IF(L958=0,"",MAX($A$16:A955)+1)</f>
        <v/>
      </c>
      <c r="B956" s="2027" t="s">
        <v>73</v>
      </c>
      <c r="C956" s="844" t="s">
        <v>159</v>
      </c>
      <c r="D956" s="959" t="s">
        <v>10</v>
      </c>
      <c r="E956" s="961">
        <v>41510</v>
      </c>
      <c r="F956" s="74">
        <f>$L$7-E956</f>
        <v>4751</v>
      </c>
      <c r="G956" s="63">
        <v>0</v>
      </c>
      <c r="H956" s="1402"/>
      <c r="I956" s="1402"/>
      <c r="J956" s="1403"/>
      <c r="K956" s="1402"/>
      <c r="L956" s="1534">
        <f t="shared" ref="L956:L964" si="596">+G956+H956+I956-J956-K956</f>
        <v>0</v>
      </c>
      <c r="M956" s="372"/>
      <c r="N956" s="360"/>
      <c r="O956" s="372"/>
      <c r="P956" s="857"/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0"/>
        <v>0</v>
      </c>
      <c r="Y956" s="785"/>
      <c r="Z956" s="785"/>
      <c r="AA956" s="797"/>
      <c r="AB956" s="797"/>
      <c r="AC956" s="683"/>
      <c r="AD956" s="683"/>
      <c r="AE956" s="683"/>
      <c r="AF956" s="683"/>
      <c r="AG956" s="683"/>
      <c r="AH956" s="683"/>
      <c r="AI956" s="705"/>
      <c r="AJ956" s="705"/>
      <c r="AK956" s="705"/>
      <c r="AL956" s="705"/>
      <c r="AM956" s="705"/>
      <c r="AN956" s="705"/>
      <c r="AO956" s="705"/>
      <c r="AP956" s="705"/>
      <c r="AQ956" s="705"/>
      <c r="AR956" s="705"/>
      <c r="AS956" s="705"/>
    </row>
    <row r="957" spans="1:45" s="415" customFormat="1" ht="30" hidden="1" customHeight="1" x14ac:dyDescent="0.25">
      <c r="A957" s="2026"/>
      <c r="B957" s="2029"/>
      <c r="C957" s="135" t="s">
        <v>46</v>
      </c>
      <c r="D957" s="850" t="s">
        <v>10</v>
      </c>
      <c r="E957" s="851">
        <v>41510</v>
      </c>
      <c r="F957" s="42">
        <f>$L$7-E957</f>
        <v>4751</v>
      </c>
      <c r="G957" s="56">
        <v>0</v>
      </c>
      <c r="H957" s="56"/>
      <c r="I957" s="56"/>
      <c r="J957" s="1369">
        <v>0</v>
      </c>
      <c r="K957" s="56"/>
      <c r="L957" s="1534">
        <f t="shared" si="596"/>
        <v>0</v>
      </c>
      <c r="M957" s="136"/>
      <c r="N957" s="134"/>
      <c r="O957" s="136"/>
      <c r="P957" s="857"/>
      <c r="Q957" s="795"/>
      <c r="R957" s="785">
        <f>IFERROR(VLOOKUP($Q957,'391'!$S:$Z,8,0),"")</f>
        <v>0</v>
      </c>
      <c r="S957" s="796"/>
      <c r="T957" s="797"/>
      <c r="U957" s="797"/>
      <c r="V957" s="797"/>
      <c r="W957" s="785">
        <f>IFERROR(VLOOKUP($Q957,'391'!$S:$AG,15,0),0)</f>
        <v>0</v>
      </c>
      <c r="X957" s="1090">
        <f t="shared" si="580"/>
        <v>0</v>
      </c>
      <c r="Y957" s="785"/>
      <c r="Z957" s="785"/>
      <c r="AA957" s="797"/>
      <c r="AB957" s="797"/>
      <c r="AC957" s="683"/>
      <c r="AD957" s="683"/>
      <c r="AE957" s="683"/>
      <c r="AF957" s="683"/>
      <c r="AG957" s="683"/>
      <c r="AH957" s="683"/>
      <c r="AI957" s="705"/>
      <c r="AJ957" s="705"/>
      <c r="AK957" s="705"/>
      <c r="AL957" s="705"/>
      <c r="AM957" s="705"/>
      <c r="AN957" s="705"/>
      <c r="AO957" s="705"/>
      <c r="AP957" s="705"/>
      <c r="AQ957" s="705"/>
      <c r="AR957" s="705"/>
      <c r="AS957" s="705"/>
    </row>
    <row r="958" spans="1:45" s="265" customFormat="1" ht="30" hidden="1" customHeight="1" x14ac:dyDescent="0.25">
      <c r="A958" s="2022" t="s">
        <v>33</v>
      </c>
      <c r="B958" s="2023"/>
      <c r="C958" s="983"/>
      <c r="D958" s="864"/>
      <c r="E958" s="864"/>
      <c r="F958" s="865"/>
      <c r="G958" s="1297">
        <v>0</v>
      </c>
      <c r="H958" s="1344">
        <f>SUM(H956:H957)</f>
        <v>0</v>
      </c>
      <c r="I958" s="1344">
        <f>SUM(I956:I957)</f>
        <v>0</v>
      </c>
      <c r="J958" s="1400">
        <f>SUM(J956:J957)</f>
        <v>0</v>
      </c>
      <c r="K958" s="1344"/>
      <c r="L958" s="1534">
        <f t="shared" si="596"/>
        <v>0</v>
      </c>
      <c r="M958" s="1451"/>
      <c r="N958" s="984" t="e">
        <f>(L958/M958)/1000</f>
        <v>#DIV/0!</v>
      </c>
      <c r="O958" s="1451"/>
      <c r="P958" s="857" t="e">
        <f>(L958/O958)/1000</f>
        <v>#DIV/0!</v>
      </c>
      <c r="Q958" s="795"/>
      <c r="R958" s="785">
        <f>IFERROR(VLOOKUP($Q958,'391'!$S:$Z,8,0),"")</f>
        <v>0</v>
      </c>
      <c r="S958" s="796"/>
      <c r="T958" s="797"/>
      <c r="U958" s="797"/>
      <c r="V958" s="797"/>
      <c r="W958" s="785">
        <f>IFERROR(VLOOKUP($Q958,'391'!$S:$AG,15,0),0)</f>
        <v>0</v>
      </c>
      <c r="X958" s="1090">
        <f t="shared" si="580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hidden="1" customHeight="1" x14ac:dyDescent="0.25">
      <c r="A959" s="2000">
        <f>IF(L965=0,"",MAX($A$16:A958)+1)</f>
        <v>61</v>
      </c>
      <c r="B959" s="2018" t="s">
        <v>496</v>
      </c>
      <c r="C959" s="160"/>
      <c r="D959" s="881" t="s">
        <v>10</v>
      </c>
      <c r="E959" s="882">
        <v>45807</v>
      </c>
      <c r="F959" s="71">
        <f t="shared" ref="F959:F961" si="597">$L$7-E959</f>
        <v>454</v>
      </c>
      <c r="G959" s="11">
        <v>0</v>
      </c>
      <c r="H959" s="12"/>
      <c r="I959" s="12"/>
      <c r="J959" s="1368"/>
      <c r="K959" s="1379">
        <f>IFERROR(SUMIF(INTAKE!$A:$A,$T959,INTAKE!$P:$P),0)</f>
        <v>0</v>
      </c>
      <c r="L959" s="1703">
        <f t="shared" si="596"/>
        <v>0</v>
      </c>
      <c r="M959" s="147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ref="T959:T964" si="598">$Q$965&amp;C959&amp;E959</f>
        <v>Acid Lac Premium Liquip (Singapore)45807</v>
      </c>
      <c r="U959" s="797"/>
      <c r="V959" s="797"/>
      <c r="W959" s="785">
        <f>IFERROR(VLOOKUP($Q959,'391'!$S:$AG,15,0),0)</f>
        <v>0</v>
      </c>
      <c r="X959" s="1090">
        <f t="shared" si="580"/>
        <v>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01"/>
      <c r="B960" s="2019"/>
      <c r="C960" s="160"/>
      <c r="D960" s="881" t="s">
        <v>10</v>
      </c>
      <c r="E960" s="882">
        <v>45834</v>
      </c>
      <c r="F960" s="71">
        <f t="shared" si="597"/>
        <v>427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3">
        <f t="shared" si="596"/>
        <v>0</v>
      </c>
      <c r="M960" s="147"/>
      <c r="N960" s="369"/>
      <c r="O960" s="147"/>
      <c r="P960" s="738"/>
      <c r="Q960" s="795"/>
      <c r="R960" s="785">
        <f>IFERROR(VLOOKUP($Q960,'391'!$S:$Z,8,0),"")</f>
        <v>0</v>
      </c>
      <c r="S960" s="796"/>
      <c r="T960" s="797" t="str">
        <f t="shared" si="598"/>
        <v>Acid Lac Premium Liquip (Singapore)45834</v>
      </c>
      <c r="U960" s="797"/>
      <c r="V960" s="797"/>
      <c r="W960" s="785">
        <f>IFERROR(VLOOKUP($Q960,'391'!$S:$AG,15,0),0)</f>
        <v>0</v>
      </c>
      <c r="X960" s="1090">
        <f t="shared" si="580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customHeight="1" x14ac:dyDescent="0.25">
      <c r="A961" s="2001"/>
      <c r="B961" s="2019"/>
      <c r="C961" s="160" t="s">
        <v>256</v>
      </c>
      <c r="D961" s="881" t="s">
        <v>10</v>
      </c>
      <c r="E961" s="882">
        <v>46233</v>
      </c>
      <c r="F961" s="71">
        <f t="shared" si="597"/>
        <v>28</v>
      </c>
      <c r="G961" s="11">
        <v>10000</v>
      </c>
      <c r="H961" s="12"/>
      <c r="I961" s="12"/>
      <c r="J961" s="1368"/>
      <c r="K961" s="12">
        <f>IFERROR(SUMIF(INTAKE!$A:$A,$T961,INTAKE!$P:$P),0)</f>
        <v>0</v>
      </c>
      <c r="L961" s="1703">
        <f t="shared" si="596"/>
        <v>10000</v>
      </c>
      <c r="M961" s="101"/>
      <c r="N961" s="369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598"/>
        <v>Acid Lac Premium Liquip (Singapore)B14.346233</v>
      </c>
      <c r="U961" s="797"/>
      <c r="V961" s="797"/>
      <c r="W961" s="785">
        <f>IFERROR(VLOOKUP($Q961,'391'!$S:$AG,15,0),0)</f>
        <v>0</v>
      </c>
      <c r="X961" s="1090">
        <f t="shared" si="580"/>
        <v>10000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01"/>
      <c r="B962" s="2019"/>
      <c r="C962" s="160" t="s">
        <v>151</v>
      </c>
      <c r="D962" s="881" t="s">
        <v>10</v>
      </c>
      <c r="E962" s="882">
        <v>46261</v>
      </c>
      <c r="F962" s="71">
        <f t="shared" ref="F962:F964" si="599">$L$7-E962</f>
        <v>0</v>
      </c>
      <c r="G962" s="11">
        <v>0</v>
      </c>
      <c r="H962" s="12">
        <v>24000</v>
      </c>
      <c r="I962" s="12"/>
      <c r="J962" s="1368"/>
      <c r="K962" s="12">
        <f>IFERROR(SUMIF(INTAKE!$A:$A,$T962,INTAKE!$P:$P),0)</f>
        <v>0</v>
      </c>
      <c r="L962" s="1703">
        <f t="shared" si="596"/>
        <v>24000</v>
      </c>
      <c r="M962" s="101"/>
      <c r="N962" s="920"/>
      <c r="O962" s="101"/>
      <c r="P962" s="738"/>
      <c r="Q962" s="795"/>
      <c r="R962" s="785">
        <f>IFERROR(VLOOKUP($Q962,'391'!$S:$Z,8,0),"")</f>
        <v>0</v>
      </c>
      <c r="S962" s="796"/>
      <c r="T962" s="797" t="str">
        <f t="shared" si="598"/>
        <v>Acid Lac Premium Liquip (Singapore)B15.146261</v>
      </c>
      <c r="U962" s="797"/>
      <c r="V962" s="797"/>
      <c r="W962" s="785">
        <f>IFERROR(VLOOKUP($Q962,'391'!$S:$AG,15,0),0)</f>
        <v>0</v>
      </c>
      <c r="X962" s="1090">
        <f t="shared" si="580"/>
        <v>0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hidden="1" customHeight="1" x14ac:dyDescent="0.25">
      <c r="A963" s="2001"/>
      <c r="B963" s="2020"/>
      <c r="C963" s="160"/>
      <c r="D963" s="881" t="s">
        <v>10</v>
      </c>
      <c r="E963" s="882">
        <v>46058</v>
      </c>
      <c r="F963" s="71">
        <f t="shared" si="599"/>
        <v>203</v>
      </c>
      <c r="G963" s="11">
        <v>0</v>
      </c>
      <c r="H963" s="12"/>
      <c r="I963" s="12"/>
      <c r="J963" s="1368"/>
      <c r="K963" s="12">
        <f>IFERROR(SUMIF(INTAKE!$A:$A,$T963,INTAKE!$P:$P),0)</f>
        <v>0</v>
      </c>
      <c r="L963" s="1703">
        <f t="shared" si="596"/>
        <v>0</v>
      </c>
      <c r="M963" s="101"/>
      <c r="N963" s="1460"/>
      <c r="O963" s="101"/>
      <c r="P963" s="738"/>
      <c r="Q963" s="795"/>
      <c r="R963" s="785">
        <f>IFERROR(VLOOKUP($Q963,'391'!$S:$Z,8,0),"")</f>
        <v>0</v>
      </c>
      <c r="S963" s="796"/>
      <c r="T963" s="797" t="str">
        <f t="shared" si="598"/>
        <v>Acid Lac Premium Liquip (Singapore)46058</v>
      </c>
      <c r="U963" s="797"/>
      <c r="V963" s="797"/>
      <c r="W963" s="785">
        <f>IFERROR(VLOOKUP($Q963,'391'!$S:$AG,15,0),0)</f>
        <v>0</v>
      </c>
      <c r="X963" s="1090">
        <f t="shared" si="580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265" customFormat="1" ht="30" customHeight="1" x14ac:dyDescent="0.25">
      <c r="A964" s="2001"/>
      <c r="B964" s="2019"/>
      <c r="C964" s="151" t="s">
        <v>497</v>
      </c>
      <c r="D964" s="985" t="s">
        <v>10</v>
      </c>
      <c r="E964" s="853">
        <v>46233</v>
      </c>
      <c r="F964" s="856">
        <f t="shared" si="599"/>
        <v>28</v>
      </c>
      <c r="G964" s="56">
        <v>24917.399999999994</v>
      </c>
      <c r="H964" s="56"/>
      <c r="I964" s="56">
        <f>SUM(K959:K963)</f>
        <v>0</v>
      </c>
      <c r="J964" s="1369">
        <f>+usage!I95</f>
        <v>356.2</v>
      </c>
      <c r="K964" s="12">
        <f>IFERROR(SUMIF(INTAKE!$A:$A,$T964,INTAKE!$P:$P),0)</f>
        <v>0</v>
      </c>
      <c r="L964" s="1534">
        <f t="shared" si="596"/>
        <v>24561.199999999993</v>
      </c>
      <c r="M964" s="369"/>
      <c r="N964" s="369"/>
      <c r="O964" s="369"/>
      <c r="P964" s="738"/>
      <c r="Q964" s="795"/>
      <c r="R964" s="785">
        <f>IFERROR(VLOOKUP($Q964,'391'!$S:$Z,8,0),"")</f>
        <v>0</v>
      </c>
      <c r="S964" s="796"/>
      <c r="T964" s="797" t="str">
        <f t="shared" si="598"/>
        <v>Acid Lac Premium Liquip (Singapore)LA146233</v>
      </c>
      <c r="U964" s="797"/>
      <c r="V964" s="797"/>
      <c r="W964" s="785">
        <f>IFERROR(VLOOKUP($Q964,'391'!$S:$AG,15,0),0)</f>
        <v>0</v>
      </c>
      <c r="X964" s="1090">
        <f t="shared" si="580"/>
        <v>24917.399999999994</v>
      </c>
      <c r="Y964" s="785"/>
      <c r="Z964" s="785"/>
      <c r="AA964" s="797"/>
      <c r="AB964" s="797"/>
      <c r="AC964" s="551"/>
      <c r="AD964" s="551"/>
      <c r="AE964" s="551"/>
      <c r="AF964" s="551"/>
      <c r="AG964" s="551"/>
      <c r="AH964" s="551"/>
      <c r="AI964" s="704"/>
      <c r="AJ964" s="704"/>
      <c r="AK964" s="704"/>
      <c r="AL964" s="704"/>
      <c r="AM964" s="704"/>
      <c r="AN964" s="704"/>
      <c r="AO964" s="704"/>
      <c r="AP964" s="704"/>
      <c r="AQ964" s="704"/>
      <c r="AR964" s="704"/>
      <c r="AS964" s="704"/>
    </row>
    <row r="965" spans="1:45" s="265" customFormat="1" ht="30" customHeight="1" x14ac:dyDescent="0.25">
      <c r="A965" s="2022" t="s">
        <v>498</v>
      </c>
      <c r="B965" s="2023"/>
      <c r="C965" s="88"/>
      <c r="D965" s="864"/>
      <c r="E965" s="864"/>
      <c r="F965" s="865"/>
      <c r="G965" s="1297">
        <v>34917.399999999994</v>
      </c>
      <c r="H965" s="1297">
        <f>+SUM(H959:H964)</f>
        <v>24000</v>
      </c>
      <c r="I965" s="1297">
        <f t="shared" ref="I965:L965" si="600">+SUM(I959:I964)</f>
        <v>0</v>
      </c>
      <c r="J965" s="1297">
        <f t="shared" si="600"/>
        <v>356.2</v>
      </c>
      <c r="K965" s="1297">
        <f t="shared" si="600"/>
        <v>0</v>
      </c>
      <c r="L965" s="1297">
        <f t="shared" si="600"/>
        <v>58561.2</v>
      </c>
      <c r="M965" s="982">
        <f>IFERROR((R965/$S$2),"")</f>
        <v>1100.95</v>
      </c>
      <c r="N965" s="366">
        <f>(L965/M965)</f>
        <v>53.191516417639306</v>
      </c>
      <c r="O965" s="982">
        <f>IFERROR(SUMIF(ETM!$A:$A,$Q965,ETM!$E:$E),"")</f>
        <v>1109.5</v>
      </c>
      <c r="P965" s="855">
        <f>IFERROR(L965/O965,0)</f>
        <v>52.781613339342044</v>
      </c>
      <c r="Q965" s="814" t="s">
        <v>496</v>
      </c>
      <c r="R965" s="785">
        <f>IFERROR(VLOOKUP($Q965,'391'!$S:$Z,8,0),"")</f>
        <v>6605.7</v>
      </c>
      <c r="S965" s="796"/>
      <c r="T965" s="797"/>
      <c r="U965" s="797"/>
      <c r="V965" s="797"/>
      <c r="W965" s="785">
        <f>IFERROR(VLOOKUP($Q965,'391'!$S:$AG,15,0),0)</f>
        <v>38433.300000000003</v>
      </c>
      <c r="X965" s="1090">
        <f t="shared" si="580"/>
        <v>-3515.9000000000087</v>
      </c>
      <c r="Y965" s="785"/>
      <c r="Z965" s="785"/>
      <c r="AA965" s="797"/>
      <c r="AB965" s="797"/>
      <c r="AC965" s="551"/>
      <c r="AD965" s="551"/>
      <c r="AE965" s="551"/>
      <c r="AF965" s="551"/>
      <c r="AG965" s="551"/>
      <c r="AH965" s="551"/>
      <c r="AI965" s="704"/>
      <c r="AJ965" s="704"/>
      <c r="AK965" s="704"/>
      <c r="AL965" s="704"/>
      <c r="AM965" s="704"/>
      <c r="AN965" s="704"/>
      <c r="AO965" s="704"/>
      <c r="AP965" s="704"/>
      <c r="AQ965" s="704"/>
      <c r="AR965" s="704"/>
      <c r="AS965" s="704"/>
    </row>
    <row r="966" spans="1:45" s="405" customFormat="1" ht="7.5" hidden="1" customHeight="1" x14ac:dyDescent="0.25">
      <c r="A966" s="2066">
        <f>IF(L971=0,"",MAX($A$16:A965)+1)</f>
        <v>62</v>
      </c>
      <c r="B966" s="2011" t="s">
        <v>545</v>
      </c>
      <c r="C966" s="1141"/>
      <c r="D966" s="959" t="s">
        <v>10</v>
      </c>
      <c r="E966" s="961">
        <v>45798</v>
      </c>
      <c r="F966" s="74">
        <f>$L$7-E966</f>
        <v>463</v>
      </c>
      <c r="G966" s="63">
        <v>0</v>
      </c>
      <c r="H966" s="64"/>
      <c r="I966" s="64"/>
      <c r="J966" s="1367"/>
      <c r="K966" s="64">
        <f>IFERROR(SUMIF(INTAKE!$A:$A,$T966,INTAKE!$P:$P),0)</f>
        <v>0</v>
      </c>
      <c r="L966" s="1703">
        <f>+G966+H966+I966-J966-K966</f>
        <v>0</v>
      </c>
      <c r="M966" s="137"/>
      <c r="N966" s="920"/>
      <c r="O966" s="137"/>
      <c r="P966" s="744"/>
      <c r="Q966" s="795"/>
      <c r="R966" s="785">
        <f>IFERROR(VLOOKUP($Q966,'391'!$S:$Z,8,0),"")</f>
        <v>0</v>
      </c>
      <c r="S966" s="796"/>
      <c r="T966" s="797" t="str">
        <f>$Q$971&amp;C966&amp;E966</f>
        <v>Phytocee Powder (India)45798</v>
      </c>
      <c r="U966" s="797"/>
      <c r="V966" s="797"/>
      <c r="W966" s="785">
        <f>IFERROR(VLOOKUP($Q966,'391'!$S:$AG,15,0),0)</f>
        <v>0</v>
      </c>
      <c r="X966" s="1090">
        <f t="shared" si="580"/>
        <v>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405" customFormat="1" ht="30" hidden="1" customHeight="1" x14ac:dyDescent="0.25">
      <c r="A967" s="2081"/>
      <c r="B967" s="2203"/>
      <c r="C967" s="1141"/>
      <c r="D967" s="959" t="s">
        <v>10</v>
      </c>
      <c r="E967" s="961">
        <v>45973</v>
      </c>
      <c r="F967" s="74">
        <f>$L$7-E967</f>
        <v>288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0</v>
      </c>
      <c r="M967" s="172"/>
      <c r="N967" s="848"/>
      <c r="O967" s="172"/>
      <c r="P967" s="738"/>
      <c r="Q967" s="795"/>
      <c r="R967" s="785">
        <f>IFERROR(VLOOKUP($Q967,'391'!$S:$Z,8,0),"")</f>
        <v>0</v>
      </c>
      <c r="S967" s="796"/>
      <c r="T967" s="797" t="str">
        <f>$Q$971&amp;C967&amp;E967</f>
        <v>Phytocee Powder (India)45973</v>
      </c>
      <c r="U967" s="797"/>
      <c r="V967" s="797"/>
      <c r="W967" s="785">
        <f>IFERROR(VLOOKUP($Q967,'391'!$S:$AG,15,0),0)</f>
        <v>0</v>
      </c>
      <c r="X967" s="1090">
        <f t="shared" si="580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05" customFormat="1" ht="30" customHeight="1" x14ac:dyDescent="0.25">
      <c r="A968" s="2081"/>
      <c r="B968" s="2203"/>
      <c r="C968" s="1141" t="s">
        <v>251</v>
      </c>
      <c r="D968" s="959" t="s">
        <v>10</v>
      </c>
      <c r="E968" s="961">
        <v>46170</v>
      </c>
      <c r="F968" s="74">
        <f>$L$7-E968</f>
        <v>91</v>
      </c>
      <c r="G968" s="63">
        <v>150</v>
      </c>
      <c r="H968" s="64"/>
      <c r="I968" s="64"/>
      <c r="J968" s="1367"/>
      <c r="K968" s="64">
        <f>IFERROR(SUMIF(INTAKE!$A:$A,$T968,INTAKE!$P:$P),0)</f>
        <v>0</v>
      </c>
      <c r="L968" s="1703">
        <f>+G968+H968+I968-J968-K968</f>
        <v>150</v>
      </c>
      <c r="M968" s="172"/>
      <c r="N968" s="848"/>
      <c r="O968" s="172"/>
      <c r="P968" s="738"/>
      <c r="Q968" s="795"/>
      <c r="R968" s="785">
        <f>IFERROR(VLOOKUP($Q968,'391'!$S:$Z,8,0),"")</f>
        <v>0</v>
      </c>
      <c r="S968" s="796"/>
      <c r="T968" s="797" t="str">
        <f>$Q$971&amp;C968&amp;E968</f>
        <v>Phytocee Powder (India)Z7.146170</v>
      </c>
      <c r="U968" s="797"/>
      <c r="V968" s="797"/>
      <c r="W968" s="785">
        <f>IFERROR(VLOOKUP($Q968,'391'!$S:$AG,15,0),0)</f>
        <v>0</v>
      </c>
      <c r="X968" s="1090">
        <f t="shared" si="580"/>
        <v>150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13" customFormat="1" ht="30" hidden="1" customHeight="1" x14ac:dyDescent="0.25">
      <c r="A969" s="2081"/>
      <c r="B969" s="2203"/>
      <c r="C969" s="1141"/>
      <c r="D969" s="959" t="s">
        <v>10</v>
      </c>
      <c r="E969" s="961">
        <v>46170</v>
      </c>
      <c r="F969" s="74">
        <f>$L$7-E969</f>
        <v>91</v>
      </c>
      <c r="G969" s="63">
        <v>0</v>
      </c>
      <c r="H969" s="64"/>
      <c r="I969" s="64"/>
      <c r="J969" s="1367"/>
      <c r="K969" s="64">
        <f>IFERROR(SUMIF(INTAKE!$A:$A,$T969,INTAKE!$P:$P),0)</f>
        <v>0</v>
      </c>
      <c r="L969" s="1703">
        <f>+G969+H969+I969-J969-K969</f>
        <v>0</v>
      </c>
      <c r="M969" s="48"/>
      <c r="N969" s="163"/>
      <c r="O969" s="48"/>
      <c r="P969" s="738"/>
      <c r="Q969" s="795"/>
      <c r="R969" s="785">
        <f>IFERROR(VLOOKUP($Q969,'391'!$S:$Z,8,0),"")</f>
        <v>0</v>
      </c>
      <c r="S969" s="796"/>
      <c r="T969" s="797" t="str">
        <f>$Q$971&amp;C969&amp;E969</f>
        <v>Phytocee Powder (India)46170</v>
      </c>
      <c r="U969" s="797"/>
      <c r="V969" s="797"/>
      <c r="W969" s="785">
        <f>IFERROR(VLOOKUP($Q969,'391'!$S:$AG,15,0),0)</f>
        <v>0</v>
      </c>
      <c r="X969" s="1090">
        <f t="shared" si="580"/>
        <v>0</v>
      </c>
      <c r="Y969" s="785"/>
      <c r="Z969" s="785"/>
      <c r="AA969" s="797"/>
      <c r="AB969" s="797"/>
      <c r="AC969" s="683"/>
      <c r="AD969" s="683"/>
      <c r="AE969" s="683"/>
      <c r="AF969" s="683"/>
      <c r="AG969" s="683"/>
      <c r="AH969" s="683"/>
      <c r="AI969" s="705"/>
      <c r="AJ969" s="705"/>
      <c r="AK969" s="705"/>
      <c r="AL969" s="705"/>
      <c r="AM969" s="705"/>
      <c r="AN969" s="705"/>
      <c r="AO969" s="705"/>
      <c r="AP969" s="705"/>
      <c r="AQ969" s="705"/>
      <c r="AR969" s="705"/>
      <c r="AS969" s="705"/>
    </row>
    <row r="970" spans="1:45" s="415" customFormat="1" ht="30" customHeight="1" x14ac:dyDescent="0.25">
      <c r="A970" s="2081"/>
      <c r="B970" s="2203"/>
      <c r="C970" s="131" t="s">
        <v>46</v>
      </c>
      <c r="D970" s="875" t="s">
        <v>10</v>
      </c>
      <c r="E970" s="876">
        <v>46170</v>
      </c>
      <c r="F970" s="74">
        <f>$L$7-E970</f>
        <v>91</v>
      </c>
      <c r="G970" s="974">
        <v>56.729999999999976</v>
      </c>
      <c r="H970" s="958"/>
      <c r="I970" s="958">
        <f>+SUM(K966:K969)</f>
        <v>0</v>
      </c>
      <c r="J970" s="1397">
        <f>usage!I154</f>
        <v>0</v>
      </c>
      <c r="K970" s="64">
        <f>IFERROR(SUMIF(INTAKE!$A:$A,$T970,INTAKE!$P:$P),0)</f>
        <v>0</v>
      </c>
      <c r="L970" s="1534">
        <f>+G970+H970+I970-J970-K970</f>
        <v>56.729999999999976</v>
      </c>
      <c r="M970" s="136"/>
      <c r="N970" s="848"/>
      <c r="O970" s="136"/>
      <c r="P970" s="740"/>
      <c r="Q970" s="795"/>
      <c r="R970" s="785">
        <f>IFERROR(VLOOKUP($Q970,'391'!$S:$Z,8,0),"")</f>
        <v>0</v>
      </c>
      <c r="S970" s="796"/>
      <c r="T970" s="797" t="str">
        <f>$Q$971&amp;C970&amp;E970</f>
        <v>Phytocee Powder (India)Feedmill46170</v>
      </c>
      <c r="U970" s="797"/>
      <c r="V970" s="797"/>
      <c r="W970" s="785">
        <f>IFERROR(VLOOKUP($Q970,'391'!$S:$AG,15,0),0)</f>
        <v>0</v>
      </c>
      <c r="X970" s="1090">
        <f t="shared" si="580"/>
        <v>56.729999999999976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265" customFormat="1" ht="30" customHeight="1" x14ac:dyDescent="0.25">
      <c r="A971" s="2022" t="s">
        <v>544</v>
      </c>
      <c r="B971" s="2023"/>
      <c r="C971" s="88"/>
      <c r="D971" s="864"/>
      <c r="E971" s="864"/>
      <c r="F971" s="865"/>
      <c r="G971" s="1297">
        <v>206.72999999999996</v>
      </c>
      <c r="H971" s="1344">
        <f t="shared" ref="H971:I971" si="601">SUM(H966:H970)</f>
        <v>0</v>
      </c>
      <c r="I971" s="1297">
        <f t="shared" si="601"/>
        <v>0</v>
      </c>
      <c r="J971" s="1297">
        <f t="shared" ref="J971:L971" si="602">SUM(J966:J970)</f>
        <v>0</v>
      </c>
      <c r="K971" s="1297">
        <f t="shared" si="602"/>
        <v>0</v>
      </c>
      <c r="L971" s="1297">
        <f t="shared" si="602"/>
        <v>206.72999999999996</v>
      </c>
      <c r="M971" s="982">
        <f>IFERROR((R971/$S$2),"")</f>
        <v>15.738333333333335</v>
      </c>
      <c r="N971" s="366">
        <f>IFERROR((L971/M971),0)</f>
        <v>13.135444244413847</v>
      </c>
      <c r="O971" s="982">
        <f>IFERROR(SUMIF(ETM!$A:$A,$Q971,ETM!$E:$E),"")</f>
        <v>14.833333333333332</v>
      </c>
      <c r="P971" s="880">
        <f>IFERROR(L971/O971,0)</f>
        <v>13.936853932584269</v>
      </c>
      <c r="Q971" s="814" t="s">
        <v>545</v>
      </c>
      <c r="R971" s="785">
        <f>IFERROR(VLOOKUP($Q971,'391'!$S:$Z,8,0),"")</f>
        <v>94.43</v>
      </c>
      <c r="S971" s="796"/>
      <c r="T971" s="797"/>
      <c r="U971" s="797"/>
      <c r="V971" s="797"/>
      <c r="W971" s="785">
        <f>IFERROR(VLOOKUP($Q971,'391'!$S:$AG,15,0),0)</f>
        <v>233.70000000000002</v>
      </c>
      <c r="X971" s="1090">
        <f t="shared" si="580"/>
        <v>-26.970000000000056</v>
      </c>
      <c r="Y971" s="785"/>
      <c r="Z971" s="785"/>
      <c r="AA971" s="797"/>
      <c r="AB971" s="797"/>
      <c r="AC971" s="551"/>
      <c r="AD971" s="551"/>
      <c r="AE971" s="551"/>
      <c r="AF971" s="551"/>
      <c r="AG971" s="551"/>
      <c r="AH971" s="551"/>
      <c r="AI971" s="704"/>
      <c r="AJ971" s="704"/>
      <c r="AK971" s="704"/>
      <c r="AL971" s="704"/>
      <c r="AM971" s="704"/>
      <c r="AN971" s="704"/>
      <c r="AO971" s="704"/>
      <c r="AP971" s="704"/>
      <c r="AQ971" s="704"/>
      <c r="AR971" s="704"/>
      <c r="AS971" s="704"/>
    </row>
    <row r="972" spans="1:45" s="405" customFormat="1" ht="30" hidden="1" customHeight="1" x14ac:dyDescent="0.25">
      <c r="A972" s="2066" t="str">
        <f>IF(L977=0,"",MAX($A$16:A971)+1)</f>
        <v/>
      </c>
      <c r="B972" s="2011" t="s">
        <v>1745</v>
      </c>
      <c r="C972" s="1141" t="s">
        <v>273</v>
      </c>
      <c r="D972" s="959" t="s">
        <v>10</v>
      </c>
      <c r="E972" s="961">
        <v>46017</v>
      </c>
      <c r="F972" s="74">
        <f>$L$7-E972</f>
        <v>244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703">
        <f>+G972+H972+I972-J972-K972</f>
        <v>0</v>
      </c>
      <c r="M972" s="137"/>
      <c r="N972" s="920"/>
      <c r="O972" s="137"/>
      <c r="P972" s="744"/>
      <c r="Q972" s="795"/>
      <c r="R972" s="785">
        <f>IFERROR(VLOOKUP($Q972,'391'!$S:$Z,8,0),"")</f>
        <v>0</v>
      </c>
      <c r="S972" s="796"/>
      <c r="T972" s="797" t="str">
        <f>$Q$977&amp;C972&amp;E972</f>
        <v>Enerzyme (Singapore)A19.546017</v>
      </c>
      <c r="U972" s="797"/>
      <c r="V972" s="797"/>
      <c r="W972" s="785">
        <f>IFERROR(VLOOKUP($Q972,'391'!$S:$AG,15,0),0)</f>
        <v>0</v>
      </c>
      <c r="X972" s="1090">
        <f t="shared" ref="X972:X977" si="603">G972-W972</f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405" customFormat="1" ht="30" hidden="1" customHeight="1" x14ac:dyDescent="0.25">
      <c r="A973" s="2081"/>
      <c r="B973" s="2203"/>
      <c r="C973" s="1141"/>
      <c r="D973" s="959" t="s">
        <v>10</v>
      </c>
      <c r="E973" s="961"/>
      <c r="F973" s="74">
        <f>$L$7-E973</f>
        <v>46261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703">
        <f>+G973+H973+I973-J973-K973</f>
        <v>0</v>
      </c>
      <c r="M973" s="172"/>
      <c r="N973" s="848"/>
      <c r="O973" s="172"/>
      <c r="P973" s="738"/>
      <c r="Q973" s="795"/>
      <c r="R973" s="785">
        <f>IFERROR(VLOOKUP($Q973,'391'!$S:$Z,8,0),"")</f>
        <v>0</v>
      </c>
      <c r="S973" s="796"/>
      <c r="T973" s="797" t="str">
        <f t="shared" ref="T973:T976" si="604">$Q$977&amp;C973&amp;E973</f>
        <v>Enerzyme (Singapore)</v>
      </c>
      <c r="U973" s="797"/>
      <c r="V973" s="797"/>
      <c r="W973" s="785">
        <f>IFERROR(VLOOKUP($Q973,'391'!$S:$AG,15,0),0)</f>
        <v>0</v>
      </c>
      <c r="X973" s="1090">
        <f t="shared" si="603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05" customFormat="1" ht="30" hidden="1" customHeight="1" x14ac:dyDescent="0.25">
      <c r="A974" s="2081"/>
      <c r="B974" s="2203"/>
      <c r="C974" s="1141"/>
      <c r="D974" s="959" t="s">
        <v>10</v>
      </c>
      <c r="E974" s="961"/>
      <c r="F974" s="74">
        <f>$L$7-E974</f>
        <v>46261</v>
      </c>
      <c r="G974" s="63">
        <v>0</v>
      </c>
      <c r="H974" s="64"/>
      <c r="I974" s="64"/>
      <c r="J974" s="1367"/>
      <c r="K974" s="64">
        <f>IFERROR(SUMIF(INTAKE!$A:$A,$T974,INTAKE!$P:$P),0)</f>
        <v>0</v>
      </c>
      <c r="L974" s="1534">
        <f>+G974+H974+I974-J974-K974</f>
        <v>0</v>
      </c>
      <c r="M974" s="172"/>
      <c r="N974" s="848"/>
      <c r="O974" s="172"/>
      <c r="P974" s="738"/>
      <c r="Q974" s="795"/>
      <c r="R974" s="785">
        <f>IFERROR(VLOOKUP($Q974,'391'!$S:$Z,8,0),"")</f>
        <v>0</v>
      </c>
      <c r="S974" s="796"/>
      <c r="T974" s="797" t="str">
        <f t="shared" si="604"/>
        <v>Enerzyme (Singapore)</v>
      </c>
      <c r="U974" s="797"/>
      <c r="V974" s="797"/>
      <c r="W974" s="785">
        <f>IFERROR(VLOOKUP($Q974,'391'!$S:$AG,15,0),0)</f>
        <v>0</v>
      </c>
      <c r="X974" s="1090">
        <f t="shared" si="603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13" customFormat="1" ht="30" hidden="1" customHeight="1" x14ac:dyDescent="0.25">
      <c r="A975" s="2081"/>
      <c r="B975" s="2203"/>
      <c r="C975" s="1141"/>
      <c r="D975" s="959" t="s">
        <v>10</v>
      </c>
      <c r="E975" s="961"/>
      <c r="F975" s="74">
        <f>$L$7-E975</f>
        <v>46261</v>
      </c>
      <c r="G975" s="63">
        <v>0</v>
      </c>
      <c r="H975" s="64"/>
      <c r="I975" s="64"/>
      <c r="J975" s="1367"/>
      <c r="K975" s="64">
        <f>IFERROR(SUMIF(INTAKE!$A:$A,$T975,INTAKE!$P:$P),0)</f>
        <v>0</v>
      </c>
      <c r="L975" s="1534">
        <f>+G975+H975+I975-J975-K975</f>
        <v>0</v>
      </c>
      <c r="M975" s="48"/>
      <c r="N975" s="163"/>
      <c r="O975" s="48"/>
      <c r="P975" s="738"/>
      <c r="Q975" s="795"/>
      <c r="R975" s="785">
        <f>IFERROR(VLOOKUP($Q975,'391'!$S:$Z,8,0),"")</f>
        <v>0</v>
      </c>
      <c r="S975" s="796"/>
      <c r="T975" s="797" t="str">
        <f t="shared" si="604"/>
        <v>Enerzyme (Singapore)</v>
      </c>
      <c r="U975" s="797"/>
      <c r="V975" s="797"/>
      <c r="W975" s="785">
        <f>IFERROR(VLOOKUP($Q975,'391'!$S:$AG,15,0),0)</f>
        <v>0</v>
      </c>
      <c r="X975" s="1090">
        <f t="shared" si="603"/>
        <v>0</v>
      </c>
      <c r="Y975" s="785"/>
      <c r="Z975" s="785"/>
      <c r="AA975" s="797"/>
      <c r="AB975" s="797"/>
      <c r="AC975" s="683"/>
      <c r="AD975" s="683"/>
      <c r="AE975" s="683"/>
      <c r="AF975" s="683"/>
      <c r="AG975" s="683"/>
      <c r="AH975" s="683"/>
      <c r="AI975" s="705"/>
      <c r="AJ975" s="705"/>
      <c r="AK975" s="705"/>
      <c r="AL975" s="705"/>
      <c r="AM975" s="705"/>
      <c r="AN975" s="705"/>
      <c r="AO975" s="705"/>
      <c r="AP975" s="705"/>
      <c r="AQ975" s="705"/>
      <c r="AR975" s="705"/>
      <c r="AS975" s="705"/>
    </row>
    <row r="976" spans="1:45" s="415" customFormat="1" ht="30" hidden="1" customHeight="1" x14ac:dyDescent="0.25">
      <c r="A976" s="2081"/>
      <c r="B976" s="2203"/>
      <c r="C976" s="131" t="s">
        <v>46</v>
      </c>
      <c r="D976" s="875" t="s">
        <v>10</v>
      </c>
      <c r="E976" s="876">
        <v>46017</v>
      </c>
      <c r="F976" s="74">
        <f>$L$7-E976</f>
        <v>244</v>
      </c>
      <c r="G976" s="974">
        <v>0</v>
      </c>
      <c r="H976" s="958"/>
      <c r="I976" s="958">
        <f>+SUM(K972:K973)</f>
        <v>0</v>
      </c>
      <c r="J976" s="1397">
        <f>usage!I207</f>
        <v>0</v>
      </c>
      <c r="K976" s="64">
        <f>IFERROR(SUMIF(INTAKE!$A:$A,$T976,INTAKE!$P:$P),0)</f>
        <v>0</v>
      </c>
      <c r="L976" s="1534">
        <f>+G976+H976+I976-J976-K976</f>
        <v>0</v>
      </c>
      <c r="M976" s="136"/>
      <c r="N976" s="848"/>
      <c r="O976" s="136"/>
      <c r="P976" s="740"/>
      <c r="Q976" s="795"/>
      <c r="R976" s="785">
        <f>IFERROR(VLOOKUP($Q976,'391'!$S:$Z,8,0),"")</f>
        <v>0</v>
      </c>
      <c r="S976" s="796"/>
      <c r="T976" s="797" t="str">
        <f t="shared" si="604"/>
        <v>Enerzyme (Singapore)Feedmill46017</v>
      </c>
      <c r="U976" s="797"/>
      <c r="V976" s="797"/>
      <c r="W976" s="785">
        <f>IFERROR(VLOOKUP($Q976,'391'!$S:$AG,15,0),0)</f>
        <v>0</v>
      </c>
      <c r="X976" s="1090">
        <f t="shared" si="603"/>
        <v>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265" customFormat="1" ht="30" hidden="1" customHeight="1" x14ac:dyDescent="0.25">
      <c r="A977" s="2022" t="s">
        <v>1722</v>
      </c>
      <c r="B977" s="2023"/>
      <c r="C977" s="88"/>
      <c r="D977" s="864"/>
      <c r="E977" s="864"/>
      <c r="F977" s="865"/>
      <c r="G977" s="1297">
        <v>0</v>
      </c>
      <c r="H977" s="1344">
        <f t="shared" ref="H977:I977" si="605">SUM(H972:H976)</f>
        <v>0</v>
      </c>
      <c r="I977" s="1297">
        <f t="shared" si="605"/>
        <v>0</v>
      </c>
      <c r="J977" s="1297">
        <f t="shared" ref="J977:L977" si="606">SUM(J972:J976)</f>
        <v>0</v>
      </c>
      <c r="K977" s="1297">
        <f t="shared" si="606"/>
        <v>0</v>
      </c>
      <c r="L977" s="1297">
        <f t="shared" si="606"/>
        <v>0</v>
      </c>
      <c r="M977" s="982" t="str">
        <f>IFERROR((R977/$S$2),"")</f>
        <v/>
      </c>
      <c r="N977" s="366">
        <f>IFERROR((L977/M977),0)</f>
        <v>0</v>
      </c>
      <c r="O977" s="982">
        <f>IFERROR(SUMIF(ETM!$A:$A,$Q977,ETM!$E:$E),"")</f>
        <v>0</v>
      </c>
      <c r="P977" s="880">
        <f>IFERROR(L977/O977,0)</f>
        <v>0</v>
      </c>
      <c r="Q977" s="666" t="s">
        <v>1720</v>
      </c>
      <c r="R977" s="785" t="str">
        <f>IFERROR(VLOOKUP($Q977,'391'!$S:$Z,8,0),"")</f>
        <v/>
      </c>
      <c r="S977" s="796"/>
      <c r="T977" s="797"/>
      <c r="U977" s="797"/>
      <c r="V977" s="797"/>
      <c r="W977" s="785">
        <f>IFERROR(VLOOKUP($Q977,'391'!$S:$AG,15,0),0)</f>
        <v>0</v>
      </c>
      <c r="X977" s="1090">
        <f t="shared" si="603"/>
        <v>0</v>
      </c>
      <c r="Y977" s="785"/>
      <c r="Z977" s="785"/>
      <c r="AA977" s="797"/>
      <c r="AB977" s="797"/>
      <c r="AC977" s="551"/>
      <c r="AD977" s="551"/>
      <c r="AE977" s="551"/>
      <c r="AF977" s="551"/>
      <c r="AG977" s="551"/>
      <c r="AH977" s="551"/>
      <c r="AI977" s="704"/>
      <c r="AJ977" s="704"/>
      <c r="AK977" s="704"/>
      <c r="AL977" s="704"/>
      <c r="AM977" s="704"/>
      <c r="AN977" s="704"/>
      <c r="AO977" s="704"/>
      <c r="AP977" s="704"/>
      <c r="AQ977" s="704"/>
      <c r="AR977" s="704"/>
      <c r="AS977" s="704"/>
    </row>
    <row r="978" spans="1:45" s="405" customFormat="1" ht="30" customHeight="1" x14ac:dyDescent="0.25">
      <c r="A978" s="2066">
        <f>IF(L983=0,"",MAX($A$16:A977)+1)</f>
        <v>63</v>
      </c>
      <c r="B978" s="2011" t="s">
        <v>1667</v>
      </c>
      <c r="C978" s="1141" t="s">
        <v>324</v>
      </c>
      <c r="D978" s="959" t="s">
        <v>10</v>
      </c>
      <c r="E978" s="961">
        <v>46233</v>
      </c>
      <c r="F978" s="74">
        <f>$L$7-E978</f>
        <v>28</v>
      </c>
      <c r="G978" s="63">
        <v>1100</v>
      </c>
      <c r="H978" s="64"/>
      <c r="I978" s="64"/>
      <c r="J978" s="1367"/>
      <c r="K978" s="64">
        <f>IFERROR(SUMIF(INTAKE!$A:$A,$T978,INTAKE!$P:$P),0)</f>
        <v>100</v>
      </c>
      <c r="L978" s="1703">
        <f>+G978+H978+I978-J978-K978</f>
        <v>1000</v>
      </c>
      <c r="M978" s="137"/>
      <c r="N978" s="920"/>
      <c r="O978" s="137"/>
      <c r="P978" s="744"/>
      <c r="Q978" s="795"/>
      <c r="R978" s="785">
        <f>IFERROR(VLOOKUP($Q978,'391'!$S:$Z,8,0),"")</f>
        <v>0</v>
      </c>
      <c r="S978" s="796"/>
      <c r="T978" s="797" t="str">
        <f>$Q$983&amp;C978&amp;E978</f>
        <v>ROVABIO ADVANCE T-FLEX 25(SG)A19.446233</v>
      </c>
      <c r="U978" s="797"/>
      <c r="V978" s="797"/>
      <c r="W978" s="785">
        <f>IFERROR(VLOOKUP($Q978,'391'!$S:$AG,15,0),0)</f>
        <v>0</v>
      </c>
      <c r="X978" s="1090">
        <f t="shared" ref="X978:X983" si="607">G978-W978</f>
        <v>1100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405" customFormat="1" ht="30" customHeight="1" x14ac:dyDescent="0.25">
      <c r="A979" s="2081"/>
      <c r="B979" s="2203"/>
      <c r="C979" s="1141" t="s">
        <v>324</v>
      </c>
      <c r="D979" s="959" t="s">
        <v>10</v>
      </c>
      <c r="E979" s="961">
        <v>46261</v>
      </c>
      <c r="F979" s="74">
        <f>$L$7-E979</f>
        <v>0</v>
      </c>
      <c r="G979" s="63">
        <v>0</v>
      </c>
      <c r="H979" s="64">
        <v>3000</v>
      </c>
      <c r="I979" s="64"/>
      <c r="J979" s="1367"/>
      <c r="K979" s="64">
        <f>IFERROR(SUMIF(INTAKE!$A:$A,$T979,INTAKE!$P:$P),0)</f>
        <v>0</v>
      </c>
      <c r="L979" s="1703">
        <f>+G979+H979+I979-J979-K979</f>
        <v>3000</v>
      </c>
      <c r="M979" s="172"/>
      <c r="N979" s="848"/>
      <c r="O979" s="172"/>
      <c r="P979" s="738"/>
      <c r="Q979" s="795"/>
      <c r="R979" s="785">
        <f>IFERROR(VLOOKUP($Q979,'391'!$S:$Z,8,0),"")</f>
        <v>0</v>
      </c>
      <c r="S979" s="796"/>
      <c r="T979" s="797" t="str">
        <f t="shared" ref="T979:T982" si="608">$Q$983&amp;C979&amp;E979</f>
        <v>ROVABIO ADVANCE T-FLEX 25(SG)A19.446261</v>
      </c>
      <c r="U979" s="797"/>
      <c r="V979" s="797"/>
      <c r="W979" s="785">
        <f>IFERROR(VLOOKUP($Q979,'391'!$S:$AG,15,0),0)</f>
        <v>0</v>
      </c>
      <c r="X979" s="1090">
        <f t="shared" si="607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05" customFormat="1" ht="30" hidden="1" customHeight="1" x14ac:dyDescent="0.25">
      <c r="A980" s="2081"/>
      <c r="B980" s="2203"/>
      <c r="C980" s="1141"/>
      <c r="D980" s="959" t="s">
        <v>10</v>
      </c>
      <c r="E980" s="961">
        <v>46190</v>
      </c>
      <c r="F980" s="74">
        <f>$L$7-E980</f>
        <v>71</v>
      </c>
      <c r="G980" s="63">
        <v>0</v>
      </c>
      <c r="H980" s="64"/>
      <c r="I980" s="64"/>
      <c r="J980" s="1367"/>
      <c r="K980" s="64">
        <f>IFERROR(SUMIF(INTAKE!$A:$A,$T980,INTAKE!$P:$P),0)</f>
        <v>0</v>
      </c>
      <c r="L980" s="1534">
        <f>+G980+H980+I980-J980-K980</f>
        <v>0</v>
      </c>
      <c r="M980" s="172"/>
      <c r="N980" s="848"/>
      <c r="O980" s="172"/>
      <c r="P980" s="738"/>
      <c r="Q980" s="795"/>
      <c r="R980" s="785">
        <f>IFERROR(VLOOKUP($Q980,'391'!$S:$Z,8,0),"")</f>
        <v>0</v>
      </c>
      <c r="S980" s="796"/>
      <c r="T980" s="797" t="str">
        <f t="shared" si="608"/>
        <v>ROVABIO ADVANCE T-FLEX 25(SG)46190</v>
      </c>
      <c r="U980" s="797"/>
      <c r="V980" s="797"/>
      <c r="W980" s="785">
        <f>IFERROR(VLOOKUP($Q980,'391'!$S:$AG,15,0),0)</f>
        <v>0</v>
      </c>
      <c r="X980" s="1090">
        <f t="shared" si="607"/>
        <v>0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13" customFormat="1" ht="30" hidden="1" customHeight="1" x14ac:dyDescent="0.25">
      <c r="A981" s="2081"/>
      <c r="B981" s="2203"/>
      <c r="C981" s="1141"/>
      <c r="D981" s="959" t="s">
        <v>10</v>
      </c>
      <c r="E981" s="961">
        <v>44443</v>
      </c>
      <c r="F981" s="74">
        <f>$L$7-E981</f>
        <v>1818</v>
      </c>
      <c r="G981" s="63">
        <v>0</v>
      </c>
      <c r="H981" s="64"/>
      <c r="I981" s="64"/>
      <c r="J981" s="1367"/>
      <c r="K981" s="64">
        <f>IFERROR(SUMIF(INTAKE!$A:$A,$T981,INTAKE!$P:$P),0)</f>
        <v>0</v>
      </c>
      <c r="L981" s="1534">
        <f>+G981+H981+I981-J981-K981</f>
        <v>0</v>
      </c>
      <c r="M981" s="48"/>
      <c r="N981" s="163"/>
      <c r="O981" s="48"/>
      <c r="P981" s="738"/>
      <c r="Q981" s="795"/>
      <c r="R981" s="785">
        <f>IFERROR(VLOOKUP($Q981,'391'!$S:$Z,8,0),"")</f>
        <v>0</v>
      </c>
      <c r="S981" s="796"/>
      <c r="T981" s="797" t="str">
        <f t="shared" si="608"/>
        <v>ROVABIO ADVANCE T-FLEX 25(SG)44443</v>
      </c>
      <c r="U981" s="797"/>
      <c r="V981" s="797"/>
      <c r="W981" s="785">
        <f>IFERROR(VLOOKUP($Q981,'391'!$S:$AG,15,0),0)</f>
        <v>0</v>
      </c>
      <c r="X981" s="1090">
        <f t="shared" si="607"/>
        <v>0</v>
      </c>
      <c r="Y981" s="785"/>
      <c r="Z981" s="785"/>
      <c r="AA981" s="797"/>
      <c r="AB981" s="797"/>
      <c r="AC981" s="683"/>
      <c r="AD981" s="683"/>
      <c r="AE981" s="683"/>
      <c r="AF981" s="683"/>
      <c r="AG981" s="683"/>
      <c r="AH981" s="683"/>
      <c r="AI981" s="705"/>
      <c r="AJ981" s="705"/>
      <c r="AK981" s="705"/>
      <c r="AL981" s="705"/>
      <c r="AM981" s="705"/>
      <c r="AN981" s="705"/>
      <c r="AO981" s="705"/>
      <c r="AP981" s="705"/>
      <c r="AQ981" s="705"/>
      <c r="AR981" s="705"/>
      <c r="AS981" s="705"/>
    </row>
    <row r="982" spans="1:45" s="415" customFormat="1" ht="30" customHeight="1" x14ac:dyDescent="0.25">
      <c r="A982" s="2081"/>
      <c r="B982" s="2203"/>
      <c r="C982" s="131" t="s">
        <v>46</v>
      </c>
      <c r="D982" s="875" t="s">
        <v>10</v>
      </c>
      <c r="E982" s="876">
        <v>46233</v>
      </c>
      <c r="F982" s="74">
        <f>$L$7-E982</f>
        <v>28</v>
      </c>
      <c r="G982" s="974">
        <v>256.85999999999984</v>
      </c>
      <c r="H982" s="958"/>
      <c r="I982" s="958">
        <f>+SUM(K978:K979)</f>
        <v>100</v>
      </c>
      <c r="J982" s="1397">
        <f>usage!I202</f>
        <v>125.93</v>
      </c>
      <c r="K982" s="64">
        <f>IFERROR(SUMIF(INTAKE!$A:$A,$T982,INTAKE!$P:$P),0)</f>
        <v>0</v>
      </c>
      <c r="L982" s="1534">
        <f>+G982+H982+I982-J982-K982</f>
        <v>230.92999999999984</v>
      </c>
      <c r="M982" s="136"/>
      <c r="N982" s="848"/>
      <c r="O982" s="136"/>
      <c r="P982" s="740"/>
      <c r="Q982" s="795"/>
      <c r="R982" s="785">
        <f>IFERROR(VLOOKUP($Q982,'391'!$S:$Z,8,0),"")</f>
        <v>0</v>
      </c>
      <c r="S982" s="796"/>
      <c r="T982" s="797" t="str">
        <f t="shared" si="608"/>
        <v>ROVABIO ADVANCE T-FLEX 25(SG)Feedmill46233</v>
      </c>
      <c r="U982" s="797"/>
      <c r="V982" s="797"/>
      <c r="W982" s="785">
        <f>IFERROR(VLOOKUP($Q982,'391'!$S:$AG,15,0),0)</f>
        <v>0</v>
      </c>
      <c r="X982" s="1090">
        <f t="shared" si="607"/>
        <v>256.85999999999984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265" customFormat="1" ht="30" customHeight="1" x14ac:dyDescent="0.25">
      <c r="A983" s="2022" t="s">
        <v>1672</v>
      </c>
      <c r="B983" s="2023"/>
      <c r="C983" s="88"/>
      <c r="D983" s="864"/>
      <c r="E983" s="864"/>
      <c r="F983" s="865"/>
      <c r="G983" s="1297">
        <v>1356.86</v>
      </c>
      <c r="H983" s="1344">
        <f t="shared" ref="H983:I983" si="609">SUM(H978:H982)</f>
        <v>3000</v>
      </c>
      <c r="I983" s="1297">
        <f t="shared" si="609"/>
        <v>100</v>
      </c>
      <c r="J983" s="1297">
        <f t="shared" ref="J983:L983" si="610">SUM(J978:J982)</f>
        <v>125.93</v>
      </c>
      <c r="K983" s="1297">
        <f t="shared" si="610"/>
        <v>100</v>
      </c>
      <c r="L983" s="1297">
        <f t="shared" si="610"/>
        <v>4230.93</v>
      </c>
      <c r="M983" s="982">
        <f>IFERROR((R983/$S$2),"")</f>
        <v>96.925000000000011</v>
      </c>
      <c r="N983" s="366">
        <f>IFERROR((L983/M983),0)</f>
        <v>43.65158627805004</v>
      </c>
      <c r="O983" s="982">
        <f>IFERROR(SUMIF(ETM!$A:$A,$Q983,ETM!$E:$E),"")</f>
        <v>114.83333333333333</v>
      </c>
      <c r="P983" s="880">
        <f>IFERROR(L983/O983,0)</f>
        <v>36.844092888243836</v>
      </c>
      <c r="Q983" s="666" t="s">
        <v>1669</v>
      </c>
      <c r="R983" s="785">
        <f>IFERROR(VLOOKUP($Q983,'391'!$S:$Z,8,0),"")</f>
        <v>581.55000000000007</v>
      </c>
      <c r="S983" s="796"/>
      <c r="T983" s="797"/>
      <c r="U983" s="797"/>
      <c r="V983" s="797"/>
      <c r="W983" s="785">
        <f>IFERROR(VLOOKUP($Q983,'391'!$S:$AG,15,0),0)</f>
        <v>1598.67</v>
      </c>
      <c r="X983" s="1090">
        <f t="shared" si="607"/>
        <v>-241.81000000000017</v>
      </c>
      <c r="Y983" s="785"/>
      <c r="Z983" s="785"/>
      <c r="AA983" s="797"/>
      <c r="AB983" s="797"/>
      <c r="AC983" s="551"/>
      <c r="AD983" s="551"/>
      <c r="AE983" s="551"/>
      <c r="AF983" s="551"/>
      <c r="AG983" s="551"/>
      <c r="AH983" s="551"/>
      <c r="AI983" s="704"/>
      <c r="AJ983" s="704"/>
      <c r="AK983" s="704"/>
      <c r="AL983" s="704"/>
      <c r="AM983" s="704"/>
      <c r="AN983" s="704"/>
      <c r="AO983" s="704"/>
      <c r="AP983" s="704"/>
      <c r="AQ983" s="704"/>
      <c r="AR983" s="704"/>
      <c r="AS983" s="704"/>
    </row>
    <row r="984" spans="1:45" s="405" customFormat="1" ht="30" hidden="1" customHeight="1" x14ac:dyDescent="0.25">
      <c r="A984" s="2066">
        <f>IF(L989=0,"",MAX($A$16:A983)+1)</f>
        <v>64</v>
      </c>
      <c r="B984" s="2011" t="s">
        <v>1656</v>
      </c>
      <c r="C984" s="1141"/>
      <c r="D984" s="959" t="s">
        <v>10</v>
      </c>
      <c r="E984" s="961">
        <v>45981</v>
      </c>
      <c r="F984" s="74">
        <f>$L$7-E984</f>
        <v>280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0</v>
      </c>
      <c r="M984" s="137"/>
      <c r="N984" s="920"/>
      <c r="O984" s="137"/>
      <c r="P984" s="744"/>
      <c r="Q984" s="795"/>
      <c r="R984" s="785">
        <f>IFERROR(VLOOKUP($Q984,'391'!$S:$Z,8,0),"")</f>
        <v>0</v>
      </c>
      <c r="S984" s="796"/>
      <c r="T984" s="797" t="str">
        <f t="shared" ref="T984:T988" si="611">$Q$989&amp;C984&amp;E984</f>
        <v>ROVABIO# PHY PLUS 10000T (SG)45981</v>
      </c>
      <c r="U984" s="797"/>
      <c r="V984" s="797"/>
      <c r="W984" s="785">
        <f>IFERROR(VLOOKUP($Q984,'391'!$S:$AG,15,0),0)</f>
        <v>0</v>
      </c>
      <c r="X984" s="1090">
        <f t="shared" ref="X984:X989" si="612">G984-W984</f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405" customFormat="1" ht="30" customHeight="1" x14ac:dyDescent="0.25">
      <c r="A985" s="2081"/>
      <c r="B985" s="2203"/>
      <c r="C985" s="1141" t="s">
        <v>1297</v>
      </c>
      <c r="D985" s="959" t="s">
        <v>10</v>
      </c>
      <c r="E985" s="961">
        <v>46233</v>
      </c>
      <c r="F985" s="74">
        <f>$L$7-E985</f>
        <v>28</v>
      </c>
      <c r="G985" s="63">
        <v>725</v>
      </c>
      <c r="H985" s="64"/>
      <c r="I985" s="64"/>
      <c r="J985" s="1367"/>
      <c r="K985" s="64">
        <f>IFERROR(SUMIF(INTAKE!$A:$A,$T985,INTAKE!$P:$P),0)</f>
        <v>50</v>
      </c>
      <c r="L985" s="1703">
        <f>+G985+H985+I985-J985-K985</f>
        <v>675</v>
      </c>
      <c r="M985" s="172"/>
      <c r="N985" s="848"/>
      <c r="O985" s="172"/>
      <c r="P985" s="738"/>
      <c r="Q985" s="795"/>
      <c r="R985" s="785">
        <f>IFERROR(VLOOKUP($Q985,'391'!$S:$Z,8,0),"")</f>
        <v>0</v>
      </c>
      <c r="S985" s="796"/>
      <c r="T985" s="797" t="str">
        <f t="shared" si="611"/>
        <v>ROVABIO# PHY PLUS 10000T (SG)Y5.146233</v>
      </c>
      <c r="U985" s="797"/>
      <c r="V985" s="797"/>
      <c r="W985" s="785">
        <f>IFERROR(VLOOKUP($Q985,'391'!$S:$AG,15,0),0)</f>
        <v>0</v>
      </c>
      <c r="X985" s="1090">
        <f t="shared" si="612"/>
        <v>725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05" customFormat="1" ht="30" customHeight="1" x14ac:dyDescent="0.25">
      <c r="A986" s="2081"/>
      <c r="B986" s="2203"/>
      <c r="C986" s="1141" t="s">
        <v>1297</v>
      </c>
      <c r="D986" s="959" t="s">
        <v>10</v>
      </c>
      <c r="E986" s="961">
        <v>46261</v>
      </c>
      <c r="F986" s="74">
        <f>$L$7-E986</f>
        <v>0</v>
      </c>
      <c r="G986" s="63">
        <v>0</v>
      </c>
      <c r="H986" s="64">
        <v>1300</v>
      </c>
      <c r="I986" s="64"/>
      <c r="J986" s="1367"/>
      <c r="K986" s="64">
        <f>IFERROR(SUMIF(INTAKE!$A:$A,$T986,INTAKE!$P:$P),0)</f>
        <v>0</v>
      </c>
      <c r="L986" s="1703">
        <f>+G986+H986+I986-J986-K986</f>
        <v>1300</v>
      </c>
      <c r="M986" s="172"/>
      <c r="N986" s="848"/>
      <c r="O986" s="172"/>
      <c r="P986" s="738"/>
      <c r="Q986" s="795"/>
      <c r="R986" s="785">
        <f>IFERROR(VLOOKUP($Q986,'391'!$S:$Z,8,0),"")</f>
        <v>0</v>
      </c>
      <c r="S986" s="796"/>
      <c r="T986" s="797" t="str">
        <f t="shared" si="611"/>
        <v>ROVABIO# PHY PLUS 10000T (SG)Y5.146261</v>
      </c>
      <c r="U986" s="797"/>
      <c r="V986" s="797"/>
      <c r="W986" s="785">
        <f>IFERROR(VLOOKUP($Q986,'391'!$S:$AG,15,0),0)</f>
        <v>0</v>
      </c>
      <c r="X986" s="1090">
        <f t="shared" si="612"/>
        <v>0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13" customFormat="1" ht="30" hidden="1" customHeight="1" x14ac:dyDescent="0.25">
      <c r="A987" s="2081"/>
      <c r="B987" s="2203"/>
      <c r="C987" s="1141"/>
      <c r="D987" s="959" t="s">
        <v>10</v>
      </c>
      <c r="E987" s="961">
        <v>44443</v>
      </c>
      <c r="F987" s="74">
        <f>$L$7-E987</f>
        <v>1818</v>
      </c>
      <c r="G987" s="63">
        <v>0</v>
      </c>
      <c r="H987" s="64"/>
      <c r="I987" s="64"/>
      <c r="J987" s="1367"/>
      <c r="K987" s="64">
        <f>IFERROR(SUMIF(INTAKE!$A:$A,$T987,INTAKE!$P:$P),0)</f>
        <v>0</v>
      </c>
      <c r="L987" s="1534">
        <f>+G987+H987+I987-J987-K987</f>
        <v>0</v>
      </c>
      <c r="M987" s="48"/>
      <c r="N987" s="163"/>
      <c r="O987" s="48"/>
      <c r="P987" s="738"/>
      <c r="Q987" s="795"/>
      <c r="R987" s="785">
        <f>IFERROR(VLOOKUP($Q987,'391'!$S:$Z,8,0),"")</f>
        <v>0</v>
      </c>
      <c r="S987" s="796"/>
      <c r="T987" s="797" t="str">
        <f t="shared" si="611"/>
        <v>ROVABIO# PHY PLUS 10000T (SG)44443</v>
      </c>
      <c r="U987" s="797"/>
      <c r="V987" s="797"/>
      <c r="W987" s="785">
        <f>IFERROR(VLOOKUP($Q987,'391'!$S:$AG,15,0),0)</f>
        <v>0</v>
      </c>
      <c r="X987" s="1090">
        <f t="shared" si="612"/>
        <v>0</v>
      </c>
      <c r="Y987" s="785"/>
      <c r="Z987" s="785"/>
      <c r="AA987" s="797"/>
      <c r="AB987" s="797"/>
      <c r="AC987" s="683"/>
      <c r="AD987" s="683"/>
      <c r="AE987" s="683"/>
      <c r="AF987" s="683"/>
      <c r="AG987" s="683"/>
      <c r="AH987" s="683"/>
      <c r="AI987" s="705"/>
      <c r="AJ987" s="705"/>
      <c r="AK987" s="705"/>
      <c r="AL987" s="705"/>
      <c r="AM987" s="705"/>
      <c r="AN987" s="705"/>
      <c r="AO987" s="705"/>
      <c r="AP987" s="705"/>
      <c r="AQ987" s="705"/>
      <c r="AR987" s="705"/>
      <c r="AS987" s="705"/>
    </row>
    <row r="988" spans="1:45" s="415" customFormat="1" ht="30" customHeight="1" x14ac:dyDescent="0.25">
      <c r="A988" s="2081"/>
      <c r="B988" s="2203"/>
      <c r="C988" s="131" t="s">
        <v>46</v>
      </c>
      <c r="D988" s="875" t="s">
        <v>10</v>
      </c>
      <c r="E988" s="876">
        <v>46233</v>
      </c>
      <c r="F988" s="74">
        <f>$L$7-E988</f>
        <v>28</v>
      </c>
      <c r="G988" s="974">
        <v>55.89</v>
      </c>
      <c r="H988" s="958"/>
      <c r="I988" s="958">
        <f>+SUM(K984:K986)</f>
        <v>50</v>
      </c>
      <c r="J988" s="1397">
        <f>usage!I201</f>
        <v>63.37</v>
      </c>
      <c r="K988" s="64">
        <f>IFERROR(SUMIF(INTAKE!$A:$A,$T988,INTAKE!$P:$P),0)</f>
        <v>0</v>
      </c>
      <c r="L988" s="1534">
        <f>+G988+H988+I988-J988-K988</f>
        <v>42.52</v>
      </c>
      <c r="M988" s="136"/>
      <c r="N988" s="848"/>
      <c r="O988" s="136"/>
      <c r="P988" s="740"/>
      <c r="Q988" s="795"/>
      <c r="R988" s="785">
        <f>IFERROR(VLOOKUP($Q988,'391'!$S:$Z,8,0),"")</f>
        <v>0</v>
      </c>
      <c r="S988" s="796"/>
      <c r="T988" s="797" t="str">
        <f t="shared" si="611"/>
        <v>ROVABIO# PHY PLUS 10000T (SG)Feedmill46233</v>
      </c>
      <c r="U988" s="797"/>
      <c r="V988" s="797"/>
      <c r="W988" s="785">
        <f>IFERROR(VLOOKUP($Q988,'391'!$S:$AG,15,0),0)</f>
        <v>0</v>
      </c>
      <c r="X988" s="1090">
        <f t="shared" si="612"/>
        <v>55.89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265" customFormat="1" ht="30" customHeight="1" x14ac:dyDescent="0.25">
      <c r="A989" s="2022" t="s">
        <v>1657</v>
      </c>
      <c r="B989" s="2023"/>
      <c r="C989" s="88"/>
      <c r="D989" s="864"/>
      <c r="E989" s="864"/>
      <c r="F989" s="865"/>
      <c r="G989" s="1297">
        <v>780.89</v>
      </c>
      <c r="H989" s="1344">
        <f t="shared" ref="H989:I989" si="613">SUM(H984:H988)</f>
        <v>1300</v>
      </c>
      <c r="I989" s="1297">
        <f t="shared" si="613"/>
        <v>50</v>
      </c>
      <c r="J989" s="1297">
        <f t="shared" ref="J989:L989" si="614">SUM(J984:J988)</f>
        <v>63.37</v>
      </c>
      <c r="K989" s="1297">
        <f t="shared" si="614"/>
        <v>50</v>
      </c>
      <c r="L989" s="1297">
        <f t="shared" si="614"/>
        <v>2017.52</v>
      </c>
      <c r="M989" s="982">
        <f>IFERROR((R989/$S$2),"")</f>
        <v>48.526666666666671</v>
      </c>
      <c r="N989" s="366">
        <f>IFERROR((L989/M989),0)</f>
        <v>41.575491138892701</v>
      </c>
      <c r="O989" s="982">
        <f>IFERROR(SUMIF(ETM!$A:$A,$Q989,ETM!$E:$E),"")</f>
        <v>57.333333333333329</v>
      </c>
      <c r="P989" s="880">
        <f>IFERROR(L989/O989,0)</f>
        <v>35.189302325581401</v>
      </c>
      <c r="Q989" s="666" t="s">
        <v>1656</v>
      </c>
      <c r="R989" s="785">
        <f>IFERROR(VLOOKUP($Q989,'391'!$S:$Z,8,0),"")</f>
        <v>291.16000000000003</v>
      </c>
      <c r="S989" s="796"/>
      <c r="T989" s="797"/>
      <c r="U989" s="797"/>
      <c r="V989" s="797"/>
      <c r="W989" s="785">
        <f>IFERROR(VLOOKUP($Q989,'391'!$S:$AG,15,0),0)</f>
        <v>767.43000000000006</v>
      </c>
      <c r="X989" s="1090">
        <f t="shared" si="612"/>
        <v>13.459999999999923</v>
      </c>
      <c r="Y989" s="785"/>
      <c r="Z989" s="785"/>
      <c r="AA989" s="797"/>
      <c r="AB989" s="797"/>
      <c r="AC989" s="551"/>
      <c r="AD989" s="551"/>
      <c r="AE989" s="551"/>
      <c r="AF989" s="551"/>
      <c r="AG989" s="551"/>
      <c r="AH989" s="551"/>
      <c r="AI989" s="704"/>
      <c r="AJ989" s="704"/>
      <c r="AK989" s="704"/>
      <c r="AL989" s="704"/>
      <c r="AM989" s="704"/>
      <c r="AN989" s="704"/>
      <c r="AO989" s="704"/>
      <c r="AP989" s="704"/>
      <c r="AQ989" s="704"/>
      <c r="AR989" s="704"/>
      <c r="AS989" s="704"/>
    </row>
    <row r="990" spans="1:45" s="405" customFormat="1" ht="30" hidden="1" customHeight="1" x14ac:dyDescent="0.25">
      <c r="A990" s="2066">
        <f>IF(L995=0,"",MAX($A$16:A989)+1)</f>
        <v>65</v>
      </c>
      <c r="B990" s="2093" t="s">
        <v>1336</v>
      </c>
      <c r="C990" s="114"/>
      <c r="D990" s="959" t="s">
        <v>10</v>
      </c>
      <c r="E990" s="961">
        <v>45035</v>
      </c>
      <c r="F990" s="74">
        <f>$L$7-E990</f>
        <v>1226</v>
      </c>
      <c r="G990" s="63">
        <v>0</v>
      </c>
      <c r="H990" s="64"/>
      <c r="I990" s="1348"/>
      <c r="J990" s="1404"/>
      <c r="K990" s="1348">
        <f>IFERROR(SUMIF(INTAKE!$A:$A,$T990,INTAKE!$P:$P),0)</f>
        <v>0</v>
      </c>
      <c r="L990" s="1534">
        <f>+G990+H990+I990-J990-K990</f>
        <v>0</v>
      </c>
      <c r="M990" s="137"/>
      <c r="N990" s="920"/>
      <c r="O990" s="137"/>
      <c r="P990" s="744"/>
      <c r="Q990" s="795"/>
      <c r="R990" s="785">
        <f>IFERROR(VLOOKUP($Q990,'391'!$S:$Z,8,0),"")</f>
        <v>0</v>
      </c>
      <c r="S990" s="796"/>
      <c r="T990" s="797" t="str">
        <f>$Q$995&amp;C990&amp;E990</f>
        <v>Rovabio max Advance L (Belgium)45035</v>
      </c>
      <c r="U990" s="797"/>
      <c r="V990" s="797"/>
      <c r="W990" s="785">
        <f>IFERROR(VLOOKUP($Q990,'391'!$S:$AG,15,0),0)</f>
        <v>0</v>
      </c>
      <c r="X990" s="1090">
        <f t="shared" si="580"/>
        <v>0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405" customFormat="1" ht="30" customHeight="1" x14ac:dyDescent="0.25">
      <c r="A991" s="2081"/>
      <c r="B991" s="2200"/>
      <c r="C991" s="114" t="s">
        <v>1623</v>
      </c>
      <c r="D991" s="959" t="s">
        <v>10</v>
      </c>
      <c r="E991" s="961">
        <v>46190</v>
      </c>
      <c r="F991" s="74">
        <f>$L$7-E991</f>
        <v>71</v>
      </c>
      <c r="G991" s="63">
        <v>912</v>
      </c>
      <c r="H991" s="64"/>
      <c r="I991" s="64"/>
      <c r="J991" s="1367"/>
      <c r="K991" s="64">
        <f>IFERROR(SUMIF(INTAKE!$A:$A,$T991,INTAKE!$P:$P),0)</f>
        <v>0</v>
      </c>
      <c r="L991" s="1703">
        <f>+G991+H991+I991-J991-K991</f>
        <v>912</v>
      </c>
      <c r="M991" s="172"/>
      <c r="N991" s="848"/>
      <c r="O991" s="172"/>
      <c r="P991" s="738"/>
      <c r="Q991" s="795"/>
      <c r="R991" s="785">
        <f>IFERROR(VLOOKUP($Q991,'391'!$S:$Z,8,0),"")</f>
        <v>0</v>
      </c>
      <c r="S991" s="796"/>
      <c r="T991" s="797" t="str">
        <f>$Q$994&amp;"H"&amp;E991</f>
        <v>Rovabio Advance Phy L (Belgium)H46190</v>
      </c>
      <c r="U991" s="797"/>
      <c r="V991" s="797"/>
      <c r="W991" s="785">
        <f>IFERROR(VLOOKUP($Q991,'391'!$S:$AG,15,0),0)</f>
        <v>0</v>
      </c>
      <c r="X991" s="1090">
        <f t="shared" si="580"/>
        <v>912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05" customFormat="1" ht="30" customHeight="1" x14ac:dyDescent="0.25">
      <c r="A992" s="2081"/>
      <c r="B992" s="2200"/>
      <c r="C992" s="114" t="s">
        <v>1623</v>
      </c>
      <c r="D992" s="959" t="s">
        <v>10</v>
      </c>
      <c r="E992" s="961">
        <v>46213</v>
      </c>
      <c r="F992" s="74">
        <f>$L$7-E992</f>
        <v>48</v>
      </c>
      <c r="G992" s="63">
        <v>7296</v>
      </c>
      <c r="H992" s="64"/>
      <c r="I992" s="64"/>
      <c r="J992" s="1367"/>
      <c r="K992" s="64">
        <f>IFERROR(SUMIF(INTAKE!$A:$A,$T992,INTAKE!$P:$P),0)</f>
        <v>0</v>
      </c>
      <c r="L992" s="1703">
        <f>+G992+H992+I992-J992-K992</f>
        <v>7296</v>
      </c>
      <c r="M992" s="172"/>
      <c r="N992" s="848"/>
      <c r="O992" s="172"/>
      <c r="P992" s="738"/>
      <c r="Q992" s="795"/>
      <c r="R992" s="785">
        <f>IFERROR(VLOOKUP($Q992,'391'!$S:$Z,8,0),"")</f>
        <v>0</v>
      </c>
      <c r="S992" s="796"/>
      <c r="T992" s="797" t="str">
        <f>$Q$994&amp;"H"&amp;E992</f>
        <v>Rovabio Advance Phy L (Belgium)H46213</v>
      </c>
      <c r="U992" s="797"/>
      <c r="V992" s="797"/>
      <c r="W992" s="785">
        <f>IFERROR(VLOOKUP($Q992,'391'!$S:$AG,15,0),0)</f>
        <v>0</v>
      </c>
      <c r="X992" s="1090">
        <f t="shared" si="580"/>
        <v>7296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13" customFormat="1" ht="30" customHeight="1" x14ac:dyDescent="0.25">
      <c r="A993" s="2081"/>
      <c r="B993" s="2200"/>
      <c r="C993" s="114" t="s">
        <v>1623</v>
      </c>
      <c r="D993" s="959" t="s">
        <v>10</v>
      </c>
      <c r="E993" s="961">
        <v>46247</v>
      </c>
      <c r="F993" s="74">
        <f>$L$7-E993</f>
        <v>14</v>
      </c>
      <c r="G993" s="63">
        <v>7296</v>
      </c>
      <c r="H993" s="64"/>
      <c r="I993" s="64"/>
      <c r="J993" s="1367"/>
      <c r="K993" s="64"/>
      <c r="L993" s="1703">
        <f>+G993+H993+I993-J993-K993</f>
        <v>7296</v>
      </c>
      <c r="M993" s="48"/>
      <c r="N993" s="163"/>
      <c r="O993" s="48"/>
      <c r="P993" s="738"/>
      <c r="Q993" s="795"/>
      <c r="R993" s="785">
        <f>IFERROR(VLOOKUP($Q993,'391'!$S:$Z,8,0),"")</f>
        <v>0</v>
      </c>
      <c r="S993" s="796"/>
      <c r="T993" s="797" t="str">
        <f>$Q$994&amp;"H"&amp;E993</f>
        <v>Rovabio Advance Phy L (Belgium)H46247</v>
      </c>
      <c r="U993" s="797"/>
      <c r="V993" s="797"/>
      <c r="W993" s="785">
        <f>IFERROR(VLOOKUP($Q993,'391'!$S:$AG,15,0),0)</f>
        <v>0</v>
      </c>
      <c r="X993" s="1090">
        <f t="shared" si="580"/>
        <v>7296</v>
      </c>
      <c r="Y993" s="785"/>
      <c r="Z993" s="785"/>
      <c r="AA993" s="797"/>
      <c r="AB993" s="797"/>
      <c r="AC993" s="683"/>
      <c r="AD993" s="683"/>
      <c r="AE993" s="683"/>
      <c r="AF993" s="683"/>
      <c r="AG993" s="683"/>
      <c r="AH993" s="683"/>
      <c r="AI993" s="705"/>
      <c r="AJ993" s="705"/>
      <c r="AK993" s="705"/>
      <c r="AL993" s="705"/>
      <c r="AM993" s="705"/>
      <c r="AN993" s="705"/>
      <c r="AO993" s="705"/>
      <c r="AP993" s="705"/>
      <c r="AQ993" s="705"/>
      <c r="AR993" s="705"/>
      <c r="AS993" s="705"/>
    </row>
    <row r="994" spans="1:45" s="415" customFormat="1" ht="30" customHeight="1" x14ac:dyDescent="0.25">
      <c r="A994" s="2081"/>
      <c r="B994" s="2200"/>
      <c r="C994" s="131" t="s">
        <v>870</v>
      </c>
      <c r="D994" s="875" t="s">
        <v>10</v>
      </c>
      <c r="E994" s="876">
        <v>46190</v>
      </c>
      <c r="F994" s="74">
        <f>$L$7-E994</f>
        <v>71</v>
      </c>
      <c r="G994" s="974">
        <v>1696.08</v>
      </c>
      <c r="H994" s="958"/>
      <c r="I994" s="1405">
        <f>+SUM(K990:K993)</f>
        <v>0</v>
      </c>
      <c r="J994" s="1397">
        <f>+usage!I85</f>
        <v>256</v>
      </c>
      <c r="K994" s="64">
        <f>IFERROR(SUMIF(INTAKE!$A:$A,$T994,INTAKE!$P:$P),0)</f>
        <v>0</v>
      </c>
      <c r="L994" s="1534">
        <f>+G994+H994+I994-J994-K994</f>
        <v>1440.08</v>
      </c>
      <c r="M994" s="136"/>
      <c r="N994" s="848"/>
      <c r="O994" s="136"/>
      <c r="P994" s="740"/>
      <c r="Q994" s="666" t="s">
        <v>1324</v>
      </c>
      <c r="R994" s="785">
        <f>IFERROR(VLOOKUP($Q994,'391'!$S:$Z,8,0),"0")</f>
        <v>1758</v>
      </c>
      <c r="S994" s="796"/>
      <c r="T994" s="797" t="str">
        <f>$Q$995&amp;C994&amp;E994</f>
        <v>Rovabio max Advance L (Belgium)LA1046190</v>
      </c>
      <c r="U994" s="797"/>
      <c r="V994" s="797"/>
      <c r="W994" s="785">
        <f>IFERROR(VLOOKUP($Q994,'391'!$S:$AG,15,0),0)</f>
        <v>18074.080000000002</v>
      </c>
      <c r="X994" s="1090">
        <f t="shared" si="580"/>
        <v>-16378.000000000002</v>
      </c>
      <c r="Y994" s="785"/>
      <c r="Z994" s="785"/>
      <c r="AA994" s="797"/>
      <c r="AB994" s="797"/>
      <c r="AC994" s="683"/>
      <c r="AD994" s="683"/>
      <c r="AE994" s="683"/>
      <c r="AF994" s="683"/>
      <c r="AG994" s="683"/>
      <c r="AH994" s="683"/>
      <c r="AI994" s="705"/>
      <c r="AJ994" s="705"/>
      <c r="AK994" s="705"/>
      <c r="AL994" s="705"/>
      <c r="AM994" s="705"/>
      <c r="AN994" s="705"/>
      <c r="AO994" s="705"/>
      <c r="AP994" s="705"/>
      <c r="AQ994" s="705"/>
      <c r="AR994" s="705"/>
      <c r="AS994" s="705"/>
    </row>
    <row r="995" spans="1:45" s="265" customFormat="1" ht="30" customHeight="1" x14ac:dyDescent="0.25">
      <c r="A995" s="2022" t="s">
        <v>530</v>
      </c>
      <c r="B995" s="2023"/>
      <c r="C995" s="88"/>
      <c r="D995" s="864"/>
      <c r="E995" s="864"/>
      <c r="F995" s="865"/>
      <c r="G995" s="1297">
        <v>17200.080000000002</v>
      </c>
      <c r="H995" s="1344">
        <f>SUM(H990:H994)</f>
        <v>0</v>
      </c>
      <c r="I995" s="1297">
        <f t="shared" ref="I995" si="615">SUM(I990:I994)</f>
        <v>0</v>
      </c>
      <c r="J995" s="1297">
        <f t="shared" ref="J995:L995" si="616">SUM(J990:J994)</f>
        <v>256</v>
      </c>
      <c r="K995" s="1297">
        <f t="shared" si="616"/>
        <v>0</v>
      </c>
      <c r="L995" s="1297">
        <f t="shared" si="616"/>
        <v>16944.080000000002</v>
      </c>
      <c r="M995" s="982">
        <f>IFERROR((S995/$S$2),"")</f>
        <v>293</v>
      </c>
      <c r="N995" s="366">
        <f>(L995/M995)</f>
        <v>57.829624573378844</v>
      </c>
      <c r="O995" s="982">
        <f>IFERROR(SUMIF(ETM!$A:$A,$Q995,ETM!$E:$E),"")</f>
        <v>334.33333333333331</v>
      </c>
      <c r="P995" s="880">
        <f>IFERROR(L995/O995,0)</f>
        <v>50.680199401794624</v>
      </c>
      <c r="Q995" s="814" t="s">
        <v>672</v>
      </c>
      <c r="R995" s="785" t="str">
        <f>IFERROR(VLOOKUP($Q995,'391'!$S:$Z,8,0),"0")</f>
        <v>0</v>
      </c>
      <c r="S995" s="800">
        <f>+R995+R994</f>
        <v>1758</v>
      </c>
      <c r="T995" s="797"/>
      <c r="U995" s="797"/>
      <c r="V995" s="797"/>
      <c r="W995" s="785">
        <f>IFERROR(VLOOKUP($Q995,'391'!$S:$AG,15,0),0)</f>
        <v>0</v>
      </c>
      <c r="X995" s="1231">
        <f>G995-W995-W994</f>
        <v>-874</v>
      </c>
      <c r="Y995" s="785"/>
      <c r="Z995" s="785"/>
      <c r="AA995" s="797"/>
      <c r="AB995" s="797"/>
      <c r="AC995" s="551"/>
      <c r="AD995" s="551"/>
      <c r="AE995" s="551"/>
      <c r="AF995" s="551"/>
      <c r="AG995" s="551"/>
      <c r="AH995" s="551"/>
      <c r="AI995" s="704"/>
      <c r="AJ995" s="704"/>
      <c r="AK995" s="704"/>
      <c r="AL995" s="704"/>
      <c r="AM995" s="704"/>
      <c r="AN995" s="704"/>
      <c r="AO995" s="704"/>
      <c r="AP995" s="704"/>
      <c r="AQ995" s="704"/>
      <c r="AR995" s="704"/>
      <c r="AS995" s="704"/>
    </row>
    <row r="996" spans="1:45" s="416" customFormat="1" ht="30" hidden="1" customHeight="1" x14ac:dyDescent="0.25">
      <c r="A996" s="2024">
        <f>IF(L1002=0,"",MAX($A$16:A995)+1)</f>
        <v>66</v>
      </c>
      <c r="B996" s="2018" t="s">
        <v>60</v>
      </c>
      <c r="C996" s="139"/>
      <c r="D996" s="959" t="s">
        <v>10</v>
      </c>
      <c r="E996" s="961">
        <v>46039</v>
      </c>
      <c r="F996" s="938">
        <f t="shared" ref="F996:F998" si="617">$L$7-E996</f>
        <v>222</v>
      </c>
      <c r="G996" s="63">
        <v>0</v>
      </c>
      <c r="H996" s="63"/>
      <c r="I996" s="63"/>
      <c r="J996" s="1378"/>
      <c r="K996" s="64">
        <f>IFERROR(SUMIF(INTAKE!$A:$A,$T996,INTAKE!$P:$P),0)</f>
        <v>0</v>
      </c>
      <c r="L996" s="1534">
        <f t="shared" ref="L996:L1001" si="618">+G996+H996+I996-J996-K996</f>
        <v>0</v>
      </c>
      <c r="M996" s="50"/>
      <c r="N996" s="1468"/>
      <c r="O996" s="1451"/>
      <c r="P996" s="1479"/>
      <c r="Q996" s="795"/>
      <c r="R996" s="785">
        <f>IFERROR(VLOOKUP($Q996,'391'!$S:$Z,8,0),"")</f>
        <v>0</v>
      </c>
      <c r="S996" s="796"/>
      <c r="T996" s="797" t="str">
        <f t="shared" ref="T996:T1000" si="619">$Q$1002&amp;C996&amp;E996</f>
        <v>Mycostatin-2046039</v>
      </c>
      <c r="U996" s="797"/>
      <c r="V996" s="797"/>
      <c r="W996" s="785">
        <f>IFERROR(VLOOKUP($Q996,'391'!$S:$AG,15,0),0)</f>
        <v>0</v>
      </c>
      <c r="X996" s="1090">
        <f t="shared" ref="X996:X1017" si="620">G996-W996</f>
        <v>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6" customFormat="1" ht="30" hidden="1" customHeight="1" x14ac:dyDescent="0.25">
      <c r="A997" s="2025"/>
      <c r="B997" s="2019"/>
      <c r="C997" s="139"/>
      <c r="D997" s="959" t="s">
        <v>10</v>
      </c>
      <c r="E997" s="961">
        <v>46079</v>
      </c>
      <c r="F997" s="938">
        <f t="shared" si="617"/>
        <v>182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03">
        <f t="shared" si="618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19"/>
        <v>Mycostatin-2046079</v>
      </c>
      <c r="U997" s="797"/>
      <c r="V997" s="797"/>
      <c r="W997" s="785">
        <f>IFERROR(VLOOKUP($Q997,'391'!$S:$AG,15,0),0)</f>
        <v>0</v>
      </c>
      <c r="X997" s="1090">
        <f t="shared" si="620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customHeight="1" x14ac:dyDescent="0.25">
      <c r="A998" s="2025"/>
      <c r="B998" s="2019"/>
      <c r="C998" s="139" t="s">
        <v>1249</v>
      </c>
      <c r="D998" s="959" t="s">
        <v>10</v>
      </c>
      <c r="E998" s="961">
        <v>46199</v>
      </c>
      <c r="F998" s="938">
        <f t="shared" si="617"/>
        <v>62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3">
        <f t="shared" si="618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19"/>
        <v>Mycostatin-20E146199</v>
      </c>
      <c r="U998" s="797"/>
      <c r="V998" s="797"/>
      <c r="W998" s="785">
        <f>IFERROR(VLOOKUP($Q998,'391'!$S:$AG,15,0),0)</f>
        <v>0</v>
      </c>
      <c r="X998" s="1090">
        <f t="shared" si="620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17" customFormat="1" ht="30" customHeight="1" x14ac:dyDescent="0.25">
      <c r="A999" s="2025"/>
      <c r="B999" s="2020"/>
      <c r="C999" s="139" t="s">
        <v>1249</v>
      </c>
      <c r="D999" s="959" t="s">
        <v>10</v>
      </c>
      <c r="E999" s="961">
        <v>46247</v>
      </c>
      <c r="F999" s="938">
        <f t="shared" ref="F999" si="621">$L$7-E999</f>
        <v>14</v>
      </c>
      <c r="G999" s="63">
        <v>375</v>
      </c>
      <c r="H999" s="974"/>
      <c r="I999" s="11"/>
      <c r="J999" s="1366"/>
      <c r="K999" s="63">
        <f>IFERROR(SUMIF(INTAKE!$A:$A,$T999,INTAKE!$P:$P),0)</f>
        <v>0</v>
      </c>
      <c r="L999" s="1712">
        <f t="shared" si="618"/>
        <v>375</v>
      </c>
      <c r="M999" s="373"/>
      <c r="N999" s="163"/>
      <c r="O999" s="48"/>
      <c r="P999" s="750"/>
      <c r="Q999" s="795"/>
      <c r="R999" s="785">
        <f>IFERROR(VLOOKUP($Q999,'391'!$S:$Z,8,0),"")</f>
        <v>0</v>
      </c>
      <c r="S999" s="796"/>
      <c r="T999" s="797" t="str">
        <f t="shared" si="619"/>
        <v>Mycostatin-20E146247</v>
      </c>
      <c r="U999" s="797"/>
      <c r="V999" s="797"/>
      <c r="W999" s="785">
        <f>IFERROR(VLOOKUP($Q999,'391'!$S:$AG,15,0),0)</f>
        <v>0</v>
      </c>
      <c r="X999" s="1090">
        <f t="shared" si="620"/>
        <v>375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417" customFormat="1" ht="30" hidden="1" customHeight="1" x14ac:dyDescent="0.25">
      <c r="A1000" s="2025"/>
      <c r="B1000" s="2020"/>
      <c r="C1000" s="139"/>
      <c r="D1000" s="959" t="s">
        <v>10</v>
      </c>
      <c r="E1000" s="961">
        <v>45933</v>
      </c>
      <c r="F1000" s="938">
        <f t="shared" ref="F1000:F1001" si="622">$L$7-E1000</f>
        <v>328</v>
      </c>
      <c r="G1000" s="63">
        <v>0</v>
      </c>
      <c r="H1000" s="974"/>
      <c r="I1000" s="11"/>
      <c r="J1000" s="1366"/>
      <c r="K1000" s="63">
        <f>IFERROR(SUMIF(INTAKE!$A:$A,$T1000,INTAKE!$P:$P),0)</f>
        <v>0</v>
      </c>
      <c r="L1000" s="1703">
        <f t="shared" si="618"/>
        <v>0</v>
      </c>
      <c r="M1000" s="373"/>
      <c r="N1000" s="163"/>
      <c r="O1000" s="48"/>
      <c r="P1000" s="750"/>
      <c r="Q1000" s="795"/>
      <c r="R1000" s="785">
        <f>IFERROR(VLOOKUP($Q1000,'391'!$S:$Z,8,0),"")</f>
        <v>0</v>
      </c>
      <c r="S1000" s="796"/>
      <c r="T1000" s="797" t="str">
        <f t="shared" si="619"/>
        <v>Mycostatin-2045933</v>
      </c>
      <c r="U1000" s="797"/>
      <c r="V1000" s="797"/>
      <c r="W1000" s="785">
        <f>IFERROR(VLOOKUP($Q1000,'391'!$S:$AG,15,0),0)</f>
        <v>0</v>
      </c>
      <c r="X1000" s="1090">
        <f t="shared" si="620"/>
        <v>0</v>
      </c>
      <c r="Y1000" s="785"/>
      <c r="Z1000" s="785"/>
      <c r="AA1000" s="797"/>
      <c r="AB1000" s="797"/>
      <c r="AC1000" s="681"/>
      <c r="AD1000" s="681"/>
      <c r="AE1000" s="681"/>
      <c r="AF1000" s="681"/>
      <c r="AG1000" s="681"/>
      <c r="AH1000" s="681"/>
      <c r="AI1000" s="703"/>
      <c r="AJ1000" s="703"/>
      <c r="AK1000" s="703"/>
      <c r="AL1000" s="703"/>
      <c r="AM1000" s="703"/>
      <c r="AN1000" s="703"/>
      <c r="AO1000" s="703"/>
      <c r="AP1000" s="703"/>
      <c r="AQ1000" s="703"/>
      <c r="AR1000" s="703"/>
      <c r="AS1000" s="703"/>
    </row>
    <row r="1001" spans="1:45" s="401" customFormat="1" ht="30" customHeight="1" x14ac:dyDescent="0.25">
      <c r="A1001" s="2026"/>
      <c r="B1001" s="2199"/>
      <c r="C1001" s="61" t="s">
        <v>46</v>
      </c>
      <c r="D1001" s="863" t="s">
        <v>10</v>
      </c>
      <c r="E1001" s="886">
        <v>46199</v>
      </c>
      <c r="F1001" s="39">
        <f t="shared" si="622"/>
        <v>62</v>
      </c>
      <c r="G1001" s="37">
        <v>4.5899999999999466</v>
      </c>
      <c r="H1001" s="37"/>
      <c r="I1001" s="37">
        <f>+SUM(K996:K1000)</f>
        <v>0</v>
      </c>
      <c r="J1001" s="1365">
        <f>+usage!I135</f>
        <v>0</v>
      </c>
      <c r="K1001" s="63">
        <f>IFERROR(SUMIF(INTAKE!$A:$A,$T1001,INTAKE!$P:$P),0)</f>
        <v>0</v>
      </c>
      <c r="L1001" s="1534">
        <f t="shared" si="618"/>
        <v>4.5899999999999466</v>
      </c>
      <c r="M1001" s="374"/>
      <c r="N1001" s="84"/>
      <c r="O1001" s="40"/>
      <c r="P1001" s="756"/>
      <c r="Q1001" s="795"/>
      <c r="R1001" s="785">
        <f>IFERROR(VLOOKUP($Q1001,'391'!$S:$Z,8,0),"")</f>
        <v>0</v>
      </c>
      <c r="S1001" s="796"/>
      <c r="T1001" s="797" t="str">
        <f>$Q$1002&amp;C1001&amp;E1001</f>
        <v>Mycostatin-20Feedmill46199</v>
      </c>
      <c r="U1001" s="797"/>
      <c r="V1001" s="797"/>
      <c r="W1001" s="785">
        <f>IFERROR(VLOOKUP($Q1001,'391'!$S:$AG,15,0),0)</f>
        <v>0</v>
      </c>
      <c r="X1001" s="1090">
        <f t="shared" si="620"/>
        <v>4.5899999999999466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265" customFormat="1" ht="30" customHeight="1" x14ac:dyDescent="0.25">
      <c r="A1002" s="2051" t="s">
        <v>61</v>
      </c>
      <c r="B1002" s="2052"/>
      <c r="C1002" s="88"/>
      <c r="D1002" s="864"/>
      <c r="E1002" s="864"/>
      <c r="F1002" s="865"/>
      <c r="G1002" s="1297">
        <v>379.58999999999992</v>
      </c>
      <c r="H1002" s="1297">
        <f>+SUM(H996:H1001)</f>
        <v>0</v>
      </c>
      <c r="I1002" s="1297">
        <f>+SUM(I996:I1001)</f>
        <v>0</v>
      </c>
      <c r="J1002" s="1297">
        <f>+SUM(J996:J1001)</f>
        <v>0</v>
      </c>
      <c r="K1002" s="1297">
        <f>+SUM(K996:K1001)</f>
        <v>0</v>
      </c>
      <c r="L1002" s="1297">
        <f>+SUM(L996:L1001)</f>
        <v>379.58999999999992</v>
      </c>
      <c r="M1002" s="59">
        <f>IFERROR((R1002/$S$2),"")</f>
        <v>38.186666666666667</v>
      </c>
      <c r="N1002" s="366">
        <f>IFERROR(L1002/M1002,0)</f>
        <v>9.9403805865921768</v>
      </c>
      <c r="O1002" s="59">
        <f>IFERROR(SUMIF(ETM!$A:$A,$Q1002,ETM!$E:$E),"")</f>
        <v>39.333333333333329</v>
      </c>
      <c r="P1002" s="880">
        <f>IFERROR(L1002/O1002,0)</f>
        <v>9.6505932203389815</v>
      </c>
      <c r="Q1002" s="1819" t="s">
        <v>60</v>
      </c>
      <c r="R1002" s="785">
        <f>IFERROR(VLOOKUP($Q1002,'391'!$S:$Z,8,0),"")</f>
        <v>229.12</v>
      </c>
      <c r="S1002" s="796"/>
      <c r="T1002" s="797"/>
      <c r="U1002" s="797"/>
      <c r="V1002" s="797"/>
      <c r="W1002" s="785">
        <f>IFERROR(VLOOKUP($Q1002,'391'!$S:$AG,15,0),0)</f>
        <v>551.43000000000006</v>
      </c>
      <c r="X1002" s="1090">
        <f t="shared" si="620"/>
        <v>-171.84000000000015</v>
      </c>
      <c r="Y1002" s="785"/>
      <c r="Z1002" s="785"/>
      <c r="AA1002" s="797"/>
      <c r="AB1002" s="797"/>
      <c r="AC1002" s="551"/>
      <c r="AD1002" s="551"/>
      <c r="AE1002" s="551"/>
      <c r="AF1002" s="551"/>
      <c r="AG1002" s="551"/>
      <c r="AH1002" s="551"/>
      <c r="AI1002" s="704"/>
      <c r="AJ1002" s="704"/>
      <c r="AK1002" s="704"/>
      <c r="AL1002" s="704"/>
      <c r="AM1002" s="704"/>
      <c r="AN1002" s="704"/>
      <c r="AO1002" s="704"/>
      <c r="AP1002" s="704"/>
      <c r="AQ1002" s="704"/>
      <c r="AR1002" s="704"/>
      <c r="AS1002" s="704"/>
    </row>
    <row r="1003" spans="1:45" s="416" customFormat="1" ht="30" hidden="1" customHeight="1" x14ac:dyDescent="0.25">
      <c r="A1003" s="2024" t="str">
        <f>IF(L1009=0,"",MAX($A$16:A1002)+1)</f>
        <v/>
      </c>
      <c r="B1003" s="2018" t="s">
        <v>1716</v>
      </c>
      <c r="C1003" s="139" t="s">
        <v>283</v>
      </c>
      <c r="D1003" s="959" t="s">
        <v>10</v>
      </c>
      <c r="E1003" s="961">
        <v>46017</v>
      </c>
      <c r="F1003" s="74">
        <f>$L$7-E1003</f>
        <v>244</v>
      </c>
      <c r="G1003" s="63">
        <v>0</v>
      </c>
      <c r="H1003" s="63"/>
      <c r="I1003" s="63"/>
      <c r="J1003" s="1378"/>
      <c r="K1003" s="64">
        <f>IFERROR(SUMIF(INTAKE!$A:$A,$T1003,INTAKE!$P:$P),0)</f>
        <v>0</v>
      </c>
      <c r="L1003" s="1703">
        <f t="shared" ref="L1003:L1008" si="623">+G1003+H1003+I1003-J1003-K1003</f>
        <v>0</v>
      </c>
      <c r="M1003" s="50"/>
      <c r="N1003" s="1468"/>
      <c r="O1003" s="1451"/>
      <c r="P1003" s="1479"/>
      <c r="Q1003" s="795"/>
      <c r="R1003" s="785">
        <f>IFERROR(VLOOKUP($Q1003,'391'!$S:$Z,8,0),"")</f>
        <v>0</v>
      </c>
      <c r="S1003" s="796"/>
      <c r="T1003" s="797" t="str">
        <f>$Q$1009&amp;C1003&amp;E1003</f>
        <v>PhyLink (Singapore)A19.346017</v>
      </c>
      <c r="U1003" s="797"/>
      <c r="V1003" s="797"/>
      <c r="W1003" s="785">
        <f>IFERROR(VLOOKUP($Q1003,'391'!$S:$AG,15,0),0)</f>
        <v>0</v>
      </c>
      <c r="X1003" s="1090">
        <f t="shared" ref="X1003:X1009" si="624">G1003-W1003</f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6" customFormat="1" ht="30" hidden="1" customHeight="1" x14ac:dyDescent="0.25">
      <c r="A1004" s="2025"/>
      <c r="B1004" s="2019"/>
      <c r="C1004" s="139"/>
      <c r="D1004" s="959" t="s">
        <v>10</v>
      </c>
      <c r="E1004" s="961">
        <v>45744</v>
      </c>
      <c r="F1004" s="938">
        <f t="shared" ref="F1004:F1008" si="625">$L$7-E1004</f>
        <v>517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03">
        <f t="shared" si="623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ref="T1004:T1008" si="626">$Q$1009&amp;C1004&amp;E1004</f>
        <v>PhyLink (Singapore)45744</v>
      </c>
      <c r="U1004" s="797"/>
      <c r="V1004" s="797"/>
      <c r="W1004" s="785">
        <f>IFERROR(VLOOKUP($Q1004,'391'!$S:$AG,15,0),0)</f>
        <v>0</v>
      </c>
      <c r="X1004" s="1090">
        <f t="shared" si="624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5"/>
      <c r="B1005" s="2019"/>
      <c r="C1005" s="139"/>
      <c r="D1005" s="959" t="s">
        <v>10</v>
      </c>
      <c r="E1005" s="961">
        <v>45933</v>
      </c>
      <c r="F1005" s="938">
        <f t="shared" si="625"/>
        <v>328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23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26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4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17" customFormat="1" ht="30" hidden="1" customHeight="1" x14ac:dyDescent="0.25">
      <c r="A1006" s="2025"/>
      <c r="B1006" s="2020"/>
      <c r="C1006" s="139"/>
      <c r="D1006" s="959" t="s">
        <v>10</v>
      </c>
      <c r="E1006" s="961">
        <v>45933</v>
      </c>
      <c r="F1006" s="938">
        <f t="shared" si="625"/>
        <v>328</v>
      </c>
      <c r="G1006" s="63">
        <v>0</v>
      </c>
      <c r="H1006" s="974"/>
      <c r="I1006" s="11"/>
      <c r="J1006" s="1366"/>
      <c r="K1006" s="63">
        <f>IFERROR(SUMIF(INTAKE!$A:$A,$T1006,INTAKE!$P:$P),0)</f>
        <v>0</v>
      </c>
      <c r="L1006" s="1712">
        <f t="shared" si="623"/>
        <v>0</v>
      </c>
      <c r="M1006" s="373"/>
      <c r="N1006" s="163"/>
      <c r="O1006" s="48"/>
      <c r="P1006" s="750"/>
      <c r="Q1006" s="795"/>
      <c r="R1006" s="785">
        <f>IFERROR(VLOOKUP($Q1006,'391'!$S:$Z,8,0),"")</f>
        <v>0</v>
      </c>
      <c r="S1006" s="796"/>
      <c r="T1006" s="797" t="str">
        <f t="shared" si="626"/>
        <v>PhyLink (Singapore)45933</v>
      </c>
      <c r="U1006" s="797"/>
      <c r="V1006" s="797"/>
      <c r="W1006" s="785">
        <f>IFERROR(VLOOKUP($Q1006,'391'!$S:$AG,15,0),0)</f>
        <v>0</v>
      </c>
      <c r="X1006" s="1090">
        <f t="shared" si="624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417" customFormat="1" ht="30" hidden="1" customHeight="1" x14ac:dyDescent="0.25">
      <c r="A1007" s="2025"/>
      <c r="B1007" s="2020"/>
      <c r="C1007" s="139"/>
      <c r="D1007" s="959" t="s">
        <v>10</v>
      </c>
      <c r="E1007" s="961">
        <v>45933</v>
      </c>
      <c r="F1007" s="938">
        <f t="shared" si="625"/>
        <v>328</v>
      </c>
      <c r="G1007" s="63">
        <v>0</v>
      </c>
      <c r="H1007" s="974"/>
      <c r="I1007" s="11"/>
      <c r="J1007" s="1366"/>
      <c r="K1007" s="63">
        <f>IFERROR(SUMIF(INTAKE!$A:$A,$T1007,INTAKE!$P:$P),0)</f>
        <v>0</v>
      </c>
      <c r="L1007" s="1703">
        <f t="shared" si="623"/>
        <v>0</v>
      </c>
      <c r="M1007" s="373"/>
      <c r="N1007" s="163"/>
      <c r="O1007" s="48"/>
      <c r="P1007" s="750"/>
      <c r="Q1007" s="795"/>
      <c r="R1007" s="785">
        <f>IFERROR(VLOOKUP($Q1007,'391'!$S:$Z,8,0),"")</f>
        <v>0</v>
      </c>
      <c r="S1007" s="796"/>
      <c r="T1007" s="797" t="str">
        <f t="shared" si="626"/>
        <v>PhyLink (Singapore)45933</v>
      </c>
      <c r="U1007" s="797"/>
      <c r="V1007" s="797"/>
      <c r="W1007" s="785">
        <f>IFERROR(VLOOKUP($Q1007,'391'!$S:$AG,15,0),0)</f>
        <v>0</v>
      </c>
      <c r="X1007" s="1090">
        <f t="shared" si="624"/>
        <v>0</v>
      </c>
      <c r="Y1007" s="785"/>
      <c r="Z1007" s="785"/>
      <c r="AA1007" s="797"/>
      <c r="AB1007" s="797"/>
      <c r="AC1007" s="681"/>
      <c r="AD1007" s="681"/>
      <c r="AE1007" s="681"/>
      <c r="AF1007" s="681"/>
      <c r="AG1007" s="681"/>
      <c r="AH1007" s="681"/>
      <c r="AI1007" s="703"/>
      <c r="AJ1007" s="703"/>
      <c r="AK1007" s="703"/>
      <c r="AL1007" s="703"/>
      <c r="AM1007" s="703"/>
      <c r="AN1007" s="703"/>
      <c r="AO1007" s="703"/>
      <c r="AP1007" s="703"/>
      <c r="AQ1007" s="703"/>
      <c r="AR1007" s="703"/>
      <c r="AS1007" s="703"/>
    </row>
    <row r="1008" spans="1:45" s="401" customFormat="1" ht="30" hidden="1" customHeight="1" x14ac:dyDescent="0.25">
      <c r="A1008" s="2026"/>
      <c r="B1008" s="2199"/>
      <c r="C1008" s="61" t="s">
        <v>46</v>
      </c>
      <c r="D1008" s="863" t="s">
        <v>10</v>
      </c>
      <c r="E1008" s="886">
        <v>46017</v>
      </c>
      <c r="F1008" s="39">
        <f t="shared" si="625"/>
        <v>244</v>
      </c>
      <c r="G1008" s="37">
        <v>0</v>
      </c>
      <c r="H1008" s="37"/>
      <c r="I1008" s="37">
        <f>+SUM(K1003:K1007)</f>
        <v>0</v>
      </c>
      <c r="J1008" s="1365">
        <f>usage!I206</f>
        <v>0</v>
      </c>
      <c r="K1008" s="63">
        <f>IFERROR(SUMIF(INTAKE!$A:$A,$T1008,INTAKE!$P:$P),0)</f>
        <v>0</v>
      </c>
      <c r="L1008" s="1534">
        <f t="shared" si="623"/>
        <v>0</v>
      </c>
      <c r="M1008" s="374"/>
      <c r="N1008" s="84"/>
      <c r="O1008" s="40"/>
      <c r="P1008" s="756"/>
      <c r="Q1008" s="795"/>
      <c r="R1008" s="785">
        <f>IFERROR(VLOOKUP($Q1008,'391'!$S:$Z,8,0),"")</f>
        <v>0</v>
      </c>
      <c r="S1008" s="796"/>
      <c r="T1008" s="797" t="str">
        <f t="shared" si="626"/>
        <v>PhyLink (Singapore)Feedmill46017</v>
      </c>
      <c r="U1008" s="797"/>
      <c r="V1008" s="797"/>
      <c r="W1008" s="785">
        <f>IFERROR(VLOOKUP($Q1008,'391'!$S:$AG,15,0),0)</f>
        <v>0</v>
      </c>
      <c r="X1008" s="1090">
        <f t="shared" si="624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265" customFormat="1" ht="30" hidden="1" customHeight="1" x14ac:dyDescent="0.25">
      <c r="A1009" s="2022" t="s">
        <v>1716</v>
      </c>
      <c r="B1009" s="2023"/>
      <c r="C1009" s="88"/>
      <c r="D1009" s="864"/>
      <c r="E1009" s="864"/>
      <c r="F1009" s="865"/>
      <c r="G1009" s="1297">
        <v>0</v>
      </c>
      <c r="H1009" s="1297">
        <f>+SUM(H1003:H1008)</f>
        <v>0</v>
      </c>
      <c r="I1009" s="1297">
        <f>+SUM(I1003:I1008)</f>
        <v>0</v>
      </c>
      <c r="J1009" s="1297">
        <f>+SUM(J1003:J1008)</f>
        <v>0</v>
      </c>
      <c r="K1009" s="1297">
        <f>+SUM(K1003:K1008)</f>
        <v>0</v>
      </c>
      <c r="L1009" s="1297">
        <f>+SUM(L1003:L1008)</f>
        <v>0</v>
      </c>
      <c r="M1009" s="59" t="str">
        <f>IFERROR((R1009/$S$2),"")</f>
        <v/>
      </c>
      <c r="N1009" s="366">
        <f>IFERROR(L1009/M1009,0)</f>
        <v>0</v>
      </c>
      <c r="O1009" s="59">
        <f>IFERROR(SUMIF(ETM!$A:$A,$Q1009,ETM!$E:$E),"")</f>
        <v>0</v>
      </c>
      <c r="P1009" s="880">
        <f>IFERROR(L1009/O1009,0)</f>
        <v>0</v>
      </c>
      <c r="Q1009" s="666" t="s">
        <v>1716</v>
      </c>
      <c r="R1009" s="785" t="str">
        <f>IFERROR(VLOOKUP($Q1009,'391'!$S:$Z,8,0),"")</f>
        <v/>
      </c>
      <c r="S1009" s="796"/>
      <c r="T1009" s="797"/>
      <c r="U1009" s="797"/>
      <c r="V1009" s="797"/>
      <c r="W1009" s="785">
        <f>IFERROR(VLOOKUP($Q1009,'391'!$S:$AG,15,0),0)</f>
        <v>0</v>
      </c>
      <c r="X1009" s="1090">
        <f t="shared" si="624"/>
        <v>0</v>
      </c>
      <c r="Y1009" s="785"/>
      <c r="Z1009" s="785"/>
      <c r="AA1009" s="797"/>
      <c r="AB1009" s="797"/>
      <c r="AC1009" s="551"/>
      <c r="AD1009" s="551"/>
      <c r="AE1009" s="551"/>
      <c r="AF1009" s="551"/>
      <c r="AG1009" s="551"/>
      <c r="AH1009" s="551"/>
      <c r="AI1009" s="704"/>
      <c r="AJ1009" s="704"/>
      <c r="AK1009" s="704"/>
      <c r="AL1009" s="704"/>
      <c r="AM1009" s="704"/>
      <c r="AN1009" s="704"/>
      <c r="AO1009" s="704"/>
      <c r="AP1009" s="704"/>
      <c r="AQ1009" s="704"/>
      <c r="AR1009" s="704"/>
      <c r="AS1009" s="704"/>
    </row>
    <row r="1010" spans="1:45" s="409" customFormat="1" ht="30" hidden="1" customHeight="1" x14ac:dyDescent="0.25">
      <c r="A1010" s="2048">
        <f>IF(L1018=0,"",MAX($A$16:A1009)+1)</f>
        <v>67</v>
      </c>
      <c r="B1010" s="2201" t="s">
        <v>1248</v>
      </c>
      <c r="C1010" s="193"/>
      <c r="D1010" s="987" t="s">
        <v>10</v>
      </c>
      <c r="E1010" s="988">
        <v>46059</v>
      </c>
      <c r="F1010" s="989">
        <f t="shared" ref="F1010:F1012" si="627">$L$7-E1010</f>
        <v>202</v>
      </c>
      <c r="G1010" s="1370">
        <v>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ref="L1010:L1017" si="628">+G1010+H1010+I1010-J1010-K1010</f>
        <v>0</v>
      </c>
      <c r="M1010" s="1452"/>
      <c r="N1010" s="1468"/>
      <c r="O1010" s="1452"/>
      <c r="P1010" s="753"/>
      <c r="Q1010" s="795"/>
      <c r="R1010" s="785">
        <f>IFERROR(VLOOKUP($Q1010,'391'!$S:$Z,8,0),"")</f>
        <v>0</v>
      </c>
      <c r="S1010" s="796"/>
      <c r="T1010" s="797" t="str">
        <f>$Q$1017&amp;C1010&amp;E1010</f>
        <v>Mycofix Plus 3.0 (Singapore)46059</v>
      </c>
      <c r="U1010" s="797"/>
      <c r="V1010" s="797"/>
      <c r="W1010" s="785">
        <f>IFERROR(VLOOKUP($Q1010,'391'!$S:$AG,15,0),0)</f>
        <v>0</v>
      </c>
      <c r="X1010" s="1090">
        <f t="shared" si="620"/>
        <v>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customHeight="1" x14ac:dyDescent="0.25">
      <c r="A1011" s="2049"/>
      <c r="B1011" s="2202"/>
      <c r="C1011" s="193" t="s">
        <v>273</v>
      </c>
      <c r="D1011" s="987" t="s">
        <v>10</v>
      </c>
      <c r="E1011" s="988">
        <v>46248</v>
      </c>
      <c r="F1011" s="989">
        <f t="shared" si="627"/>
        <v>13</v>
      </c>
      <c r="G1011" s="1370">
        <v>3000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28"/>
        <v>3000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$Q$1017&amp;C1011&amp;E1011</f>
        <v>Mycofix Plus 3.0 (Singapore)A19.546248</v>
      </c>
      <c r="U1011" s="797"/>
      <c r="V1011" s="797"/>
      <c r="W1011" s="785">
        <f>IFERROR(VLOOKUP($Q1011,'391'!$S:$AG,15,0),0)</f>
        <v>0</v>
      </c>
      <c r="X1011" s="1090">
        <f t="shared" si="620"/>
        <v>3000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customHeight="1" x14ac:dyDescent="0.25">
      <c r="A1012" s="2049"/>
      <c r="B1012" s="2202"/>
      <c r="C1012" s="193" t="s">
        <v>287</v>
      </c>
      <c r="D1012" s="987" t="s">
        <v>10</v>
      </c>
      <c r="E1012" s="988">
        <v>46254</v>
      </c>
      <c r="F1012" s="989">
        <f t="shared" si="627"/>
        <v>7</v>
      </c>
      <c r="G1012" s="1370">
        <v>2000</v>
      </c>
      <c r="H1012" s="1395"/>
      <c r="I1012" s="1395"/>
      <c r="J1012" s="1396"/>
      <c r="K1012" s="1395">
        <f>IFERROR(SUMIF(INTAKE!$A:$A,$T1012,INTAKE!$P:$P),0)</f>
        <v>0</v>
      </c>
      <c r="L1012" s="1703">
        <f t="shared" si="628"/>
        <v>2000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$Q$1017&amp;C1012&amp;E1012</f>
        <v>Mycofix Plus 3.0 (Singapore)A19.646254</v>
      </c>
      <c r="U1012" s="797"/>
      <c r="V1012" s="797"/>
      <c r="W1012" s="785">
        <f>IFERROR(VLOOKUP($Q1012,'391'!$S:$AG,15,0),0)</f>
        <v>0</v>
      </c>
      <c r="X1012" s="1090">
        <f t="shared" si="620"/>
        <v>2000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9"/>
      <c r="B1013" s="2202"/>
      <c r="C1013" s="193"/>
      <c r="D1013" s="987" t="s">
        <v>10</v>
      </c>
      <c r="E1013" s="988">
        <v>46254</v>
      </c>
      <c r="F1013" s="989">
        <f t="shared" ref="F1013:F1017" si="629">$L$7-E1013</f>
        <v>7</v>
      </c>
      <c r="G1013" s="1370">
        <v>0</v>
      </c>
      <c r="H1013" s="1395"/>
      <c r="I1013" s="1395"/>
      <c r="J1013" s="1396"/>
      <c r="K1013" s="1395">
        <f>IFERROR(SUMIF(INTAKE!$A:$A,$T1013,INTAKE!$P:$P),0)</f>
        <v>0</v>
      </c>
      <c r="L1013" s="1703">
        <f t="shared" si="628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$Q$1018&amp;C1013&amp;E1013</f>
        <v>Mycofix Plus 5.0 (Singapore)46254</v>
      </c>
      <c r="U1013" s="797"/>
      <c r="V1013" s="797"/>
      <c r="W1013" s="785">
        <f>IFERROR(VLOOKUP($Q1013,'391'!$S:$AG,15,0),0)</f>
        <v>0</v>
      </c>
      <c r="X1013" s="1090">
        <f t="shared" si="620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9"/>
      <c r="B1014" s="2202"/>
      <c r="C1014" s="193"/>
      <c r="D1014" s="987" t="s">
        <v>10</v>
      </c>
      <c r="E1014" s="988">
        <v>42742</v>
      </c>
      <c r="F1014" s="989">
        <f t="shared" si="629"/>
        <v>3519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28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$Q$1018&amp;C1014&amp;E1014</f>
        <v>Mycofix Plus 5.0 (Singapore)42742</v>
      </c>
      <c r="U1014" s="797"/>
      <c r="V1014" s="797"/>
      <c r="W1014" s="785">
        <f>IFERROR(VLOOKUP($Q1014,'391'!$S:$AG,15,0),0)</f>
        <v>0</v>
      </c>
      <c r="X1014" s="1090">
        <f t="shared" si="620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9" customFormat="1" ht="30" hidden="1" customHeight="1" x14ac:dyDescent="0.25">
      <c r="A1015" s="2049"/>
      <c r="B1015" s="2202"/>
      <c r="C1015" s="193"/>
      <c r="D1015" s="987" t="s">
        <v>10</v>
      </c>
      <c r="E1015" s="988">
        <v>42749</v>
      </c>
      <c r="F1015" s="989">
        <f t="shared" si="629"/>
        <v>3512</v>
      </c>
      <c r="G1015" s="1395">
        <v>0</v>
      </c>
      <c r="H1015" s="1395"/>
      <c r="I1015" s="1395"/>
      <c r="J1015" s="1396"/>
      <c r="K1015" s="1395">
        <f>IFERROR(SUMIF(INTAKE!$A:$A,$T1015,INTAKE!$P:$P),0)</f>
        <v>0</v>
      </c>
      <c r="L1015" s="1534">
        <f t="shared" si="628"/>
        <v>0</v>
      </c>
      <c r="M1015" s="375"/>
      <c r="N1015" s="375"/>
      <c r="O1015" s="375"/>
      <c r="P1015" s="754"/>
      <c r="Q1015" s="795"/>
      <c r="R1015" s="785">
        <f>IFERROR(VLOOKUP($Q1015,'391'!$S:$Z,8,0),"")</f>
        <v>0</v>
      </c>
      <c r="S1015" s="796"/>
      <c r="T1015" s="797" t="str">
        <f>$Q$1018&amp;C1015&amp;E1015</f>
        <v>Mycofix Plus 5.0 (Singapore)42749</v>
      </c>
      <c r="U1015" s="797"/>
      <c r="V1015" s="797"/>
      <c r="W1015" s="785">
        <f>IFERROR(VLOOKUP($Q1015,'391'!$S:$AG,15,0),0)</f>
        <v>0</v>
      </c>
      <c r="X1015" s="1090">
        <f t="shared" si="620"/>
        <v>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409" customFormat="1" ht="30" hidden="1" customHeight="1" x14ac:dyDescent="0.25">
      <c r="A1016" s="2049"/>
      <c r="B1016" s="2202"/>
      <c r="C1016" s="193"/>
      <c r="D1016" s="987" t="s">
        <v>10</v>
      </c>
      <c r="E1016" s="988">
        <v>42770</v>
      </c>
      <c r="F1016" s="989">
        <f t="shared" si="629"/>
        <v>3491</v>
      </c>
      <c r="G1016" s="1395">
        <v>0</v>
      </c>
      <c r="H1016" s="1395"/>
      <c r="I1016" s="1395"/>
      <c r="J1016" s="1396"/>
      <c r="K1016" s="1395">
        <f>IFERROR(SUMIF(INTAKE!$A:$A,$T1016,INTAKE!$P:$P),0)</f>
        <v>0</v>
      </c>
      <c r="L1016" s="1534">
        <f t="shared" si="628"/>
        <v>0</v>
      </c>
      <c r="M1016" s="375"/>
      <c r="N1016" s="375"/>
      <c r="O1016" s="375"/>
      <c r="P1016" s="754"/>
      <c r="Q1016" s="795"/>
      <c r="R1016" s="785">
        <f>IFERROR(VLOOKUP($Q1016,'391'!$S:$Z,8,0),"")</f>
        <v>0</v>
      </c>
      <c r="S1016" s="796"/>
      <c r="T1016" s="797" t="str">
        <f>$Q$1018&amp;C1016&amp;E1016</f>
        <v>Mycofix Plus 5.0 (Singapore)42770</v>
      </c>
      <c r="U1016" s="797"/>
      <c r="V1016" s="797"/>
      <c r="W1016" s="785">
        <f>IFERROR(VLOOKUP($Q1016,'391'!$S:$AG,15,0),0)</f>
        <v>0</v>
      </c>
      <c r="X1016" s="1090">
        <f t="shared" si="620"/>
        <v>0</v>
      </c>
      <c r="Y1016" s="785"/>
      <c r="Z1016" s="785"/>
      <c r="AA1016" s="797"/>
      <c r="AB1016" s="797"/>
      <c r="AC1016" s="681"/>
      <c r="AD1016" s="681"/>
      <c r="AE1016" s="681"/>
      <c r="AF1016" s="681"/>
      <c r="AG1016" s="681"/>
      <c r="AH1016" s="681"/>
      <c r="AI1016" s="703"/>
      <c r="AJ1016" s="703"/>
      <c r="AK1016" s="703"/>
      <c r="AL1016" s="703"/>
      <c r="AM1016" s="703"/>
      <c r="AN1016" s="703"/>
      <c r="AO1016" s="703"/>
      <c r="AP1016" s="703"/>
      <c r="AQ1016" s="703"/>
      <c r="AR1016" s="703"/>
      <c r="AS1016" s="703"/>
    </row>
    <row r="1017" spans="1:45" s="401" customFormat="1" ht="30" customHeight="1" x14ac:dyDescent="0.25">
      <c r="A1017" s="2050"/>
      <c r="B1017" s="2205"/>
      <c r="C1017" s="61" t="s">
        <v>46</v>
      </c>
      <c r="D1017" s="990" t="s">
        <v>10</v>
      </c>
      <c r="E1017" s="991">
        <v>46203</v>
      </c>
      <c r="F1017" s="992">
        <f t="shared" si="629"/>
        <v>58</v>
      </c>
      <c r="G1017" s="1406">
        <v>489.15999999999985</v>
      </c>
      <c r="H1017" s="1406"/>
      <c r="I1017" s="1406">
        <f>+SUM(K1010:K1013)</f>
        <v>0</v>
      </c>
      <c r="J1017" s="1407">
        <f>+usage!I105</f>
        <v>217.96</v>
      </c>
      <c r="K1017" s="1395">
        <f>IFERROR(SUMIF(INTAKE!$A:$A,$T1017,INTAKE!$P:$P),0)</f>
        <v>0</v>
      </c>
      <c r="L1017" s="1534">
        <f t="shared" si="628"/>
        <v>271.19999999999982</v>
      </c>
      <c r="M1017" s="384"/>
      <c r="N1017" s="384"/>
      <c r="O1017" s="384"/>
      <c r="P1017" s="757"/>
      <c r="Q1017" s="795" t="s">
        <v>1229</v>
      </c>
      <c r="R1017" s="785">
        <f>IFERROR(VLOOKUP($Q1017,'391'!$S:$Z,8,0),"0")</f>
        <v>912.32</v>
      </c>
      <c r="S1017" s="796"/>
      <c r="T1017" s="797" t="str">
        <f>$Q$1018&amp;C1017&amp;E1017</f>
        <v>Mycofix Plus 5.0 (Singapore)Feedmill46203</v>
      </c>
      <c r="U1017" s="797"/>
      <c r="V1017" s="797"/>
      <c r="W1017" s="785">
        <f>IFERROR(VLOOKUP($Q1017,'391'!$S:$AG,15,0),0)</f>
        <v>5706.7</v>
      </c>
      <c r="X1017" s="1090">
        <f t="shared" si="620"/>
        <v>-5217.54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265" customFormat="1" ht="30" customHeight="1" x14ac:dyDescent="0.25">
      <c r="A1018" s="2022" t="s">
        <v>62</v>
      </c>
      <c r="B1018" s="2023"/>
      <c r="C1018" s="88"/>
      <c r="D1018" s="864"/>
      <c r="E1018" s="864"/>
      <c r="F1018" s="865"/>
      <c r="G1018" s="1297">
        <v>5489.16</v>
      </c>
      <c r="H1018" s="1297">
        <f t="shared" ref="H1018:L1018" si="630">+SUM(H1010:H1017)</f>
        <v>0</v>
      </c>
      <c r="I1018" s="1297">
        <f t="shared" si="630"/>
        <v>0</v>
      </c>
      <c r="J1018" s="1297">
        <f t="shared" si="630"/>
        <v>217.96</v>
      </c>
      <c r="K1018" s="1297">
        <f t="shared" si="630"/>
        <v>0</v>
      </c>
      <c r="L1018" s="1297">
        <f t="shared" si="630"/>
        <v>5271.2</v>
      </c>
      <c r="M1018" s="982">
        <f>IFERROR((S1018/$S$2),"")</f>
        <v>152.05333333333334</v>
      </c>
      <c r="N1018" s="366">
        <f>IFERROR(L1018/M1018,0)</f>
        <v>34.666783584707119</v>
      </c>
      <c r="O1018" s="982">
        <f>IFERROR(SUMIF(ETM!$A:$A,$Q1018,ETM!$E:$E),"")</f>
        <v>120.83333333333333</v>
      </c>
      <c r="P1018" s="880">
        <f>IFERROR(L1018/O1018,0)</f>
        <v>43.623724137931035</v>
      </c>
      <c r="Q1018" s="814" t="s">
        <v>673</v>
      </c>
      <c r="R1018" s="785" t="str">
        <f>IFERROR(VLOOKUP($Q1018,'391'!$S:$Z,8,0),"0")</f>
        <v>0</v>
      </c>
      <c r="S1018" s="796">
        <f>+R1017+R1018</f>
        <v>912.32</v>
      </c>
      <c r="T1018" s="797"/>
      <c r="U1018" s="797"/>
      <c r="V1018" s="797"/>
      <c r="W1018" s="785">
        <f>IFERROR(VLOOKUP($Q1018,'391'!$S:$AG,15,0),0)</f>
        <v>0</v>
      </c>
      <c r="X1018" s="1231">
        <f>G1018-W1018-W1017</f>
        <v>-217.53999999999996</v>
      </c>
      <c r="Y1018" s="785"/>
      <c r="Z1018" s="785"/>
      <c r="AA1018" s="797"/>
      <c r="AB1018" s="797"/>
      <c r="AC1018" s="551"/>
      <c r="AD1018" s="551"/>
      <c r="AE1018" s="551"/>
      <c r="AF1018" s="551"/>
      <c r="AG1018" s="551"/>
      <c r="AH1018" s="551"/>
      <c r="AI1018" s="704"/>
      <c r="AJ1018" s="704"/>
      <c r="AK1018" s="704"/>
      <c r="AL1018" s="704"/>
      <c r="AM1018" s="704"/>
      <c r="AN1018" s="704"/>
      <c r="AO1018" s="704"/>
      <c r="AP1018" s="704"/>
      <c r="AQ1018" s="704"/>
      <c r="AR1018" s="704"/>
      <c r="AS1018" s="704"/>
    </row>
    <row r="1019" spans="1:45" s="409" customFormat="1" ht="30" hidden="1" customHeight="1" x14ac:dyDescent="0.25">
      <c r="A1019" s="2024">
        <f>IF(L1025=0,"",MAX($A$16:A1018)+1)</f>
        <v>68</v>
      </c>
      <c r="B1019" s="2201" t="s">
        <v>63</v>
      </c>
      <c r="C1019" s="139"/>
      <c r="D1019" s="887" t="s">
        <v>10</v>
      </c>
      <c r="E1019" s="888">
        <v>45624</v>
      </c>
      <c r="F1019" s="70">
        <f t="shared" ref="F1019" si="631">$L$7-E1019</f>
        <v>637</v>
      </c>
      <c r="G1019" s="63">
        <v>0</v>
      </c>
      <c r="H1019" s="63"/>
      <c r="I1019" s="63"/>
      <c r="J1019" s="1378"/>
      <c r="K1019" s="1408">
        <f>IFERROR(SUMIF(INTAKE!$A:$A,$T1019,INTAKE!$P:$P),0)</f>
        <v>0</v>
      </c>
      <c r="L1019" s="1703">
        <f t="shared" ref="L1019:L1024" si="632">+G1019+H1019+I1019-J1019-K1019</f>
        <v>0</v>
      </c>
      <c r="M1019" s="376"/>
      <c r="N1019" s="176"/>
      <c r="O1019" s="50"/>
      <c r="P1019" s="857"/>
      <c r="Q1019" s="795"/>
      <c r="R1019" s="785">
        <f>IFERROR(VLOOKUP($Q1019,'391'!$S:$Z,8,0),"")</f>
        <v>0</v>
      </c>
      <c r="S1019" s="796"/>
      <c r="T1019" s="797" t="str">
        <f t="shared" ref="T1019:T1024" si="633">$Q$1025&amp;C1019&amp;E1019</f>
        <v>Novasil Plus45624</v>
      </c>
      <c r="U1019" s="797"/>
      <c r="V1019" s="797"/>
      <c r="W1019" s="785">
        <f>IFERROR(VLOOKUP($Q1019,'391'!$S:$AG,15,0),0)</f>
        <v>0</v>
      </c>
      <c r="X1019" s="1090">
        <f t="shared" ref="X1019:X1083" si="634">G1019-W1019</f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5"/>
      <c r="B1020" s="2202"/>
      <c r="C1020" s="139"/>
      <c r="D1020" s="887" t="s">
        <v>10</v>
      </c>
      <c r="E1020" s="888">
        <v>45519</v>
      </c>
      <c r="F1020" s="70">
        <f t="shared" ref="F1020:F1024" si="635">$L$7-E1020</f>
        <v>742</v>
      </c>
      <c r="G1020" s="63">
        <v>0</v>
      </c>
      <c r="H1020" s="63"/>
      <c r="I1020" s="63"/>
      <c r="J1020" s="1378"/>
      <c r="K1020" s="1408">
        <f>IFERROR(SUMIF(INTAKE!$A:$A,$T1020,INTAKE!$P:$P),0)</f>
        <v>0</v>
      </c>
      <c r="L1020" s="1534">
        <f t="shared" si="632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3"/>
        <v>Novasil Plus45519</v>
      </c>
      <c r="U1020" s="797"/>
      <c r="V1020" s="797"/>
      <c r="W1020" s="785">
        <f>IFERROR(VLOOKUP($Q1020,'391'!$S:$AG,15,0),0)</f>
        <v>0</v>
      </c>
      <c r="X1020" s="1090">
        <f t="shared" si="634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5"/>
      <c r="B1021" s="2202"/>
      <c r="C1021" s="139"/>
      <c r="D1021" s="887"/>
      <c r="E1021" s="888"/>
      <c r="F1021" s="70">
        <f t="shared" si="635"/>
        <v>46261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534">
        <f t="shared" si="632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3"/>
        <v>Novasil Plus</v>
      </c>
      <c r="U1021" s="797"/>
      <c r="V1021" s="797"/>
      <c r="W1021" s="785">
        <f>IFERROR(VLOOKUP($Q1021,'391'!$S:$AG,15,0),0)</f>
        <v>0</v>
      </c>
      <c r="X1021" s="1090">
        <f t="shared" si="634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customHeight="1" x14ac:dyDescent="0.25">
      <c r="A1022" s="2025"/>
      <c r="B1022" s="2202"/>
      <c r="C1022" s="139"/>
      <c r="D1022" s="987" t="s">
        <v>10</v>
      </c>
      <c r="E1022" s="988">
        <v>46238</v>
      </c>
      <c r="F1022" s="70">
        <f t="shared" ref="F1022" si="636">$L$7-E1022</f>
        <v>23</v>
      </c>
      <c r="G1022" s="63">
        <v>0</v>
      </c>
      <c r="H1022" s="63"/>
      <c r="I1022" s="63"/>
      <c r="J1022" s="1378"/>
      <c r="K1022" s="63">
        <f>IFERROR(SUMIF(INTAKE!$A:$A,$T1022,INTAKE!$P:$P),0)</f>
        <v>0</v>
      </c>
      <c r="L1022" s="1703">
        <f t="shared" si="632"/>
        <v>0</v>
      </c>
      <c r="M1022" s="373"/>
      <c r="N1022" s="163"/>
      <c r="O1022" s="48"/>
      <c r="P1022" s="750"/>
      <c r="Q1022" s="795"/>
      <c r="R1022" s="785">
        <f>IFERROR(VLOOKUP($Q1022,'391'!$S:$Z,8,0),"")</f>
        <v>0</v>
      </c>
      <c r="S1022" s="796"/>
      <c r="T1022" s="797" t="str">
        <f t="shared" si="633"/>
        <v>Novasil Plus46238</v>
      </c>
      <c r="U1022" s="797"/>
      <c r="V1022" s="797"/>
      <c r="W1022" s="785">
        <f>IFERROR(VLOOKUP($Q1022,'391'!$S:$AG,15,0),0)</f>
        <v>0</v>
      </c>
      <c r="X1022" s="1090">
        <f t="shared" si="634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409" customFormat="1" ht="30" hidden="1" customHeight="1" x14ac:dyDescent="0.25">
      <c r="A1023" s="2025"/>
      <c r="B1023" s="2202"/>
      <c r="C1023" s="139"/>
      <c r="D1023" s="987" t="s">
        <v>10</v>
      </c>
      <c r="E1023" s="988">
        <v>46177</v>
      </c>
      <c r="F1023" s="70">
        <f t="shared" si="635"/>
        <v>84</v>
      </c>
      <c r="G1023" s="63">
        <v>0</v>
      </c>
      <c r="H1023" s="63"/>
      <c r="I1023" s="63"/>
      <c r="J1023" s="1378"/>
      <c r="K1023" s="63">
        <f>IFERROR(SUMIF(INTAKE!$A:$A,$T1023,INTAKE!$P:$P),0)</f>
        <v>0</v>
      </c>
      <c r="L1023" s="1703">
        <f t="shared" si="632"/>
        <v>0</v>
      </c>
      <c r="M1023" s="373"/>
      <c r="N1023" s="163"/>
      <c r="O1023" s="48"/>
      <c r="P1023" s="750"/>
      <c r="Q1023" s="795"/>
      <c r="R1023" s="785">
        <f>IFERROR(VLOOKUP($Q1023,'391'!$S:$Z,8,0),"")</f>
        <v>0</v>
      </c>
      <c r="S1023" s="796"/>
      <c r="T1023" s="797" t="str">
        <f t="shared" si="633"/>
        <v>Novasil Plus46177</v>
      </c>
      <c r="U1023" s="797"/>
      <c r="V1023" s="797"/>
      <c r="W1023" s="785">
        <f>IFERROR(VLOOKUP($Q1023,'391'!$S:$AG,15,0),0)</f>
        <v>0</v>
      </c>
      <c r="X1023" s="1090">
        <f t="shared" si="634"/>
        <v>0</v>
      </c>
      <c r="Y1023" s="785"/>
      <c r="Z1023" s="785"/>
      <c r="AA1023" s="797"/>
      <c r="AB1023" s="797"/>
      <c r="AC1023" s="681"/>
      <c r="AD1023" s="681"/>
      <c r="AE1023" s="681"/>
      <c r="AF1023" s="681"/>
      <c r="AG1023" s="681"/>
      <c r="AH1023" s="681"/>
      <c r="AI1023" s="703"/>
      <c r="AJ1023" s="703"/>
      <c r="AK1023" s="703"/>
      <c r="AL1023" s="703"/>
      <c r="AM1023" s="703"/>
      <c r="AN1023" s="703"/>
      <c r="AO1023" s="703"/>
      <c r="AP1023" s="703"/>
      <c r="AQ1023" s="703"/>
      <c r="AR1023" s="703"/>
      <c r="AS1023" s="703"/>
    </row>
    <row r="1024" spans="1:45" s="409" customFormat="1" ht="30" customHeight="1" x14ac:dyDescent="0.25">
      <c r="A1024" s="2025"/>
      <c r="B1024" s="2202"/>
      <c r="C1024" s="138" t="s">
        <v>46</v>
      </c>
      <c r="D1024" s="852" t="s">
        <v>10</v>
      </c>
      <c r="E1024" s="853">
        <v>46238</v>
      </c>
      <c r="F1024" s="70">
        <f t="shared" si="635"/>
        <v>23</v>
      </c>
      <c r="G1024" s="1365">
        <v>347.63999999999976</v>
      </c>
      <c r="H1024" s="64"/>
      <c r="I1024" s="58">
        <f>+SUM(K1019:K1023)</f>
        <v>0</v>
      </c>
      <c r="J1024" s="1365">
        <f>+usage!I106</f>
        <v>210.84</v>
      </c>
      <c r="K1024" s="63">
        <f>IFERROR(SUMIF(INTAKE!$A:$A,$T1024,INTAKE!$P:$P),0)</f>
        <v>0</v>
      </c>
      <c r="L1024" s="1534">
        <f t="shared" si="632"/>
        <v>136.79999999999976</v>
      </c>
      <c r="M1024" s="48"/>
      <c r="N1024" s="162"/>
      <c r="O1024" s="45"/>
      <c r="P1024" s="756"/>
      <c r="Q1024" s="795"/>
      <c r="R1024" s="785">
        <f>IFERROR(VLOOKUP($Q1024,'391'!$S:$Z,8,0),"")</f>
        <v>0</v>
      </c>
      <c r="S1024" s="796"/>
      <c r="T1024" s="797" t="str">
        <f t="shared" si="633"/>
        <v>Novasil PlusFeedmill46238</v>
      </c>
      <c r="U1024" s="797"/>
      <c r="V1024" s="797"/>
      <c r="W1024" s="785">
        <f>IFERROR(VLOOKUP($Q1024,'391'!$S:$AG,15,0),0)</f>
        <v>0</v>
      </c>
      <c r="X1024" s="1090">
        <f t="shared" si="634"/>
        <v>347.63999999999976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265" customFormat="1" ht="30" customHeight="1" x14ac:dyDescent="0.25">
      <c r="A1025" s="2022" t="s">
        <v>64</v>
      </c>
      <c r="B1025" s="2023"/>
      <c r="C1025" s="88"/>
      <c r="D1025" s="864"/>
      <c r="E1025" s="864"/>
      <c r="F1025" s="865"/>
      <c r="G1025" s="1297">
        <v>347.63999999999976</v>
      </c>
      <c r="H1025" s="1297">
        <f t="shared" ref="H1025:L1025" si="637">SUM(H1019:H1024)</f>
        <v>0</v>
      </c>
      <c r="I1025" s="1297">
        <f t="shared" si="637"/>
        <v>0</v>
      </c>
      <c r="J1025" s="1297">
        <f t="shared" si="637"/>
        <v>210.84</v>
      </c>
      <c r="K1025" s="1297">
        <f t="shared" si="637"/>
        <v>0</v>
      </c>
      <c r="L1025" s="1297">
        <f t="shared" si="637"/>
        <v>136.79999999999976</v>
      </c>
      <c r="M1025" s="982">
        <f>IFERROR((R1025/$S$2),"")</f>
        <v>36.47</v>
      </c>
      <c r="N1025" s="366">
        <f>IFERROR(L1025/M1025,0)</f>
        <v>3.7510282423909995</v>
      </c>
      <c r="O1025" s="982">
        <f>IFERROR(SUMIF(ETM!$A:$A,$Q1025,ETM!$E:$E),"")</f>
        <v>65.333333333333343</v>
      </c>
      <c r="P1025" s="880">
        <f>IFERROR(L1025/O1025,0)</f>
        <v>2.093877551020404</v>
      </c>
      <c r="Q1025" s="814" t="s">
        <v>63</v>
      </c>
      <c r="R1025" s="785">
        <f>IFERROR(VLOOKUP($Q1025,'391'!$S:$Z,8,0),"")</f>
        <v>218.82</v>
      </c>
      <c r="S1025" s="796"/>
      <c r="T1025" s="797"/>
      <c r="U1025" s="797"/>
      <c r="V1025" s="797"/>
      <c r="W1025" s="785">
        <f>IFERROR(VLOOKUP($Q1025,'391'!$S:$AG,15,0),0)</f>
        <v>505.36</v>
      </c>
      <c r="X1025" s="1090">
        <f t="shared" si="634"/>
        <v>-157.72000000000025</v>
      </c>
      <c r="Y1025" s="785"/>
      <c r="Z1025" s="785"/>
      <c r="AA1025" s="797"/>
      <c r="AB1025" s="797"/>
      <c r="AC1025" s="551"/>
      <c r="AD1025" s="551"/>
      <c r="AE1025" s="551"/>
      <c r="AF1025" s="551"/>
      <c r="AG1025" s="551"/>
      <c r="AH1025" s="551"/>
      <c r="AI1025" s="704"/>
      <c r="AJ1025" s="704"/>
      <c r="AK1025" s="704"/>
      <c r="AL1025" s="704"/>
      <c r="AM1025" s="704"/>
      <c r="AN1025" s="704"/>
      <c r="AO1025" s="704"/>
      <c r="AP1025" s="704"/>
      <c r="AQ1025" s="704"/>
      <c r="AR1025" s="704"/>
      <c r="AS1025" s="704"/>
    </row>
    <row r="1026" spans="1:45" s="409" customFormat="1" ht="30" hidden="1" customHeight="1" x14ac:dyDescent="0.25">
      <c r="A1026" s="2024" t="str">
        <f>IF(L1031=0,"",MAX($A$16:A1025)+1)</f>
        <v/>
      </c>
      <c r="B1026" s="2046" t="s">
        <v>595</v>
      </c>
      <c r="C1026" s="158" t="s">
        <v>248</v>
      </c>
      <c r="D1026" s="881" t="s">
        <v>10</v>
      </c>
      <c r="E1026" s="882">
        <v>45957</v>
      </c>
      <c r="F1026" s="71">
        <f>$L$7-E1026</f>
        <v>304</v>
      </c>
      <c r="G1026" s="64">
        <v>0</v>
      </c>
      <c r="H1026" s="64"/>
      <c r="I1026" s="64"/>
      <c r="J1026" s="1367"/>
      <c r="K1026" s="63">
        <f>IFERROR(SUMIF(INTAKE!$A:$A,$T1026,INTAKE!$P:$P),0)</f>
        <v>0</v>
      </c>
      <c r="L1026" s="1712">
        <f t="shared" ref="L1026:L1041" si="638">+G1026+H1026+I1026-J1026-K1026</f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>$Q$1031&amp;C1026&amp;E1026</f>
        <v>Biofil Yellow 2%Y4.145957</v>
      </c>
      <c r="U1026" s="797"/>
      <c r="V1026" s="797"/>
      <c r="W1026" s="785">
        <f>IFERROR(VLOOKUP($Q1026,'391'!$S:$AG,15,0),0)</f>
        <v>0</v>
      </c>
      <c r="X1026" s="1090">
        <f t="shared" si="634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5"/>
      <c r="B1027" s="2068"/>
      <c r="C1027" s="158"/>
      <c r="D1027" s="881" t="s">
        <v>10</v>
      </c>
      <c r="E1027" s="882">
        <v>44133</v>
      </c>
      <c r="F1027" s="71">
        <f>$L$7-E1027</f>
        <v>2128</v>
      </c>
      <c r="G1027" s="64">
        <v>0</v>
      </c>
      <c r="H1027" s="64"/>
      <c r="I1027" s="64"/>
      <c r="J1027" s="1367"/>
      <c r="K1027" s="64"/>
      <c r="L1027" s="1534">
        <f t="shared" si="638"/>
        <v>0</v>
      </c>
      <c r="M1027" s="377"/>
      <c r="N1027" s="176"/>
      <c r="O1027" s="46"/>
      <c r="P1027" s="748"/>
      <c r="Q1027" s="795"/>
      <c r="R1027" s="785">
        <f>IFERROR(VLOOKUP($Q1027,'391'!$S:$Z,8,0),"")</f>
        <v>0</v>
      </c>
      <c r="S1027" s="796"/>
      <c r="T1027" s="797" t="str">
        <f t="shared" ref="T1027:T1030" si="639">$Q$1031&amp;C1027&amp;E1027</f>
        <v>Biofil Yellow 2%44133</v>
      </c>
      <c r="U1027" s="797"/>
      <c r="V1027" s="797"/>
      <c r="W1027" s="785">
        <f>IFERROR(VLOOKUP($Q1027,'391'!$S:$AG,15,0),0)</f>
        <v>0</v>
      </c>
      <c r="X1027" s="1090">
        <f t="shared" si="634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9" customFormat="1" ht="30" hidden="1" customHeight="1" x14ac:dyDescent="0.25">
      <c r="A1028" s="2025"/>
      <c r="B1028" s="2068"/>
      <c r="C1028" s="158"/>
      <c r="D1028" s="881" t="s">
        <v>10</v>
      </c>
      <c r="E1028" s="882">
        <v>44133</v>
      </c>
      <c r="F1028" s="71">
        <f>$L$7-E1028</f>
        <v>2128</v>
      </c>
      <c r="G1028" s="64">
        <v>0</v>
      </c>
      <c r="H1028" s="64"/>
      <c r="I1028" s="64"/>
      <c r="J1028" s="1367"/>
      <c r="K1028" s="64"/>
      <c r="L1028" s="1534">
        <f t="shared" si="638"/>
        <v>0</v>
      </c>
      <c r="M1028" s="377"/>
      <c r="N1028" s="176"/>
      <c r="O1028" s="46"/>
      <c r="P1028" s="748"/>
      <c r="Q1028" s="795"/>
      <c r="R1028" s="785">
        <f>IFERROR(VLOOKUP($Q1028,'391'!$S:$Z,8,0),"")</f>
        <v>0</v>
      </c>
      <c r="S1028" s="796"/>
      <c r="T1028" s="797" t="str">
        <f t="shared" si="639"/>
        <v>Biofil Yellow 2%44133</v>
      </c>
      <c r="U1028" s="797"/>
      <c r="V1028" s="797"/>
      <c r="W1028" s="785">
        <f>IFERROR(VLOOKUP($Q1028,'391'!$S:$AG,15,0),0)</f>
        <v>0</v>
      </c>
      <c r="X1028" s="1090">
        <f t="shared" si="634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409" customFormat="1" ht="30" hidden="1" customHeight="1" x14ac:dyDescent="0.25">
      <c r="A1029" s="2025"/>
      <c r="B1029" s="2068"/>
      <c r="C1029" s="158"/>
      <c r="D1029" s="881" t="s">
        <v>10</v>
      </c>
      <c r="E1029" s="882">
        <v>42962</v>
      </c>
      <c r="F1029" s="71">
        <f>$L$7-E1029</f>
        <v>3299</v>
      </c>
      <c r="G1029" s="64">
        <v>0</v>
      </c>
      <c r="H1029" s="64"/>
      <c r="I1029" s="64"/>
      <c r="J1029" s="1367"/>
      <c r="K1029" s="64"/>
      <c r="L1029" s="1534">
        <f t="shared" si="638"/>
        <v>0</v>
      </c>
      <c r="M1029" s="373"/>
      <c r="N1029" s="163"/>
      <c r="O1029" s="48"/>
      <c r="P1029" s="750"/>
      <c r="Q1029" s="795"/>
      <c r="R1029" s="785">
        <f>IFERROR(VLOOKUP($Q1029,'391'!$S:$Z,8,0),"")</f>
        <v>0</v>
      </c>
      <c r="S1029" s="796"/>
      <c r="T1029" s="797" t="str">
        <f t="shared" si="639"/>
        <v>Biofil Yellow 2%42962</v>
      </c>
      <c r="U1029" s="797"/>
      <c r="V1029" s="797"/>
      <c r="W1029" s="785">
        <f>IFERROR(VLOOKUP($Q1029,'391'!$S:$AG,15,0),0)</f>
        <v>0</v>
      </c>
      <c r="X1029" s="1090">
        <f t="shared" si="634"/>
        <v>0</v>
      </c>
      <c r="Y1029" s="785"/>
      <c r="Z1029" s="785"/>
      <c r="AA1029" s="797"/>
      <c r="AB1029" s="797"/>
      <c r="AC1029" s="681"/>
      <c r="AD1029" s="681"/>
      <c r="AE1029" s="681"/>
      <c r="AF1029" s="681"/>
      <c r="AG1029" s="681"/>
      <c r="AH1029" s="681"/>
      <c r="AI1029" s="703"/>
      <c r="AJ1029" s="703"/>
      <c r="AK1029" s="703"/>
      <c r="AL1029" s="703"/>
      <c r="AM1029" s="703"/>
      <c r="AN1029" s="703"/>
      <c r="AO1029" s="703"/>
      <c r="AP1029" s="703"/>
      <c r="AQ1029" s="703"/>
      <c r="AR1029" s="703"/>
      <c r="AS1029" s="703"/>
    </row>
    <row r="1030" spans="1:45" s="401" customFormat="1" ht="30" hidden="1" customHeight="1" x14ac:dyDescent="0.25">
      <c r="A1030" s="2026"/>
      <c r="B1030" s="2047"/>
      <c r="C1030" s="128" t="s">
        <v>46</v>
      </c>
      <c r="D1030" s="863" t="s">
        <v>10</v>
      </c>
      <c r="E1030" s="993">
        <v>45957</v>
      </c>
      <c r="F1030" s="39">
        <f>$L$7-E1030</f>
        <v>304</v>
      </c>
      <c r="G1030" s="37">
        <v>0</v>
      </c>
      <c r="H1030" s="37"/>
      <c r="I1030" s="37">
        <f>SUM(K1026:K1027)</f>
        <v>0</v>
      </c>
      <c r="J1030" s="1385">
        <f>usage!I88</f>
        <v>0</v>
      </c>
      <c r="K1030" s="37"/>
      <c r="L1030" s="1534">
        <f t="shared" si="638"/>
        <v>0</v>
      </c>
      <c r="M1030" s="378"/>
      <c r="N1030" s="87"/>
      <c r="O1030" s="35"/>
      <c r="P1030" s="751"/>
      <c r="Q1030" s="795"/>
      <c r="R1030" s="785">
        <f>IFERROR(VLOOKUP($Q1030,'391'!$S:$Z,8,0),"")</f>
        <v>0</v>
      </c>
      <c r="S1030" s="796"/>
      <c r="T1030" s="797" t="str">
        <f t="shared" si="639"/>
        <v>Biofil Yellow 2%Feedmill45957</v>
      </c>
      <c r="U1030" s="797"/>
      <c r="V1030" s="797"/>
      <c r="W1030" s="785">
        <f>IFERROR(VLOOKUP($Q1030,'391'!$S:$AG,15,0),0)</f>
        <v>0</v>
      </c>
      <c r="X1030" s="1090">
        <f t="shared" si="634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265" customFormat="1" ht="30" hidden="1" customHeight="1" x14ac:dyDescent="0.25">
      <c r="A1031" s="2204" t="s">
        <v>328</v>
      </c>
      <c r="B1031" s="2023"/>
      <c r="C1031" s="88"/>
      <c r="D1031" s="930"/>
      <c r="E1031" s="930"/>
      <c r="F1031" s="931"/>
      <c r="G1031" s="1297">
        <v>0</v>
      </c>
      <c r="H1031" s="1297">
        <f t="shared" ref="H1031:L1031" si="640">SUM(H1026:H1030)</f>
        <v>0</v>
      </c>
      <c r="I1031" s="1297">
        <f t="shared" si="640"/>
        <v>0</v>
      </c>
      <c r="J1031" s="1297">
        <f t="shared" si="640"/>
        <v>0</v>
      </c>
      <c r="K1031" s="1297">
        <f t="shared" si="640"/>
        <v>0</v>
      </c>
      <c r="L1031" s="1297">
        <f t="shared" si="640"/>
        <v>0</v>
      </c>
      <c r="M1031" s="982"/>
      <c r="N1031" s="854">
        <f>IFERROR(L1031/M1031,0)</f>
        <v>0</v>
      </c>
      <c r="O1031" s="982"/>
      <c r="P1031" s="880">
        <f>IFERROR(L1031/O1031,0)</f>
        <v>0</v>
      </c>
      <c r="Q1031" s="666" t="s">
        <v>595</v>
      </c>
      <c r="R1031" s="785" t="str">
        <f>IFERROR(VLOOKUP($Q1031,'391'!$S:$Z,8,0),"")</f>
        <v/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4"/>
        <v>0</v>
      </c>
      <c r="Y1031" s="785"/>
      <c r="Z1031" s="785"/>
      <c r="AA1031" s="797"/>
      <c r="AB1031" s="797"/>
      <c r="AC1031" s="551"/>
      <c r="AD1031" s="551"/>
      <c r="AE1031" s="551"/>
      <c r="AF1031" s="551"/>
      <c r="AG1031" s="551"/>
      <c r="AH1031" s="551"/>
      <c r="AI1031" s="704"/>
      <c r="AJ1031" s="704"/>
      <c r="AK1031" s="704"/>
      <c r="AL1031" s="704"/>
      <c r="AM1031" s="704"/>
      <c r="AN1031" s="704"/>
      <c r="AO1031" s="704"/>
      <c r="AP1031" s="704"/>
      <c r="AQ1031" s="704"/>
      <c r="AR1031" s="704"/>
      <c r="AS1031" s="704"/>
    </row>
    <row r="1032" spans="1:45" s="409" customFormat="1" ht="30" hidden="1" customHeight="1" x14ac:dyDescent="0.25">
      <c r="A1032" s="2024" t="str">
        <f>IF(L1036=0,"",MAX($A$16:A1031)+1)</f>
        <v/>
      </c>
      <c r="B1032" s="2046" t="s">
        <v>536</v>
      </c>
      <c r="C1032" s="243" t="s">
        <v>287</v>
      </c>
      <c r="D1032" s="987" t="s">
        <v>10</v>
      </c>
      <c r="E1032" s="988">
        <v>43944</v>
      </c>
      <c r="F1032" s="994">
        <f>$L$7-E1032</f>
        <v>2317</v>
      </c>
      <c r="G1032" s="1409">
        <v>0</v>
      </c>
      <c r="H1032" s="1370"/>
      <c r="I1032" s="1370"/>
      <c r="J1032" s="1371"/>
      <c r="K1032" s="1370"/>
      <c r="L1032" s="1534">
        <f t="shared" si="638"/>
        <v>0</v>
      </c>
      <c r="M1032" s="377"/>
      <c r="N1032" s="176"/>
      <c r="O1032" s="377"/>
      <c r="P1032" s="744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4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5"/>
      <c r="B1033" s="2068"/>
      <c r="C1033" s="243"/>
      <c r="D1033" s="987"/>
      <c r="E1033" s="988"/>
      <c r="F1033" s="994"/>
      <c r="G1033" s="1409">
        <v>0</v>
      </c>
      <c r="H1033" s="1370"/>
      <c r="I1033" s="1370"/>
      <c r="J1033" s="1371"/>
      <c r="K1033" s="1370"/>
      <c r="L1033" s="1534">
        <f t="shared" si="638"/>
        <v>0</v>
      </c>
      <c r="M1033" s="377"/>
      <c r="N1033" s="176"/>
      <c r="O1033" s="377"/>
      <c r="P1033" s="73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4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409" customFormat="1" ht="30" hidden="1" customHeight="1" x14ac:dyDescent="0.25">
      <c r="A1034" s="2025"/>
      <c r="B1034" s="2068"/>
      <c r="C1034" s="243" t="s">
        <v>287</v>
      </c>
      <c r="D1034" s="987" t="s">
        <v>10</v>
      </c>
      <c r="E1034" s="988">
        <v>43944</v>
      </c>
      <c r="F1034" s="994">
        <f>$L$7-E1034</f>
        <v>2317</v>
      </c>
      <c r="G1034" s="1409">
        <v>0</v>
      </c>
      <c r="H1034" s="1370"/>
      <c r="I1034" s="1370"/>
      <c r="J1034" s="1371"/>
      <c r="K1034" s="1370"/>
      <c r="L1034" s="1534">
        <f t="shared" si="638"/>
        <v>0</v>
      </c>
      <c r="M1034" s="373"/>
      <c r="N1034" s="163"/>
      <c r="O1034" s="48"/>
      <c r="P1034" s="738"/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4"/>
        <v>0</v>
      </c>
      <c r="Y1034" s="785"/>
      <c r="Z1034" s="785"/>
      <c r="AA1034" s="797"/>
      <c r="AB1034" s="797"/>
      <c r="AC1034" s="681"/>
      <c r="AD1034" s="681"/>
      <c r="AE1034" s="681"/>
      <c r="AF1034" s="681"/>
      <c r="AG1034" s="681"/>
      <c r="AH1034" s="681"/>
      <c r="AI1034" s="703"/>
      <c r="AJ1034" s="703"/>
      <c r="AK1034" s="703"/>
      <c r="AL1034" s="703"/>
      <c r="AM1034" s="703"/>
      <c r="AN1034" s="703"/>
      <c r="AO1034" s="703"/>
      <c r="AP1034" s="703"/>
      <c r="AQ1034" s="703"/>
      <c r="AR1034" s="703"/>
      <c r="AS1034" s="703"/>
    </row>
    <row r="1035" spans="1:45" s="409" customFormat="1" ht="30" hidden="1" customHeight="1" x14ac:dyDescent="0.25">
      <c r="A1035" s="2025"/>
      <c r="B1035" s="2068"/>
      <c r="C1035" s="388" t="s">
        <v>46</v>
      </c>
      <c r="D1035" s="995" t="s">
        <v>10</v>
      </c>
      <c r="E1035" s="996">
        <v>43944</v>
      </c>
      <c r="F1035" s="997">
        <f>$L$7-E1035</f>
        <v>2317</v>
      </c>
      <c r="G1035" s="1376">
        <v>0</v>
      </c>
      <c r="H1035" s="1376"/>
      <c r="I1035" s="1376">
        <f>K1032+K1034+K1033</f>
        <v>0</v>
      </c>
      <c r="J1035" s="1377">
        <f>usage!I89</f>
        <v>0</v>
      </c>
      <c r="K1035" s="1376"/>
      <c r="L1035" s="1534">
        <f t="shared" si="638"/>
        <v>0</v>
      </c>
      <c r="M1035" s="373"/>
      <c r="N1035" s="373"/>
      <c r="O1035" s="1456"/>
      <c r="P1035" s="754"/>
      <c r="Q1035" s="795"/>
      <c r="R1035" s="785">
        <f>IFERROR(VLOOKUP($Q1035,'391'!$S:$Z,8,0),"")</f>
        <v>0</v>
      </c>
      <c r="S1035" s="796"/>
      <c r="T1035" s="797"/>
      <c r="U1035" s="797"/>
      <c r="V1035" s="797"/>
      <c r="W1035" s="785">
        <f>IFERROR(VLOOKUP($Q1035,'391'!$S:$AG,15,0),0)</f>
        <v>0</v>
      </c>
      <c r="X1035" s="1090">
        <f t="shared" si="634"/>
        <v>0</v>
      </c>
      <c r="Y1035" s="785"/>
      <c r="Z1035" s="785"/>
      <c r="AA1035" s="797"/>
      <c r="AB1035" s="797"/>
      <c r="AC1035" s="681"/>
      <c r="AD1035" s="681"/>
      <c r="AE1035" s="681"/>
      <c r="AF1035" s="681"/>
      <c r="AG1035" s="681"/>
      <c r="AH1035" s="681"/>
      <c r="AI1035" s="703"/>
      <c r="AJ1035" s="703"/>
      <c r="AK1035" s="703"/>
      <c r="AL1035" s="703"/>
      <c r="AM1035" s="703"/>
      <c r="AN1035" s="703"/>
      <c r="AO1035" s="703"/>
      <c r="AP1035" s="703"/>
      <c r="AQ1035" s="703"/>
      <c r="AR1035" s="703"/>
      <c r="AS1035" s="703"/>
    </row>
    <row r="1036" spans="1:45" s="265" customFormat="1" ht="30" hidden="1" customHeight="1" x14ac:dyDescent="0.25">
      <c r="A1036" s="2022" t="s">
        <v>537</v>
      </c>
      <c r="B1036" s="2023"/>
      <c r="C1036" s="88"/>
      <c r="D1036" s="864"/>
      <c r="E1036" s="864"/>
      <c r="F1036" s="865"/>
      <c r="G1036" s="1297">
        <v>0</v>
      </c>
      <c r="H1036" s="1297">
        <f t="shared" ref="H1036:I1036" si="641">SUM(H1032:H1035)</f>
        <v>0</v>
      </c>
      <c r="I1036" s="1297">
        <f t="shared" si="641"/>
        <v>0</v>
      </c>
      <c r="J1036" s="1297">
        <f t="shared" ref="J1036:K1036" si="642">SUM(J1032:J1035)</f>
        <v>0</v>
      </c>
      <c r="K1036" s="1297">
        <f t="shared" si="642"/>
        <v>0</v>
      </c>
      <c r="L1036" s="1534">
        <f t="shared" si="638"/>
        <v>0</v>
      </c>
      <c r="M1036" s="982"/>
      <c r="N1036" s="854">
        <f>IFERROR(L1036/M1036,0)</f>
        <v>0</v>
      </c>
      <c r="O1036" s="982"/>
      <c r="P1036" s="880">
        <f>IFERROR(L1036/O1036,0)</f>
        <v>0</v>
      </c>
      <c r="Q1036" s="795"/>
      <c r="R1036" s="785">
        <f>IFERROR(VLOOKUP($Q1036,'391'!$S:$Z,8,0),"")</f>
        <v>0</v>
      </c>
      <c r="S1036" s="796"/>
      <c r="T1036" s="797"/>
      <c r="U1036" s="797"/>
      <c r="V1036" s="797"/>
      <c r="W1036" s="785">
        <f>IFERROR(VLOOKUP($Q1036,'391'!$S:$AG,15,0),0)</f>
        <v>0</v>
      </c>
      <c r="X1036" s="1090">
        <f t="shared" si="634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4">
        <f>IF(L1042=0,"",MAX($A$16:A1025)+1)</f>
        <v>69</v>
      </c>
      <c r="B1037" s="2046" t="s">
        <v>560</v>
      </c>
      <c r="C1037" s="243" t="s">
        <v>601</v>
      </c>
      <c r="D1037" s="987" t="s">
        <v>10</v>
      </c>
      <c r="E1037" s="988">
        <v>46231</v>
      </c>
      <c r="F1037" s="994">
        <f>$L$7-E1037</f>
        <v>30</v>
      </c>
      <c r="G1037" s="1409">
        <v>1875</v>
      </c>
      <c r="H1037" s="1370"/>
      <c r="I1037" s="1370"/>
      <c r="J1037" s="1371"/>
      <c r="K1037" s="1370">
        <f>IFERROR(SUMIF(INTAKE!$A:$A,$T1037,INTAKE!$P:$P),0)</f>
        <v>75</v>
      </c>
      <c r="L1037" s="1703">
        <f t="shared" si="638"/>
        <v>1800</v>
      </c>
      <c r="M1037" s="377"/>
      <c r="N1037" s="176"/>
      <c r="O1037" s="377"/>
      <c r="P1037" s="744"/>
      <c r="Q1037" s="795"/>
      <c r="R1037" s="785">
        <f>IFERROR(VLOOKUP($Q1037,'391'!$S:$Z,8,0),"")</f>
        <v>0</v>
      </c>
      <c r="S1037" s="796"/>
      <c r="T1037" s="797" t="str">
        <f>$Q$1042&amp;C1037&amp;E1037</f>
        <v>Leader Yellow (China)Z4.146231</v>
      </c>
      <c r="U1037" s="797"/>
      <c r="V1037" s="797"/>
      <c r="W1037" s="785">
        <f>IFERROR(VLOOKUP($Q1037,'391'!$S:$AG,15,0),0)</f>
        <v>0</v>
      </c>
      <c r="X1037" s="1090">
        <f t="shared" si="634"/>
        <v>1875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25"/>
      <c r="B1038" s="2068"/>
      <c r="C1038" s="243"/>
      <c r="D1038" s="987" t="s">
        <v>10</v>
      </c>
      <c r="E1038" s="988">
        <v>46231</v>
      </c>
      <c r="F1038" s="994">
        <f>$L$7-E1038</f>
        <v>30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703">
        <f t="shared" si="638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$Q$1042&amp;C1038&amp;E1038</f>
        <v>Leader Yellow (China)46231</v>
      </c>
      <c r="U1038" s="797"/>
      <c r="V1038" s="797"/>
      <c r="W1038" s="785">
        <f>IFERROR(VLOOKUP($Q1038,'391'!$S:$AG,15,0),0)</f>
        <v>0</v>
      </c>
      <c r="X1038" s="1090">
        <f t="shared" si="634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hidden="1" customHeight="1" x14ac:dyDescent="0.25">
      <c r="A1039" s="2025"/>
      <c r="B1039" s="2068"/>
      <c r="C1039" s="243"/>
      <c r="D1039" s="987" t="s">
        <v>10</v>
      </c>
      <c r="E1039" s="988">
        <v>46192</v>
      </c>
      <c r="F1039" s="994">
        <f>$L$7-E1039</f>
        <v>69</v>
      </c>
      <c r="G1039" s="1409">
        <v>0</v>
      </c>
      <c r="H1039" s="1370"/>
      <c r="I1039" s="1370"/>
      <c r="J1039" s="1371"/>
      <c r="K1039" s="1370">
        <f>IFERROR(SUMIF(INTAKE!$A:$A,$T1039,INTAKE!$P:$P),0)</f>
        <v>0</v>
      </c>
      <c r="L1039" s="1703">
        <f t="shared" si="638"/>
        <v>0</v>
      </c>
      <c r="M1039" s="373"/>
      <c r="N1039" s="163"/>
      <c r="O1039" s="48"/>
      <c r="P1039" s="738"/>
      <c r="Q1039" s="795"/>
      <c r="R1039" s="785">
        <f>IFERROR(VLOOKUP($Q1039,'391'!$S:$Z,8,0),"")</f>
        <v>0</v>
      </c>
      <c r="S1039" s="796"/>
      <c r="T1039" s="797" t="str">
        <f>$Q$1042&amp;C1039&amp;E1039</f>
        <v>Leader Yellow (China)46192</v>
      </c>
      <c r="U1039" s="797"/>
      <c r="V1039" s="797"/>
      <c r="W1039" s="785">
        <f>IFERROR(VLOOKUP($Q1039,'391'!$S:$AG,15,0),0)</f>
        <v>0</v>
      </c>
      <c r="X1039" s="1090">
        <f t="shared" si="634"/>
        <v>0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hidden="1" customHeight="1" x14ac:dyDescent="0.25">
      <c r="A1040" s="2025"/>
      <c r="B1040" s="2072"/>
      <c r="C1040" s="243"/>
      <c r="D1040" s="987" t="s">
        <v>10</v>
      </c>
      <c r="E1040" s="988">
        <v>45278</v>
      </c>
      <c r="F1040" s="994">
        <f>$L$7-E1040</f>
        <v>983</v>
      </c>
      <c r="G1040" s="1409">
        <v>0</v>
      </c>
      <c r="H1040" s="1370"/>
      <c r="I1040" s="1370"/>
      <c r="J1040" s="1371"/>
      <c r="K1040" s="1370">
        <f>IFERROR(SUMIF(INTAKE!$A:$A,$T1040,INTAKE!$P:$P),0)</f>
        <v>0</v>
      </c>
      <c r="L1040" s="1534">
        <f t="shared" si="638"/>
        <v>0</v>
      </c>
      <c r="M1040" s="373"/>
      <c r="N1040" s="163"/>
      <c r="O1040" s="48"/>
      <c r="P1040" s="738"/>
      <c r="Q1040" s="795"/>
      <c r="R1040" s="785">
        <f>IFERROR(VLOOKUP($Q1040,'391'!$S:$Z,8,0),"")</f>
        <v>0</v>
      </c>
      <c r="S1040" s="796"/>
      <c r="T1040" s="797" t="str">
        <f>$Q$1042&amp;C1040&amp;E1040</f>
        <v>Leader Yellow (China)45278</v>
      </c>
      <c r="U1040" s="797"/>
      <c r="V1040" s="797"/>
      <c r="W1040" s="785">
        <f>IFERROR(VLOOKUP($Q1040,'391'!$S:$AG,15,0),0)</f>
        <v>0</v>
      </c>
      <c r="X1040" s="1090">
        <f t="shared" si="634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265" customFormat="1" ht="30" customHeight="1" x14ac:dyDescent="0.25">
      <c r="A1041" s="2025"/>
      <c r="B1041" s="2068"/>
      <c r="C1041" s="388" t="s">
        <v>46</v>
      </c>
      <c r="D1041" s="995" t="s">
        <v>10</v>
      </c>
      <c r="E1041" s="996">
        <v>46231</v>
      </c>
      <c r="F1041" s="997">
        <f>$L$7-E1041</f>
        <v>30</v>
      </c>
      <c r="G1041" s="1376">
        <v>117.79999999999998</v>
      </c>
      <c r="H1041" s="1376"/>
      <c r="I1041" s="1376">
        <f>K1037+K1039+K1038</f>
        <v>75</v>
      </c>
      <c r="J1041" s="1377">
        <f>usage!I90</f>
        <v>75.599999999999994</v>
      </c>
      <c r="K1041" s="1370">
        <f>IFERROR(SUMIF(INTAKE!$A:$A,$T1041,INTAKE!$P:$P),0)</f>
        <v>0</v>
      </c>
      <c r="L1041" s="1534">
        <f t="shared" si="638"/>
        <v>117.19999999999999</v>
      </c>
      <c r="M1041" s="373"/>
      <c r="N1041" s="373"/>
      <c r="O1041" s="1456"/>
      <c r="P1041" s="754"/>
      <c r="Q1041" s="795"/>
      <c r="R1041" s="785">
        <f>IFERROR(VLOOKUP($Q1041,'391'!$S:$Z,8,0),"")</f>
        <v>0</v>
      </c>
      <c r="S1041" s="796"/>
      <c r="T1041" s="797" t="str">
        <f>$Q$1042&amp;C1041&amp;E1041</f>
        <v>Leader Yellow (China)Feedmill46231</v>
      </c>
      <c r="U1041" s="797"/>
      <c r="V1041" s="797"/>
      <c r="W1041" s="785">
        <f>IFERROR(VLOOKUP($Q1041,'391'!$S:$AG,15,0),0)</f>
        <v>0</v>
      </c>
      <c r="X1041" s="1090">
        <f t="shared" si="634"/>
        <v>117.79999999999998</v>
      </c>
      <c r="Y1041" s="785"/>
      <c r="Z1041" s="785"/>
      <c r="AA1041" s="797"/>
      <c r="AB1041" s="797"/>
      <c r="AC1041" s="551"/>
      <c r="AD1041" s="551"/>
      <c r="AE1041" s="551"/>
      <c r="AF1041" s="551"/>
      <c r="AG1041" s="551"/>
      <c r="AH1041" s="551"/>
      <c r="AI1041" s="704"/>
      <c r="AJ1041" s="704"/>
      <c r="AK1041" s="704"/>
      <c r="AL1041" s="704"/>
      <c r="AM1041" s="704"/>
      <c r="AN1041" s="704"/>
      <c r="AO1041" s="704"/>
      <c r="AP1041" s="704"/>
      <c r="AQ1041" s="704"/>
      <c r="AR1041" s="704"/>
      <c r="AS1041" s="704"/>
    </row>
    <row r="1042" spans="1:45" s="265" customFormat="1" ht="30" customHeight="1" x14ac:dyDescent="0.25">
      <c r="A1042" s="845"/>
      <c r="B1042" s="846" t="s">
        <v>561</v>
      </c>
      <c r="C1042" s="88"/>
      <c r="D1042" s="864"/>
      <c r="E1042" s="864"/>
      <c r="F1042" s="865"/>
      <c r="G1042" s="1297">
        <v>1992.8</v>
      </c>
      <c r="H1042" s="1297">
        <f t="shared" ref="H1042:I1042" si="643">SUM(H1037:H1041)</f>
        <v>0</v>
      </c>
      <c r="I1042" s="1297">
        <f t="shared" si="643"/>
        <v>75</v>
      </c>
      <c r="J1042" s="1297">
        <f t="shared" ref="J1042:L1042" si="644">SUM(J1037:J1041)</f>
        <v>75.599999999999994</v>
      </c>
      <c r="K1042" s="1297">
        <f t="shared" si="644"/>
        <v>75</v>
      </c>
      <c r="L1042" s="1297">
        <f t="shared" si="644"/>
        <v>1917.2</v>
      </c>
      <c r="M1042" s="982">
        <f>IFERROR((R1042/$S$2),"")</f>
        <v>56.699999999999996</v>
      </c>
      <c r="N1042" s="854">
        <f>IFERROR(L1042/M1042,0)</f>
        <v>33.813051146384481</v>
      </c>
      <c r="O1042" s="982">
        <f>IFERROR(SUMIF(ETM!$A:$A,$Q1042,ETM!$E:$E),"")</f>
        <v>102.83333333333333</v>
      </c>
      <c r="P1042" s="880">
        <f>IFERROR(L1042/O1042,0)</f>
        <v>18.643760129659643</v>
      </c>
      <c r="Q1042" s="814" t="s">
        <v>674</v>
      </c>
      <c r="R1042" s="785">
        <f>IFERROR(VLOOKUP($Q1042,'391'!$S:$Z,8,0),"")</f>
        <v>340.2</v>
      </c>
      <c r="S1042" s="796"/>
      <c r="T1042" s="797"/>
      <c r="U1042" s="797"/>
      <c r="V1042" s="797"/>
      <c r="W1042" s="785">
        <f>IFERROR(VLOOKUP($Q1042,'391'!$S:$AG,15,0),0)</f>
        <v>2209.1</v>
      </c>
      <c r="X1042" s="1090">
        <f t="shared" si="634"/>
        <v>-216.29999999999995</v>
      </c>
      <c r="Y1042" s="785"/>
      <c r="Z1042" s="785"/>
      <c r="AA1042" s="797"/>
      <c r="AB1042" s="797"/>
      <c r="AC1042" s="551"/>
      <c r="AD1042" s="551"/>
      <c r="AE1042" s="551"/>
      <c r="AF1042" s="551"/>
      <c r="AG1042" s="551"/>
      <c r="AH1042" s="551"/>
      <c r="AI1042" s="704"/>
      <c r="AJ1042" s="704"/>
      <c r="AK1042" s="704"/>
      <c r="AL1042" s="704"/>
      <c r="AM1042" s="704"/>
      <c r="AN1042" s="704"/>
      <c r="AO1042" s="704"/>
      <c r="AP1042" s="704"/>
      <c r="AQ1042" s="704"/>
      <c r="AR1042" s="704"/>
      <c r="AS1042" s="704"/>
    </row>
    <row r="1043" spans="1:45" s="409" customFormat="1" ht="30" hidden="1" customHeight="1" x14ac:dyDescent="0.25">
      <c r="A1043" s="2024" t="str">
        <f>IF(L1050=0,"",MAX($A$16:A1042)+1)</f>
        <v/>
      </c>
      <c r="B1043" s="2027" t="s">
        <v>280</v>
      </c>
      <c r="C1043" s="143" t="s">
        <v>1249</v>
      </c>
      <c r="D1043" s="887" t="s">
        <v>10</v>
      </c>
      <c r="E1043" s="888">
        <v>45440</v>
      </c>
      <c r="F1043" s="70">
        <f t="shared" ref="F1043:F1049" si="645">$L$7-E1043</f>
        <v>821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ref="L1043:L1057" si="646">+G1043+H1043+I1043-J1043-K1043</f>
        <v>0</v>
      </c>
      <c r="M1043" s="376"/>
      <c r="N1043" s="167"/>
      <c r="O1043" s="50"/>
      <c r="P1043" s="747"/>
      <c r="Q1043" s="795"/>
      <c r="R1043" s="785">
        <f>IFERROR(VLOOKUP($Q1043,'391'!$S:$Z,8,0),"")</f>
        <v>0</v>
      </c>
      <c r="S1043" s="796"/>
      <c r="T1043" s="797" t="str">
        <f t="shared" ref="T1043:T1049" si="647">$Q$1050&amp;C1043&amp;E1043</f>
        <v>VersazymeE145440</v>
      </c>
      <c r="U1043" s="797"/>
      <c r="V1043" s="797"/>
      <c r="W1043" s="785">
        <f>IFERROR(VLOOKUP($Q1043,'391'!$S:$AG,15,0),0)</f>
        <v>0</v>
      </c>
      <c r="X1043" s="1090">
        <f t="shared" si="634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5"/>
      <c r="B1044" s="2028"/>
      <c r="C1044" s="143"/>
      <c r="D1044" s="887" t="s">
        <v>10</v>
      </c>
      <c r="E1044" s="888">
        <v>45440</v>
      </c>
      <c r="F1044" s="70">
        <f t="shared" si="645"/>
        <v>821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46"/>
        <v>0</v>
      </c>
      <c r="M1044" s="373"/>
      <c r="N1044" s="163"/>
      <c r="O1044" s="48"/>
      <c r="P1044" s="750"/>
      <c r="Q1044" s="795"/>
      <c r="R1044" s="785">
        <f>IFERROR(VLOOKUP($Q1044,'391'!$S:$Z,8,0),"")</f>
        <v>0</v>
      </c>
      <c r="S1044" s="796"/>
      <c r="T1044" s="797" t="str">
        <f t="shared" si="647"/>
        <v>Versazyme45440</v>
      </c>
      <c r="U1044" s="797"/>
      <c r="V1044" s="797"/>
      <c r="W1044" s="785">
        <f>IFERROR(VLOOKUP($Q1044,'391'!$S:$AG,15,0),0)</f>
        <v>0</v>
      </c>
      <c r="X1044" s="1090">
        <f t="shared" si="634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5"/>
      <c r="B1045" s="2028"/>
      <c r="C1045" s="143"/>
      <c r="D1045" s="887" t="s">
        <v>10</v>
      </c>
      <c r="E1045" s="888">
        <v>45415</v>
      </c>
      <c r="F1045" s="70">
        <f t="shared" si="645"/>
        <v>846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46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47"/>
        <v>Versazyme45415</v>
      </c>
      <c r="U1045" s="797"/>
      <c r="V1045" s="797"/>
      <c r="W1045" s="785">
        <f>IFERROR(VLOOKUP($Q1045,'391'!$S:$AG,15,0),0)</f>
        <v>0</v>
      </c>
      <c r="X1045" s="1090">
        <f t="shared" si="634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30" hidden="1" customHeight="1" x14ac:dyDescent="0.25">
      <c r="A1046" s="2025"/>
      <c r="B1046" s="2028"/>
      <c r="C1046" s="143"/>
      <c r="D1046" s="887" t="s">
        <v>10</v>
      </c>
      <c r="E1046" s="888">
        <v>45287</v>
      </c>
      <c r="F1046" s="70">
        <f t="shared" si="645"/>
        <v>974</v>
      </c>
      <c r="G1046" s="11">
        <v>0</v>
      </c>
      <c r="H1046" s="64"/>
      <c r="I1046" s="64"/>
      <c r="J1046" s="1378"/>
      <c r="K1046" s="64">
        <f>IFERROR(SUMIF(INTAKE!$A:$A,$T1046,INTAKE!$P:$P),0)</f>
        <v>0</v>
      </c>
      <c r="L1046" s="1534">
        <f t="shared" si="646"/>
        <v>0</v>
      </c>
      <c r="M1046" s="370"/>
      <c r="N1046" s="162"/>
      <c r="O1046" s="45"/>
      <c r="P1046" s="756"/>
      <c r="Q1046" s="795"/>
      <c r="R1046" s="785">
        <f>IFERROR(VLOOKUP($Q1046,'391'!$S:$Z,8,0),"")</f>
        <v>0</v>
      </c>
      <c r="S1046" s="796"/>
      <c r="T1046" s="797" t="str">
        <f t="shared" si="647"/>
        <v>Versazyme45287</v>
      </c>
      <c r="U1046" s="797"/>
      <c r="V1046" s="797"/>
      <c r="W1046" s="785">
        <f>IFERROR(VLOOKUP($Q1046,'391'!$S:$AG,15,0),0)</f>
        <v>0</v>
      </c>
      <c r="X1046" s="1090">
        <f t="shared" si="634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5"/>
      <c r="B1047" s="2028"/>
      <c r="C1047" s="143"/>
      <c r="D1047" s="887" t="s">
        <v>10</v>
      </c>
      <c r="E1047" s="888">
        <v>43642</v>
      </c>
      <c r="F1047" s="70">
        <f t="shared" si="645"/>
        <v>2619</v>
      </c>
      <c r="G1047" s="11">
        <v>0</v>
      </c>
      <c r="H1047" s="64"/>
      <c r="I1047" s="64"/>
      <c r="J1047" s="1378"/>
      <c r="K1047" s="64">
        <f>IFERROR(SUMIF(INTAKE!$A:$A,$T1047,INTAKE!$P:$P),0)</f>
        <v>0</v>
      </c>
      <c r="L1047" s="1534">
        <f t="shared" si="646"/>
        <v>0</v>
      </c>
      <c r="M1047" s="370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47"/>
        <v>Versazyme43642</v>
      </c>
      <c r="U1047" s="797"/>
      <c r="V1047" s="797"/>
      <c r="W1047" s="785">
        <f>IFERROR(VLOOKUP($Q1047,'391'!$S:$AG,15,0),0)</f>
        <v>0</v>
      </c>
      <c r="X1047" s="1090">
        <f t="shared" si="634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27" hidden="1" customHeight="1" x14ac:dyDescent="0.25">
      <c r="A1048" s="2025"/>
      <c r="B1048" s="2028"/>
      <c r="C1048" s="143"/>
      <c r="D1048" s="887" t="s">
        <v>10</v>
      </c>
      <c r="E1048" s="888">
        <v>42921</v>
      </c>
      <c r="F1048" s="70">
        <f t="shared" si="645"/>
        <v>3340</v>
      </c>
      <c r="G1048" s="11">
        <v>0</v>
      </c>
      <c r="H1048" s="11"/>
      <c r="I1048" s="11"/>
      <c r="J1048" s="1368"/>
      <c r="K1048" s="64">
        <f>IFERROR(SUMIF(INTAKE!$A:$A,$T1048,INTAKE!$P:$P),0)</f>
        <v>0</v>
      </c>
      <c r="L1048" s="1534">
        <f t="shared" si="646"/>
        <v>0</v>
      </c>
      <c r="M1048" s="379"/>
      <c r="N1048" s="920"/>
      <c r="O1048" s="1451"/>
      <c r="P1048" s="1477"/>
      <c r="Q1048" s="795"/>
      <c r="R1048" s="785">
        <f>IFERROR(VLOOKUP($Q1048,'391'!$S:$Z,8,0),"")</f>
        <v>0</v>
      </c>
      <c r="S1048" s="796"/>
      <c r="T1048" s="797" t="str">
        <f t="shared" si="647"/>
        <v>Versazyme42921</v>
      </c>
      <c r="U1048" s="797"/>
      <c r="V1048" s="797"/>
      <c r="W1048" s="785">
        <f>IFERROR(VLOOKUP($Q1048,'391'!$S:$AG,15,0),0)</f>
        <v>0</v>
      </c>
      <c r="X1048" s="1090">
        <f t="shared" si="634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5"/>
      <c r="B1049" s="2028"/>
      <c r="C1049" s="138" t="s">
        <v>46</v>
      </c>
      <c r="D1049" s="852" t="s">
        <v>10</v>
      </c>
      <c r="E1049" s="853">
        <v>45440</v>
      </c>
      <c r="F1049" s="73">
        <f t="shared" si="645"/>
        <v>821</v>
      </c>
      <c r="G1049" s="58">
        <v>0</v>
      </c>
      <c r="H1049" s="64"/>
      <c r="I1049" s="1214">
        <f>+SUM(K1043:K1045)</f>
        <v>0</v>
      </c>
      <c r="J1049" s="1369">
        <f>+usage!I87</f>
        <v>0</v>
      </c>
      <c r="K1049" s="64">
        <f>IFERROR(SUMIF(INTAKE!$A:$A,$T1049,INTAKE!$P:$P),0)</f>
        <v>0</v>
      </c>
      <c r="L1049" s="1534">
        <f t="shared" si="646"/>
        <v>0</v>
      </c>
      <c r="M1049" s="48"/>
      <c r="N1049" s="162"/>
      <c r="O1049" s="45"/>
      <c r="P1049" s="756"/>
      <c r="Q1049" s="795"/>
      <c r="R1049" s="785">
        <f>IFERROR(VLOOKUP($Q1049,'391'!$S:$Z,8,0),"")</f>
        <v>0</v>
      </c>
      <c r="S1049" s="796"/>
      <c r="T1049" s="797" t="str">
        <f t="shared" si="647"/>
        <v>VersazymeFeedmill45440</v>
      </c>
      <c r="U1049" s="797"/>
      <c r="V1049" s="797"/>
      <c r="W1049" s="785">
        <f>IFERROR(VLOOKUP($Q1049,'391'!$S:$AG,15,0),0)</f>
        <v>0</v>
      </c>
      <c r="X1049" s="1090">
        <f t="shared" si="634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2" t="s">
        <v>121</v>
      </c>
      <c r="B1050" s="2023"/>
      <c r="C1050" s="88"/>
      <c r="D1050" s="864"/>
      <c r="E1050" s="864"/>
      <c r="F1050" s="865"/>
      <c r="G1050" s="1297">
        <v>0</v>
      </c>
      <c r="H1050" s="1297">
        <f t="shared" ref="H1050:I1050" si="648">SUM(H1043:H1049)</f>
        <v>0</v>
      </c>
      <c r="I1050" s="1297">
        <f t="shared" si="648"/>
        <v>0</v>
      </c>
      <c r="J1050" s="1297">
        <f t="shared" ref="J1050:K1050" si="649">SUM(J1043:J1049)</f>
        <v>0</v>
      </c>
      <c r="K1050" s="1297">
        <f t="shared" si="649"/>
        <v>0</v>
      </c>
      <c r="L1050" s="1534">
        <f t="shared" si="646"/>
        <v>0</v>
      </c>
      <c r="M1050" s="982" t="str">
        <f>IFERROR((R1050/$S$2),"")</f>
        <v/>
      </c>
      <c r="N1050" s="854">
        <f>IFERROR(L1050/M1050,0)</f>
        <v>0</v>
      </c>
      <c r="O1050" s="982">
        <f>IFERROR(SUMIF(ETM!$A:$A,$Q1050,ETM!$E:$E),"")</f>
        <v>0</v>
      </c>
      <c r="P1050" s="880">
        <f>IFERROR(L1050/O1050,0)</f>
        <v>0</v>
      </c>
      <c r="Q1050" s="814" t="s">
        <v>374</v>
      </c>
      <c r="R1050" s="785" t="str">
        <f>IFERROR(VLOOKUP($Q1050,'391'!$S:$Z,8,0),"")</f>
        <v/>
      </c>
      <c r="S1050" s="796"/>
      <c r="T1050" s="797"/>
      <c r="U1050" s="797"/>
      <c r="V1050" s="797"/>
      <c r="W1050" s="785">
        <f>IFERROR(VLOOKUP($Q1050,'391'!$S:$AG,15,0),0)</f>
        <v>0</v>
      </c>
      <c r="X1050" s="1090">
        <f t="shared" si="634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4">
        <f>IF(L1058=0,"",MAX($A$16:A1050)+1)</f>
        <v>70</v>
      </c>
      <c r="B1051" s="2027" t="s">
        <v>2176</v>
      </c>
      <c r="C1051" s="127"/>
      <c r="D1051" s="881" t="s">
        <v>10</v>
      </c>
      <c r="E1051" s="882">
        <v>45128</v>
      </c>
      <c r="F1051" s="71">
        <f t="shared" ref="F1051:F1057" si="650">$L$7-E1051</f>
        <v>1133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534">
        <f t="shared" si="646"/>
        <v>0</v>
      </c>
      <c r="M1051" s="376"/>
      <c r="N1051" s="167"/>
      <c r="O1051" s="50"/>
      <c r="P1051" s="747"/>
      <c r="Q1051" s="795"/>
      <c r="R1051" s="785">
        <f>IFERROR(VLOOKUP($Q1051,'391'!$S:$Z,8,0),"")</f>
        <v>0</v>
      </c>
      <c r="S1051" s="796"/>
      <c r="T1051" s="797" t="str">
        <f t="shared" ref="T1051:T1057" si="651">$Q$1058&amp;C1051&amp;E1051</f>
        <v>Roxolin45128</v>
      </c>
      <c r="U1051" s="797"/>
      <c r="V1051" s="797"/>
      <c r="W1051" s="785">
        <f>IFERROR(VLOOKUP($Q1051,'391'!$S:$AG,15,0),0)</f>
        <v>0</v>
      </c>
      <c r="X1051" s="1090">
        <f t="shared" si="634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30" hidden="1" customHeight="1" x14ac:dyDescent="0.25">
      <c r="A1052" s="2025"/>
      <c r="B1052" s="2028"/>
      <c r="C1052" s="127"/>
      <c r="D1052" s="881" t="s">
        <v>10</v>
      </c>
      <c r="E1052" s="882">
        <v>45680</v>
      </c>
      <c r="F1052" s="71">
        <f t="shared" si="650"/>
        <v>581</v>
      </c>
      <c r="G1052" s="64">
        <v>0</v>
      </c>
      <c r="H1052" s="64"/>
      <c r="I1052" s="1410"/>
      <c r="J1052" s="1367"/>
      <c r="K1052" s="64">
        <f>IFERROR(SUMIF(INTAKE!$A:$A,$T1052,INTAKE!$P:$P),0)</f>
        <v>0</v>
      </c>
      <c r="L1052" s="1703">
        <f t="shared" si="646"/>
        <v>0</v>
      </c>
      <c r="M1052" s="377"/>
      <c r="N1052" s="176"/>
      <c r="O1052" s="46"/>
      <c r="P1052" s="748"/>
      <c r="Q1052" s="795"/>
      <c r="R1052" s="785">
        <f>IFERROR(VLOOKUP($Q1052,'391'!$S:$Z,8,0),"")</f>
        <v>0</v>
      </c>
      <c r="S1052" s="796"/>
      <c r="T1052" s="797" t="str">
        <f t="shared" si="651"/>
        <v>Roxolin45680</v>
      </c>
      <c r="U1052" s="797"/>
      <c r="V1052" s="797"/>
      <c r="W1052" s="785">
        <f>IFERROR(VLOOKUP($Q1052,'391'!$S:$AG,15,0),0)</f>
        <v>0</v>
      </c>
      <c r="X1052" s="1090">
        <f t="shared" si="634"/>
        <v>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hidden="1" customHeight="1" x14ac:dyDescent="0.25">
      <c r="A1053" s="2025"/>
      <c r="B1053" s="2028"/>
      <c r="C1053" s="1199"/>
      <c r="D1053" s="881" t="s">
        <v>10</v>
      </c>
      <c r="E1053" s="882">
        <v>45996</v>
      </c>
      <c r="F1053" s="71">
        <f t="shared" si="650"/>
        <v>265</v>
      </c>
      <c r="G1053" s="64">
        <v>0</v>
      </c>
      <c r="H1053" s="64"/>
      <c r="I1053" s="1410"/>
      <c r="J1053" s="1367"/>
      <c r="K1053" s="64">
        <f>IFERROR(SUMIF(INTAKE!$A:$A,$T1053,INTAKE!$P:$P),0)</f>
        <v>0</v>
      </c>
      <c r="L1053" s="1703">
        <f t="shared" si="646"/>
        <v>0</v>
      </c>
      <c r="M1053" s="373"/>
      <c r="N1053" s="163"/>
      <c r="O1053" s="48"/>
      <c r="P1053" s="750"/>
      <c r="Q1053" s="795"/>
      <c r="R1053" s="785">
        <f>IFERROR(VLOOKUP($Q1053,'391'!$S:$Z,8,0),"")</f>
        <v>0</v>
      </c>
      <c r="S1053" s="796"/>
      <c r="T1053" s="797" t="str">
        <f t="shared" si="651"/>
        <v>Roxolin45996</v>
      </c>
      <c r="U1053" s="797"/>
      <c r="V1053" s="797"/>
      <c r="W1053" s="785">
        <f>IFERROR(VLOOKUP($Q1053,'391'!$S:$AG,15,0),0)</f>
        <v>0</v>
      </c>
      <c r="X1053" s="1090">
        <f t="shared" si="634"/>
        <v>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28.5" customHeight="1" x14ac:dyDescent="0.25">
      <c r="A1054" s="2025"/>
      <c r="B1054" s="2028"/>
      <c r="C1054" s="1199" t="s">
        <v>1249</v>
      </c>
      <c r="D1054" s="881" t="s">
        <v>10</v>
      </c>
      <c r="E1054" s="882">
        <v>46225</v>
      </c>
      <c r="F1054" s="71">
        <f t="shared" si="650"/>
        <v>36</v>
      </c>
      <c r="G1054" s="64">
        <v>320</v>
      </c>
      <c r="H1054" s="64"/>
      <c r="I1054" s="1410"/>
      <c r="J1054" s="1367"/>
      <c r="K1054" s="64">
        <f>IFERROR(SUMIF(INTAKE!$A:$A,$T1054,INTAKE!$P:$P),0)</f>
        <v>0</v>
      </c>
      <c r="L1054" s="1703">
        <f t="shared" si="646"/>
        <v>320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1"/>
        <v>RoxolinE146225</v>
      </c>
      <c r="U1054" s="797"/>
      <c r="V1054" s="797"/>
      <c r="W1054" s="785">
        <f>IFERROR(VLOOKUP($Q1054,'391'!$S:$AG,15,0),0)</f>
        <v>0</v>
      </c>
      <c r="X1054" s="1090">
        <f t="shared" si="634"/>
        <v>320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9" customFormat="1" ht="30" customHeight="1" x14ac:dyDescent="0.25">
      <c r="A1055" s="2025"/>
      <c r="B1055" s="2028"/>
      <c r="C1055" s="1199" t="s">
        <v>1249</v>
      </c>
      <c r="D1055" s="881" t="s">
        <v>10</v>
      </c>
      <c r="E1055" s="882">
        <v>46254</v>
      </c>
      <c r="F1055" s="71">
        <f t="shared" ref="F1055" si="652">$L$7-E1055</f>
        <v>7</v>
      </c>
      <c r="G1055" s="64">
        <v>800</v>
      </c>
      <c r="H1055" s="64"/>
      <c r="I1055" s="1410"/>
      <c r="J1055" s="1367"/>
      <c r="K1055" s="64">
        <f>IFERROR(SUMIF(INTAKE!$A:$A,$T1055,INTAKE!$P:$P),0)</f>
        <v>0</v>
      </c>
      <c r="L1055" s="1712">
        <f t="shared" si="646"/>
        <v>800</v>
      </c>
      <c r="M1055" s="370"/>
      <c r="N1055" s="162"/>
      <c r="O1055" s="45"/>
      <c r="P1055" s="756"/>
      <c r="Q1055" s="795"/>
      <c r="R1055" s="785">
        <f>IFERROR(VLOOKUP($Q1055,'391'!$S:$Z,8,0),"")</f>
        <v>0</v>
      </c>
      <c r="S1055" s="796"/>
      <c r="T1055" s="797" t="str">
        <f t="shared" si="651"/>
        <v>RoxolinE146254</v>
      </c>
      <c r="U1055" s="797"/>
      <c r="V1055" s="797"/>
      <c r="W1055" s="785">
        <f>IFERROR(VLOOKUP($Q1055,'391'!$S:$AG,15,0),0)</f>
        <v>0</v>
      </c>
      <c r="X1055" s="1090">
        <f t="shared" si="634"/>
        <v>800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409" customFormat="1" ht="30" hidden="1" customHeight="1" x14ac:dyDescent="0.25">
      <c r="A1056" s="2025"/>
      <c r="B1056" s="2111"/>
      <c r="C1056" s="1199"/>
      <c r="D1056" s="881" t="s">
        <v>10</v>
      </c>
      <c r="E1056" s="882">
        <v>45821</v>
      </c>
      <c r="F1056" s="71">
        <f t="shared" ref="F1056" si="653">$L$7-E1056</f>
        <v>440</v>
      </c>
      <c r="G1056" s="64">
        <v>0</v>
      </c>
      <c r="H1056" s="64"/>
      <c r="I1056" s="1410"/>
      <c r="J1056" s="1367"/>
      <c r="K1056" s="64">
        <f>IFERROR(SUMIF(INTAKE!$A:$A,$T1056,INTAKE!$P:$P),0)</f>
        <v>0</v>
      </c>
      <c r="L1056" s="1712">
        <f t="shared" ref="L1056" si="654">+G1056+H1056+I1056-J1056-K1056</f>
        <v>0</v>
      </c>
      <c r="M1056" s="370"/>
      <c r="N1056" s="162"/>
      <c r="O1056" s="45"/>
      <c r="P1056" s="756"/>
      <c r="Q1056" s="795"/>
      <c r="R1056" s="785">
        <f>IFERROR(VLOOKUP($Q1056,'391'!$S:$Z,8,0),"")</f>
        <v>0</v>
      </c>
      <c r="S1056" s="796"/>
      <c r="T1056" s="797" t="str">
        <f t="shared" si="651"/>
        <v>Roxolin45821</v>
      </c>
      <c r="U1056" s="797"/>
      <c r="V1056" s="797"/>
      <c r="W1056" s="785">
        <f>IFERROR(VLOOKUP($Q1056,'391'!$S:$AG,15,0),0)</f>
        <v>0</v>
      </c>
      <c r="X1056" s="1090">
        <f t="shared" ref="X1056" si="655">G1056-W1056</f>
        <v>0</v>
      </c>
      <c r="Y1056" s="785"/>
      <c r="Z1056" s="785"/>
      <c r="AA1056" s="797"/>
      <c r="AB1056" s="797"/>
      <c r="AC1056" s="681"/>
      <c r="AD1056" s="681"/>
      <c r="AE1056" s="681"/>
      <c r="AF1056" s="681"/>
      <c r="AG1056" s="681"/>
      <c r="AH1056" s="681"/>
      <c r="AI1056" s="703"/>
      <c r="AJ1056" s="703"/>
      <c r="AK1056" s="703"/>
      <c r="AL1056" s="703"/>
      <c r="AM1056" s="703"/>
      <c r="AN1056" s="703"/>
      <c r="AO1056" s="703"/>
      <c r="AP1056" s="703"/>
      <c r="AQ1056" s="703"/>
      <c r="AR1056" s="703"/>
      <c r="AS1056" s="703"/>
    </row>
    <row r="1057" spans="1:45" s="401" customFormat="1" ht="30" customHeight="1" x14ac:dyDescent="0.25">
      <c r="A1057" s="2026"/>
      <c r="B1057" s="2029"/>
      <c r="C1057" s="138" t="s">
        <v>46</v>
      </c>
      <c r="D1057" s="903" t="s">
        <v>10</v>
      </c>
      <c r="E1057" s="904">
        <v>46225</v>
      </c>
      <c r="F1057" s="258">
        <f t="shared" si="650"/>
        <v>36</v>
      </c>
      <c r="G1057" s="1214">
        <v>75.22</v>
      </c>
      <c r="H1057" s="1214"/>
      <c r="I1057" s="1214">
        <f>SUM(K1051:K1055)</f>
        <v>0</v>
      </c>
      <c r="J1057" s="1390">
        <f>usage!I137</f>
        <v>0</v>
      </c>
      <c r="K1057" s="64">
        <f>IFERROR(SUMIF(INTAKE!$A:$A,$T1057,INTAKE!$P:$P),0)</f>
        <v>0</v>
      </c>
      <c r="L1057" s="1534">
        <f t="shared" si="646"/>
        <v>75.22</v>
      </c>
      <c r="M1057" s="378"/>
      <c r="N1057" s="87"/>
      <c r="O1057" s="35"/>
      <c r="P1057" s="751"/>
      <c r="Q1057" s="795"/>
      <c r="R1057" s="785">
        <f>IFERROR(VLOOKUP($Q1057,'391'!$S:$Z,8,0),"")</f>
        <v>0</v>
      </c>
      <c r="S1057" s="796"/>
      <c r="T1057" s="797" t="str">
        <f t="shared" si="651"/>
        <v>RoxolinFeedmill46225</v>
      </c>
      <c r="U1057" s="797"/>
      <c r="V1057" s="797"/>
      <c r="W1057" s="785">
        <f>IFERROR(VLOOKUP($Q1057,'391'!$S:$AG,15,0),0)</f>
        <v>0</v>
      </c>
      <c r="X1057" s="1090">
        <f t="shared" si="634"/>
        <v>75.22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265" customFormat="1" ht="30" customHeight="1" x14ac:dyDescent="0.25">
      <c r="A1058" s="2022" t="s">
        <v>218</v>
      </c>
      <c r="B1058" s="2023"/>
      <c r="C1058" s="88"/>
      <c r="D1058" s="864"/>
      <c r="E1058" s="864"/>
      <c r="F1058" s="865"/>
      <c r="G1058" s="1297">
        <v>1195.22</v>
      </c>
      <c r="H1058" s="1297">
        <f t="shared" ref="H1058:L1058" si="656">+SUM(H1051:H1057)</f>
        <v>0</v>
      </c>
      <c r="I1058" s="1297">
        <f t="shared" si="656"/>
        <v>0</v>
      </c>
      <c r="J1058" s="1297">
        <f>+SUM(J1051:J1057)</f>
        <v>0</v>
      </c>
      <c r="K1058" s="1297">
        <f t="shared" si="656"/>
        <v>0</v>
      </c>
      <c r="L1058" s="1297">
        <f t="shared" si="656"/>
        <v>1195.22</v>
      </c>
      <c r="M1058" s="982">
        <f>IFERROR((R1058/$S$2),"")</f>
        <v>31.599999999999998</v>
      </c>
      <c r="N1058" s="366">
        <f>IFERROR(L1058/M1058,0)</f>
        <v>37.823417721518993</v>
      </c>
      <c r="O1058" s="982">
        <f>IFERROR(SUMIF(ETM!$A:$A,$Q1058,ETM!$E:$E),"")</f>
        <v>36.166666666666664</v>
      </c>
      <c r="P1058" s="880">
        <f>IFERROR(L1058/O1058,0)</f>
        <v>33.047557603686641</v>
      </c>
      <c r="Q1058" s="814" t="s">
        <v>675</v>
      </c>
      <c r="R1058" s="785">
        <f>IFERROR(VLOOKUP($Q1058,'391'!$S:$Z,8,0),"0")</f>
        <v>189.6</v>
      </c>
      <c r="S1058" s="819">
        <f>+R1058+R1064</f>
        <v>211.73</v>
      </c>
      <c r="T1058" s="797"/>
      <c r="U1058" s="797"/>
      <c r="V1058" s="797"/>
      <c r="W1058" s="785">
        <f>IFERROR(VLOOKUP($Q1058,'391'!$S:$AG,15,0),0)</f>
        <v>1323.22</v>
      </c>
      <c r="X1058" s="1090">
        <f>G1058-W1058</f>
        <v>-128</v>
      </c>
      <c r="Y1058" s="785"/>
      <c r="Z1058" s="785"/>
      <c r="AA1058" s="797"/>
      <c r="AB1058" s="797"/>
      <c r="AC1058" s="551"/>
      <c r="AD1058" s="551"/>
      <c r="AE1058" s="551"/>
      <c r="AF1058" s="551"/>
      <c r="AG1058" s="551"/>
      <c r="AH1058" s="551"/>
      <c r="AI1058" s="704"/>
      <c r="AJ1058" s="704"/>
      <c r="AK1058" s="704"/>
      <c r="AL1058" s="704"/>
      <c r="AM1058" s="704"/>
      <c r="AN1058" s="704"/>
      <c r="AO1058" s="704"/>
      <c r="AP1058" s="704"/>
      <c r="AQ1058" s="704"/>
      <c r="AR1058" s="704"/>
      <c r="AS1058" s="704"/>
    </row>
    <row r="1059" spans="1:45" s="409" customFormat="1" ht="30" hidden="1" customHeight="1" x14ac:dyDescent="0.25">
      <c r="A1059" s="2024">
        <f>IF(L1064=0,"",MAX($A$16:A1058)+1)</f>
        <v>71</v>
      </c>
      <c r="B1059" s="2027" t="s">
        <v>2175</v>
      </c>
      <c r="C1059" s="1198"/>
      <c r="D1059" s="881" t="s">
        <v>10</v>
      </c>
      <c r="E1059" s="882">
        <v>45869</v>
      </c>
      <c r="F1059" s="71">
        <f>$L$7-E1059</f>
        <v>392</v>
      </c>
      <c r="G1059" s="64">
        <v>0</v>
      </c>
      <c r="H1059" s="64"/>
      <c r="I1059" s="64"/>
      <c r="J1059" s="1367"/>
      <c r="K1059" s="64">
        <f>IFERROR(SUMIF(INTAKE!$A:$A,$T1059,INTAKE!$P:$P),0)</f>
        <v>0</v>
      </c>
      <c r="L1059" s="1703">
        <f t="shared" ref="L1059:L1090" si="657">+G1059+H1059+I1059-J1059-K1059</f>
        <v>0</v>
      </c>
      <c r="M1059" s="376"/>
      <c r="N1059" s="167"/>
      <c r="O1059" s="45"/>
      <c r="P1059" s="747"/>
      <c r="Q1059" s="795"/>
      <c r="R1059" s="785">
        <f>IFERROR(VLOOKUP($Q1059,'391'!$S:$Z,8,0),"")</f>
        <v>0</v>
      </c>
      <c r="S1059" s="796"/>
      <c r="T1059" s="797" t="str">
        <f>$Q$1064&amp;C1059&amp;E1059</f>
        <v>Advance Haquinol45869</v>
      </c>
      <c r="U1059" s="797"/>
      <c r="V1059" s="797"/>
      <c r="W1059" s="785">
        <f>IFERROR(VLOOKUP($Q1059,'391'!$S:$AG,15,0),0)</f>
        <v>0</v>
      </c>
      <c r="X1059" s="1090">
        <f t="shared" si="634"/>
        <v>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5"/>
      <c r="B1060" s="2028"/>
      <c r="C1060" s="1198"/>
      <c r="D1060" s="881" t="s">
        <v>10</v>
      </c>
      <c r="E1060" s="882">
        <v>45987</v>
      </c>
      <c r="F1060" s="71">
        <f>$L$7-E1060</f>
        <v>274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57"/>
        <v>0</v>
      </c>
      <c r="M1060" s="564"/>
      <c r="N1060" s="565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$Q$1064&amp;C1060&amp;E1060</f>
        <v>Advance Haquinol45987</v>
      </c>
      <c r="U1060" s="797"/>
      <c r="V1060" s="797"/>
      <c r="W1060" s="785">
        <f>IFERROR(VLOOKUP($Q1060,'391'!$S:$AG,15,0),0)</f>
        <v>0</v>
      </c>
      <c r="X1060" s="1090">
        <f t="shared" si="634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9" customFormat="1" ht="30" customHeight="1" x14ac:dyDescent="0.25">
      <c r="A1061" s="2025"/>
      <c r="B1061" s="2028"/>
      <c r="C1061" s="1198" t="s">
        <v>1313</v>
      </c>
      <c r="D1061" s="881" t="s">
        <v>10</v>
      </c>
      <c r="E1061" s="882">
        <v>46037</v>
      </c>
      <c r="F1061" s="71">
        <f>$L$7-E1061</f>
        <v>224</v>
      </c>
      <c r="G1061" s="64">
        <v>260</v>
      </c>
      <c r="H1061" s="64"/>
      <c r="I1061" s="64"/>
      <c r="J1061" s="1367"/>
      <c r="K1061" s="1348">
        <f>IFERROR(SUMIF(INTAKE!$A:$A,$T1061,INTAKE!$P:$P),0)</f>
        <v>0</v>
      </c>
      <c r="L1061" s="1703">
        <f t="shared" si="657"/>
        <v>260</v>
      </c>
      <c r="M1061" s="1837"/>
      <c r="N1061" s="1838"/>
      <c r="O1061" s="45"/>
      <c r="P1061" s="748"/>
      <c r="Q1061" s="795"/>
      <c r="R1061" s="785">
        <f>IFERROR(VLOOKUP($Q1061,'391'!$S:$Z,8,0),"")</f>
        <v>0</v>
      </c>
      <c r="S1061" s="796"/>
      <c r="T1061" s="797" t="str">
        <f>$Q$1064&amp;C1061&amp;E1061</f>
        <v>Advance HaquinolE246037</v>
      </c>
      <c r="U1061" s="797"/>
      <c r="V1061" s="797"/>
      <c r="W1061" s="785">
        <f>IFERROR(VLOOKUP($Q1061,'391'!$S:$AG,15,0),0)</f>
        <v>0</v>
      </c>
      <c r="X1061" s="1090">
        <f t="shared" si="634"/>
        <v>260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409" customFormat="1" ht="30" hidden="1" customHeight="1" x14ac:dyDescent="0.25">
      <c r="A1062" s="2025"/>
      <c r="B1062" s="2110"/>
      <c r="C1062" s="1198"/>
      <c r="D1062" s="881" t="s">
        <v>10</v>
      </c>
      <c r="E1062" s="882">
        <v>46037</v>
      </c>
      <c r="F1062" s="71">
        <f>$L$7-E1062</f>
        <v>224</v>
      </c>
      <c r="G1062" s="64">
        <v>0</v>
      </c>
      <c r="H1062" s="64"/>
      <c r="I1062" s="64"/>
      <c r="J1062" s="1367"/>
      <c r="K1062" s="64">
        <f>IFERROR(SUMIF(INTAKE!$A:$A,$T1062,INTAKE!$P:$P),0)</f>
        <v>0</v>
      </c>
      <c r="L1062" s="1703">
        <f t="shared" si="657"/>
        <v>0</v>
      </c>
      <c r="M1062" s="1839"/>
      <c r="N1062" s="606"/>
      <c r="O1062" s="45"/>
      <c r="P1062" s="748"/>
      <c r="Q1062" s="795"/>
      <c r="R1062" s="785">
        <f>IFERROR(VLOOKUP($Q1062,'391'!$S:$Z,8,0),"")</f>
        <v>0</v>
      </c>
      <c r="S1062" s="796"/>
      <c r="T1062" s="797" t="str">
        <f>$Q$1064&amp;C1062&amp;E1062</f>
        <v>Advance Haquinol46037</v>
      </c>
      <c r="U1062" s="797"/>
      <c r="V1062" s="797"/>
      <c r="W1062" s="785">
        <f>IFERROR(VLOOKUP($Q1062,'391'!$S:$AG,15,0),0)</f>
        <v>0</v>
      </c>
      <c r="X1062" s="1090">
        <f t="shared" si="634"/>
        <v>0</v>
      </c>
      <c r="Y1062" s="785"/>
      <c r="Z1062" s="785"/>
      <c r="AA1062" s="797"/>
      <c r="AB1062" s="797"/>
      <c r="AC1062" s="681"/>
      <c r="AD1062" s="681"/>
      <c r="AE1062" s="681"/>
      <c r="AF1062" s="681"/>
      <c r="AG1062" s="681"/>
      <c r="AH1062" s="681"/>
      <c r="AI1062" s="703"/>
      <c r="AJ1062" s="703"/>
      <c r="AK1062" s="703"/>
      <c r="AL1062" s="703"/>
      <c r="AM1062" s="703"/>
      <c r="AN1062" s="703"/>
      <c r="AO1062" s="703"/>
      <c r="AP1062" s="703"/>
      <c r="AQ1062" s="703"/>
      <c r="AR1062" s="703"/>
      <c r="AS1062" s="703"/>
    </row>
    <row r="1063" spans="1:45" s="401" customFormat="1" ht="30" customHeight="1" x14ac:dyDescent="0.25">
      <c r="A1063" s="2026"/>
      <c r="B1063" s="2029"/>
      <c r="C1063" s="61" t="s">
        <v>46</v>
      </c>
      <c r="D1063" s="850" t="s">
        <v>10</v>
      </c>
      <c r="E1063" s="851">
        <v>46037</v>
      </c>
      <c r="F1063" s="42">
        <f>$L$7-E1063</f>
        <v>224</v>
      </c>
      <c r="G1063" s="207">
        <v>16.849999999999991</v>
      </c>
      <c r="H1063" s="37"/>
      <c r="I1063" s="58">
        <f>SUM(K1059:K1062)</f>
        <v>0</v>
      </c>
      <c r="J1063" s="1385">
        <f>usage!I138</f>
        <v>0</v>
      </c>
      <c r="K1063" s="64">
        <f>IFERROR(SUMIF(INTAKE!$A:$A,$T1063,INTAKE!$P:$P),0)</f>
        <v>0</v>
      </c>
      <c r="L1063" s="1534">
        <f t="shared" si="657"/>
        <v>16.849999999999991</v>
      </c>
      <c r="M1063" s="40"/>
      <c r="N1063" s="84"/>
      <c r="O1063" s="40"/>
      <c r="P1063" s="750"/>
      <c r="Q1063" s="795"/>
      <c r="R1063" s="785">
        <f>IFERROR(VLOOKUP($Q1063,'391'!$S:$Z,8,0),"")</f>
        <v>0</v>
      </c>
      <c r="S1063" s="796"/>
      <c r="T1063" s="797" t="str">
        <f>$Q$1064&amp;C1063&amp;E1063</f>
        <v>Advance HaquinolFeedmill46037</v>
      </c>
      <c r="U1063" s="797"/>
      <c r="V1063" s="797"/>
      <c r="W1063" s="785">
        <f>IFERROR(VLOOKUP($Q1063,'391'!$S:$AG,15,0),0)</f>
        <v>0</v>
      </c>
      <c r="X1063" s="1090">
        <f t="shared" si="634"/>
        <v>16.849999999999991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265" customFormat="1" ht="30" customHeight="1" x14ac:dyDescent="0.25">
      <c r="A1064" s="2022" t="s">
        <v>594</v>
      </c>
      <c r="B1064" s="2023"/>
      <c r="C1064" s="88"/>
      <c r="D1064" s="864"/>
      <c r="E1064" s="864"/>
      <c r="F1064" s="865"/>
      <c r="G1064" s="1297">
        <v>276.84999999999997</v>
      </c>
      <c r="H1064" s="1297">
        <f t="shared" ref="H1064:L1064" si="658">+SUM(H1059:H1063)</f>
        <v>0</v>
      </c>
      <c r="I1064" s="1297">
        <f t="shared" si="658"/>
        <v>0</v>
      </c>
      <c r="J1064" s="1297">
        <f t="shared" si="658"/>
        <v>0</v>
      </c>
      <c r="K1064" s="1297">
        <f t="shared" si="658"/>
        <v>0</v>
      </c>
      <c r="L1064" s="1297">
        <f t="shared" si="658"/>
        <v>276.84999999999997</v>
      </c>
      <c r="M1064" s="982">
        <f>IFERROR((R1064/$S$2),"")</f>
        <v>3.688333333333333</v>
      </c>
      <c r="N1064" s="366">
        <f>IFERROR(L1064/M1064,0)</f>
        <v>75.061003163126969</v>
      </c>
      <c r="O1064" s="59">
        <f>IFERROR(SUMIF(ETM!$A:$A,$Q1064,ETM!$E:$E),"")</f>
        <v>0</v>
      </c>
      <c r="P1064" s="880">
        <f>IFERROR(L1064/O1064,0)</f>
        <v>0</v>
      </c>
      <c r="Q1064" s="814" t="s">
        <v>593</v>
      </c>
      <c r="R1064" s="785">
        <f>IFERROR(VLOOKUP($Q1064,'391'!$S:$Z,8,0),"0")</f>
        <v>22.13</v>
      </c>
      <c r="S1064" s="796"/>
      <c r="T1064" s="797"/>
      <c r="U1064" s="797"/>
      <c r="V1064" s="797"/>
      <c r="W1064" s="785">
        <f>IFERROR(VLOOKUP($Q1064,'391'!$S:$AG,15,0),0)</f>
        <v>293.65000000000003</v>
      </c>
      <c r="X1064" s="1090">
        <f t="shared" si="634"/>
        <v>-16.800000000000068</v>
      </c>
      <c r="Y1064" s="785"/>
      <c r="Z1064" s="785"/>
      <c r="AA1064" s="797"/>
      <c r="AB1064" s="797"/>
      <c r="AC1064" s="551"/>
      <c r="AD1064" s="551"/>
      <c r="AE1064" s="551"/>
      <c r="AF1064" s="551"/>
      <c r="AG1064" s="551"/>
      <c r="AH1064" s="551"/>
      <c r="AI1064" s="704"/>
      <c r="AJ1064" s="704"/>
      <c r="AK1064" s="704"/>
      <c r="AL1064" s="704"/>
      <c r="AM1064" s="704"/>
      <c r="AN1064" s="704"/>
      <c r="AO1064" s="704"/>
      <c r="AP1064" s="704"/>
      <c r="AQ1064" s="704"/>
      <c r="AR1064" s="704"/>
      <c r="AS1064" s="704"/>
    </row>
    <row r="1065" spans="1:45" s="409" customFormat="1" ht="30" hidden="1" customHeight="1" x14ac:dyDescent="0.25">
      <c r="A1065" s="2024" t="str">
        <f>IF(L1071=0,"",MAX($A$16:A1064)+1)</f>
        <v/>
      </c>
      <c r="B1065" s="2027" t="s">
        <v>963</v>
      </c>
      <c r="C1065" s="127" t="s">
        <v>324</v>
      </c>
      <c r="D1065" s="881" t="s">
        <v>10</v>
      </c>
      <c r="E1065" s="882">
        <v>45478</v>
      </c>
      <c r="F1065" s="71">
        <f t="shared" ref="F1065:F1070" si="659">$L$7-E1065</f>
        <v>783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57"/>
        <v>0</v>
      </c>
      <c r="M1065" s="376"/>
      <c r="N1065" s="167"/>
      <c r="O1065" s="376"/>
      <c r="P1065" s="747"/>
      <c r="Q1065" s="795"/>
      <c r="R1065" s="785">
        <f>IFERROR(VLOOKUP($Q1065,'391'!$S:$Z,8,0),"")</f>
        <v>0</v>
      </c>
      <c r="S1065" s="796"/>
      <c r="T1065" s="797" t="str">
        <f t="shared" ref="T1065:T1070" si="660">$Q$1071&amp;C1065&amp;E1065</f>
        <v>Florpan-SA19.445478</v>
      </c>
      <c r="U1065" s="797"/>
      <c r="V1065" s="797"/>
      <c r="W1065" s="785">
        <f>IFERROR(VLOOKUP($Q1065,'391'!$S:$AG,15,0),0)</f>
        <v>0</v>
      </c>
      <c r="X1065" s="1090">
        <f t="shared" si="634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5"/>
      <c r="B1066" s="2028"/>
      <c r="C1066" s="127"/>
      <c r="D1066" s="881" t="s">
        <v>10</v>
      </c>
      <c r="E1066" s="882">
        <v>44379</v>
      </c>
      <c r="F1066" s="71">
        <f t="shared" si="659"/>
        <v>1882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57"/>
        <v>0</v>
      </c>
      <c r="M1066" s="373"/>
      <c r="N1066" s="163"/>
      <c r="O1066" s="373"/>
      <c r="P1066" s="750"/>
      <c r="Q1066" s="795"/>
      <c r="R1066" s="785">
        <f>IFERROR(VLOOKUP($Q1066,'391'!$S:$Z,8,0),"")</f>
        <v>0</v>
      </c>
      <c r="S1066" s="796"/>
      <c r="T1066" s="797" t="str">
        <f t="shared" si="660"/>
        <v>Florpan-S44379</v>
      </c>
      <c r="U1066" s="797"/>
      <c r="V1066" s="797"/>
      <c r="W1066" s="785">
        <f>IFERROR(VLOOKUP($Q1066,'391'!$S:$AG,15,0),0)</f>
        <v>0</v>
      </c>
      <c r="X1066" s="1090">
        <f t="shared" si="634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5"/>
      <c r="B1067" s="2028"/>
      <c r="C1067" s="127"/>
      <c r="D1067" s="881" t="s">
        <v>10</v>
      </c>
      <c r="E1067" s="882">
        <v>44386</v>
      </c>
      <c r="F1067" s="71">
        <f t="shared" si="659"/>
        <v>1875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57"/>
        <v>0</v>
      </c>
      <c r="M1067" s="373"/>
      <c r="N1067" s="163"/>
      <c r="O1067" s="373"/>
      <c r="P1067" s="756"/>
      <c r="Q1067" s="795"/>
      <c r="R1067" s="785">
        <f>IFERROR(VLOOKUP($Q1067,'391'!$S:$Z,8,0),"")</f>
        <v>0</v>
      </c>
      <c r="S1067" s="796"/>
      <c r="T1067" s="797" t="str">
        <f t="shared" si="660"/>
        <v>Florpan-S44386</v>
      </c>
      <c r="U1067" s="797"/>
      <c r="V1067" s="797"/>
      <c r="W1067" s="785">
        <f>IFERROR(VLOOKUP($Q1067,'391'!$S:$AG,15,0),0)</f>
        <v>0</v>
      </c>
      <c r="X1067" s="1090">
        <f t="shared" si="634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9" customFormat="1" ht="30" hidden="1" customHeight="1" x14ac:dyDescent="0.25">
      <c r="A1068" s="2025"/>
      <c r="B1068" s="2028"/>
      <c r="C1068" s="127"/>
      <c r="D1068" s="881" t="s">
        <v>10</v>
      </c>
      <c r="E1068" s="882">
        <v>44386</v>
      </c>
      <c r="F1068" s="71">
        <f t="shared" si="659"/>
        <v>1875</v>
      </c>
      <c r="G1068" s="64">
        <v>0</v>
      </c>
      <c r="H1068" s="64"/>
      <c r="I1068" s="64"/>
      <c r="J1068" s="1367"/>
      <c r="K1068" s="64">
        <f>IFERROR(SUMIF(INTAKE!$A:$A,$T1068,INTAKE!$P:$P),0)</f>
        <v>0</v>
      </c>
      <c r="L1068" s="1534">
        <f t="shared" si="657"/>
        <v>0</v>
      </c>
      <c r="M1068" s="373"/>
      <c r="N1068" s="163"/>
      <c r="O1068" s="373"/>
      <c r="P1068" s="756"/>
      <c r="Q1068" s="795"/>
      <c r="R1068" s="785">
        <f>IFERROR(VLOOKUP($Q1068,'391'!$S:$Z,8,0),"")</f>
        <v>0</v>
      </c>
      <c r="S1068" s="796"/>
      <c r="T1068" s="797" t="str">
        <f t="shared" si="660"/>
        <v>Florpan-S44386</v>
      </c>
      <c r="U1068" s="797"/>
      <c r="V1068" s="797"/>
      <c r="W1068" s="785">
        <f>IFERROR(VLOOKUP($Q1068,'391'!$S:$AG,15,0),0)</f>
        <v>0</v>
      </c>
      <c r="X1068" s="1090">
        <f t="shared" si="634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409" customFormat="1" ht="30" hidden="1" customHeight="1" x14ac:dyDescent="0.25">
      <c r="A1069" s="2025"/>
      <c r="B1069" s="2028"/>
      <c r="C1069" s="127"/>
      <c r="D1069" s="881" t="s">
        <v>10</v>
      </c>
      <c r="E1069" s="882">
        <v>42593</v>
      </c>
      <c r="F1069" s="71">
        <f t="shared" si="659"/>
        <v>3668</v>
      </c>
      <c r="G1069" s="64">
        <v>0</v>
      </c>
      <c r="H1069" s="64"/>
      <c r="I1069" s="64"/>
      <c r="J1069" s="1367"/>
      <c r="K1069" s="64">
        <f>IFERROR(SUMIF(INTAKE!$A:$A,$T1069,INTAKE!$P:$P),0)</f>
        <v>0</v>
      </c>
      <c r="L1069" s="1534">
        <f t="shared" si="657"/>
        <v>0</v>
      </c>
      <c r="M1069" s="373"/>
      <c r="N1069" s="163"/>
      <c r="O1069" s="373"/>
      <c r="P1069" s="750"/>
      <c r="Q1069" s="795"/>
      <c r="R1069" s="785">
        <f>IFERROR(VLOOKUP($Q1069,'391'!$S:$Z,8,0),"")</f>
        <v>0</v>
      </c>
      <c r="S1069" s="796"/>
      <c r="T1069" s="797" t="str">
        <f t="shared" si="660"/>
        <v>Florpan-S42593</v>
      </c>
      <c r="U1069" s="797"/>
      <c r="V1069" s="797"/>
      <c r="W1069" s="785">
        <f>IFERROR(VLOOKUP($Q1069,'391'!$S:$AG,15,0),0)</f>
        <v>0</v>
      </c>
      <c r="X1069" s="1090">
        <f t="shared" si="634"/>
        <v>0</v>
      </c>
      <c r="Y1069" s="785"/>
      <c r="Z1069" s="785"/>
      <c r="AA1069" s="797"/>
      <c r="AB1069" s="797"/>
      <c r="AC1069" s="681"/>
      <c r="AD1069" s="681"/>
      <c r="AE1069" s="681"/>
      <c r="AF1069" s="681"/>
      <c r="AG1069" s="681"/>
      <c r="AH1069" s="681"/>
      <c r="AI1069" s="703"/>
      <c r="AJ1069" s="703"/>
      <c r="AK1069" s="703"/>
      <c r="AL1069" s="703"/>
      <c r="AM1069" s="703"/>
      <c r="AN1069" s="703"/>
      <c r="AO1069" s="703"/>
      <c r="AP1069" s="703"/>
      <c r="AQ1069" s="703"/>
      <c r="AR1069" s="703"/>
      <c r="AS1069" s="703"/>
    </row>
    <row r="1070" spans="1:45" s="401" customFormat="1" ht="30" hidden="1" customHeight="1" x14ac:dyDescent="0.25">
      <c r="A1070" s="2026"/>
      <c r="B1070" s="2029"/>
      <c r="C1070" s="97" t="s">
        <v>46</v>
      </c>
      <c r="D1070" s="850" t="s">
        <v>10</v>
      </c>
      <c r="E1070" s="853">
        <v>45478</v>
      </c>
      <c r="F1070" s="42">
        <f t="shared" si="659"/>
        <v>783</v>
      </c>
      <c r="G1070" s="37">
        <v>0</v>
      </c>
      <c r="H1070" s="37"/>
      <c r="I1070" s="1214">
        <f>SUM(K1065:K1068)</f>
        <v>0</v>
      </c>
      <c r="J1070" s="1385">
        <f>+usage!I130</f>
        <v>0</v>
      </c>
      <c r="K1070" s="37"/>
      <c r="L1070" s="1534">
        <f t="shared" si="657"/>
        <v>0</v>
      </c>
      <c r="M1070" s="40"/>
      <c r="N1070" s="84"/>
      <c r="O1070" s="40"/>
      <c r="P1070" s="857"/>
      <c r="Q1070" s="795" t="s">
        <v>848</v>
      </c>
      <c r="R1070" s="785" t="str">
        <f>IFERROR(VLOOKUP($Q1070,'391'!$S:$Z,8,0),"0")</f>
        <v>0</v>
      </c>
      <c r="S1070" s="796">
        <f>+R1070+R1071+R1080+R1079</f>
        <v>1651.44</v>
      </c>
      <c r="T1070" s="797" t="str">
        <f t="shared" si="660"/>
        <v>Florpan-SFeedmill45478</v>
      </c>
      <c r="U1070" s="797"/>
      <c r="V1070" s="797"/>
      <c r="W1070" s="785">
        <f>IFERROR(VLOOKUP($Q1070,'391'!$S:$AG,15,0),0)</f>
        <v>0</v>
      </c>
      <c r="X1070" s="1090">
        <f t="shared" si="634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265" customFormat="1" ht="30" hidden="1" customHeight="1" x14ac:dyDescent="0.25">
      <c r="A1071" s="2022" t="s">
        <v>616</v>
      </c>
      <c r="B1071" s="2023"/>
      <c r="C1071" s="88"/>
      <c r="D1071" s="864"/>
      <c r="E1071" s="864"/>
      <c r="F1071" s="865"/>
      <c r="G1071" s="1297">
        <v>0</v>
      </c>
      <c r="H1071" s="1297">
        <f t="shared" ref="H1071:I1071" si="661">SUM(H1065:H1070)</f>
        <v>0</v>
      </c>
      <c r="I1071" s="1297">
        <f t="shared" si="661"/>
        <v>0</v>
      </c>
      <c r="J1071" s="1297">
        <f t="shared" ref="J1071:K1071" si="662">SUM(J1065:J1070)</f>
        <v>0</v>
      </c>
      <c r="K1071" s="1297">
        <f t="shared" si="662"/>
        <v>0</v>
      </c>
      <c r="L1071" s="1534">
        <f t="shared" si="657"/>
        <v>0</v>
      </c>
      <c r="M1071" s="998">
        <f>IFERROR(S1070/$S$2,"")</f>
        <v>275.24</v>
      </c>
      <c r="N1071" s="366">
        <f>IFERROR(L1071/M1071,0)</f>
        <v>0</v>
      </c>
      <c r="O1071" s="982">
        <f>IFERROR(SUMIF(ETM!$A:$A,$Q1071,ETM!$E:$E),"")</f>
        <v>0</v>
      </c>
      <c r="P1071" s="880">
        <f>IFERROR(L1071/O1071,0)</f>
        <v>0</v>
      </c>
      <c r="Q1071" s="814" t="s">
        <v>676</v>
      </c>
      <c r="R1071" s="785" t="str">
        <f>IFERROR(VLOOKUP($Q1071,'391'!$S:$Z,8,0),"0")</f>
        <v>0</v>
      </c>
      <c r="S1071" s="796"/>
      <c r="T1071" s="797"/>
      <c r="U1071" s="797"/>
      <c r="V1071" s="797"/>
      <c r="W1071" s="785">
        <f>IFERROR(VLOOKUP($Q1071,'391'!$S:$AG,15,0),0)</f>
        <v>0</v>
      </c>
      <c r="X1071" s="1090">
        <f t="shared" si="634"/>
        <v>0</v>
      </c>
      <c r="Y1071" s="1088">
        <f>+W1071+W1070</f>
        <v>0</v>
      </c>
      <c r="Z1071" s="1091">
        <f>+L1071-Y1071</f>
        <v>0</v>
      </c>
      <c r="AA1071" s="797"/>
      <c r="AB1071" s="797"/>
      <c r="AC1071" s="551"/>
      <c r="AD1071" s="551"/>
      <c r="AE1071" s="551"/>
      <c r="AF1071" s="551"/>
      <c r="AG1071" s="551"/>
      <c r="AH1071" s="551"/>
      <c r="AI1071" s="704"/>
      <c r="AJ1071" s="704"/>
      <c r="AK1071" s="704"/>
      <c r="AL1071" s="704"/>
      <c r="AM1071" s="704"/>
      <c r="AN1071" s="704"/>
      <c r="AO1071" s="704"/>
      <c r="AP1071" s="704"/>
      <c r="AQ1071" s="704"/>
      <c r="AR1071" s="704"/>
      <c r="AS1071" s="704"/>
    </row>
    <row r="1072" spans="1:45" s="409" customFormat="1" ht="30" hidden="1" customHeight="1" x14ac:dyDescent="0.25">
      <c r="A1072" s="2024">
        <f>IF(L1080=0,"",MAX($A$16:A1071)+1)</f>
        <v>72</v>
      </c>
      <c r="B1072" s="2061" t="s">
        <v>1137</v>
      </c>
      <c r="C1072" s="127"/>
      <c r="D1072" s="881" t="s">
        <v>10</v>
      </c>
      <c r="E1072" s="882">
        <v>46200</v>
      </c>
      <c r="F1072" s="71">
        <f t="shared" ref="F1072:F1079" si="663">$L$7-E1072</f>
        <v>61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703">
        <f t="shared" si="657"/>
        <v>0</v>
      </c>
      <c r="M1072" s="376"/>
      <c r="N1072" s="167"/>
      <c r="O1072" s="376"/>
      <c r="P1072" s="747"/>
      <c r="Q1072" s="795"/>
      <c r="R1072" s="785">
        <f>IFERROR(VLOOKUP($Q1072,'391'!$S:$Z,8,0),"")</f>
        <v>0</v>
      </c>
      <c r="S1072" s="796"/>
      <c r="T1072" s="797" t="str">
        <f>$Q$1080&amp;C1072&amp;E1072</f>
        <v>APA FLOFE 4P46200</v>
      </c>
      <c r="U1072" s="797"/>
      <c r="V1072" s="797"/>
      <c r="W1072" s="785">
        <f>IFERROR(VLOOKUP($Q1072,'391'!$S:$AG,15,0),0)</f>
        <v>0</v>
      </c>
      <c r="X1072" s="1090">
        <f t="shared" si="634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customHeight="1" x14ac:dyDescent="0.25">
      <c r="A1073" s="2025"/>
      <c r="B1073" s="2063"/>
      <c r="C1073" s="127" t="s">
        <v>1211</v>
      </c>
      <c r="D1073" s="881" t="s">
        <v>10</v>
      </c>
      <c r="E1073" s="882">
        <v>46219</v>
      </c>
      <c r="F1073" s="71">
        <f t="shared" si="663"/>
        <v>42</v>
      </c>
      <c r="G1073" s="64">
        <v>7000</v>
      </c>
      <c r="H1073" s="64"/>
      <c r="I1073" s="64"/>
      <c r="J1073" s="1367"/>
      <c r="K1073" s="64">
        <f>IFERROR(SUMIF(INTAKE!$A:$A,$T1073,INTAKE!$P:$P),0)</f>
        <v>0</v>
      </c>
      <c r="L1073" s="1703">
        <f t="shared" si="657"/>
        <v>7000</v>
      </c>
      <c r="M1073" s="373"/>
      <c r="N1073" s="163"/>
      <c r="O1073" s="373"/>
      <c r="P1073" s="750"/>
      <c r="Q1073" s="795"/>
      <c r="R1073" s="785">
        <f>IFERROR(VLOOKUP($Q1073,'391'!$S:$Z,8,0),"")</f>
        <v>0</v>
      </c>
      <c r="S1073" s="796"/>
      <c r="T1073" s="797" t="str">
        <f>$Q$1080&amp;C1073&amp;E1073</f>
        <v>APA FLOFE 4PD146219</v>
      </c>
      <c r="U1073" s="797"/>
      <c r="V1073" s="797"/>
      <c r="W1073" s="785">
        <f>IFERROR(VLOOKUP($Q1073,'391'!$S:$AG,15,0),0)</f>
        <v>0</v>
      </c>
      <c r="X1073" s="1090">
        <f t="shared" si="634"/>
        <v>7000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5"/>
      <c r="B1074" s="2063"/>
      <c r="C1074" s="127"/>
      <c r="D1074" s="881" t="s">
        <v>10</v>
      </c>
      <c r="E1074" s="882">
        <v>45226</v>
      </c>
      <c r="F1074" s="71">
        <f t="shared" si="663"/>
        <v>1035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57"/>
        <v>0</v>
      </c>
      <c r="M1074" s="373"/>
      <c r="N1074" s="163"/>
      <c r="O1074" s="373"/>
      <c r="P1074" s="756"/>
      <c r="Q1074" s="795"/>
      <c r="R1074" s="785">
        <f>IFERROR(VLOOKUP($Q1074,'391'!$S:$Z,8,0),"")</f>
        <v>0</v>
      </c>
      <c r="S1074" s="796"/>
      <c r="T1074" s="797" t="str">
        <f>$Q$1079&amp;C1074&amp;E1074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4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5"/>
      <c r="B1075" s="2063"/>
      <c r="C1075" s="127"/>
      <c r="D1075" s="881" t="s">
        <v>10</v>
      </c>
      <c r="E1075" s="882">
        <v>45226</v>
      </c>
      <c r="F1075" s="71">
        <f t="shared" si="663"/>
        <v>1035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57"/>
        <v>0</v>
      </c>
      <c r="M1075" s="373"/>
      <c r="N1075" s="163"/>
      <c r="O1075" s="373"/>
      <c r="P1075" s="756"/>
      <c r="Q1075" s="795"/>
      <c r="R1075" s="785">
        <f>IFERROR(VLOOKUP($Q1075,'391'!$S:$Z,8,0),"")</f>
        <v>0</v>
      </c>
      <c r="S1075" s="796"/>
      <c r="T1075" s="797" t="str">
        <f>$Q$1079&amp;C1075&amp;E1075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4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5"/>
      <c r="B1076" s="2063"/>
      <c r="C1076" s="127"/>
      <c r="D1076" s="881" t="s">
        <v>10</v>
      </c>
      <c r="E1076" s="882">
        <v>45226</v>
      </c>
      <c r="F1076" s="71">
        <f t="shared" si="663"/>
        <v>1035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57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$Q$1079&amp;C1076&amp;E1076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4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9" customFormat="1" ht="30" hidden="1" customHeight="1" x14ac:dyDescent="0.25">
      <c r="A1077" s="2025"/>
      <c r="B1077" s="2062"/>
      <c r="C1077" s="127"/>
      <c r="D1077" s="881" t="s">
        <v>10</v>
      </c>
      <c r="E1077" s="882">
        <v>45226</v>
      </c>
      <c r="F1077" s="71">
        <f t="shared" si="663"/>
        <v>1035</v>
      </c>
      <c r="G1077" s="64">
        <v>0</v>
      </c>
      <c r="H1077" s="64"/>
      <c r="I1077" s="64"/>
      <c r="J1077" s="1367"/>
      <c r="K1077" s="64">
        <f>IFERROR(SUMIF(INTAKE!$A:$A,$T1077,INTAKE!$P:$P),0)</f>
        <v>0</v>
      </c>
      <c r="L1077" s="1534">
        <f t="shared" si="657"/>
        <v>0</v>
      </c>
      <c r="M1077" s="373"/>
      <c r="N1077" s="163"/>
      <c r="O1077" s="373"/>
      <c r="P1077" s="750"/>
      <c r="Q1077" s="795"/>
      <c r="R1077" s="785">
        <f>IFERROR(VLOOKUP($Q1077,'391'!$S:$Z,8,0),"")</f>
        <v>0</v>
      </c>
      <c r="S1077" s="796"/>
      <c r="T1077" s="797" t="str">
        <f>$Q$1079&amp;C1077&amp;E1077</f>
        <v>FlorPAN-4S(Korea)45226</v>
      </c>
      <c r="U1077" s="797"/>
      <c r="V1077" s="797"/>
      <c r="W1077" s="785">
        <f>IFERROR(VLOOKUP($Q1077,'391'!$S:$AG,15,0),0)</f>
        <v>0</v>
      </c>
      <c r="X1077" s="1090">
        <f t="shared" si="634"/>
        <v>0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409" customFormat="1" ht="30" hidden="1" customHeight="1" x14ac:dyDescent="0.25">
      <c r="A1078" s="2025"/>
      <c r="B1078" s="2062"/>
      <c r="C1078" s="127"/>
      <c r="D1078" s="881" t="s">
        <v>10</v>
      </c>
      <c r="E1078" s="882">
        <v>45226</v>
      </c>
      <c r="F1078" s="71">
        <f t="shared" si="663"/>
        <v>1035</v>
      </c>
      <c r="G1078" s="64">
        <v>0</v>
      </c>
      <c r="H1078" s="64"/>
      <c r="I1078" s="64"/>
      <c r="J1078" s="1367"/>
      <c r="K1078" s="64">
        <f>IFERROR(SUMIF(INTAKE!$A:$A,$T1078,INTAKE!$P:$P),0)</f>
        <v>0</v>
      </c>
      <c r="L1078" s="1534">
        <f t="shared" si="657"/>
        <v>0</v>
      </c>
      <c r="M1078" s="373"/>
      <c r="N1078" s="163"/>
      <c r="O1078" s="373"/>
      <c r="P1078" s="750"/>
      <c r="Q1078" s="795"/>
      <c r="R1078" s="785">
        <f>IFERROR(VLOOKUP($Q1078,'391'!$S:$Z,8,0),"")</f>
        <v>0</v>
      </c>
      <c r="S1078" s="796"/>
      <c r="T1078" s="797" t="str">
        <f>$Q$1079&amp;C1078&amp;E1078</f>
        <v>FlorPAN-4S(Korea)45226</v>
      </c>
      <c r="U1078" s="797"/>
      <c r="V1078" s="797"/>
      <c r="W1078" s="785">
        <f>IFERROR(VLOOKUP($Q1078,'391'!$S:$AG,15,0),0)</f>
        <v>0</v>
      </c>
      <c r="X1078" s="1090">
        <f t="shared" si="634"/>
        <v>0</v>
      </c>
      <c r="Y1078" s="785"/>
      <c r="Z1078" s="785"/>
      <c r="AA1078" s="797"/>
      <c r="AB1078" s="797"/>
      <c r="AC1078" s="681"/>
      <c r="AD1078" s="681"/>
      <c r="AE1078" s="681"/>
      <c r="AF1078" s="681"/>
      <c r="AG1078" s="681"/>
      <c r="AH1078" s="681"/>
      <c r="AI1078" s="703"/>
      <c r="AJ1078" s="703"/>
      <c r="AK1078" s="703"/>
      <c r="AL1078" s="703"/>
      <c r="AM1078" s="703"/>
      <c r="AN1078" s="703"/>
      <c r="AO1078" s="703"/>
      <c r="AP1078" s="703"/>
      <c r="AQ1078" s="703"/>
      <c r="AR1078" s="703"/>
      <c r="AS1078" s="703"/>
    </row>
    <row r="1079" spans="1:45" s="401" customFormat="1" ht="30" customHeight="1" x14ac:dyDescent="0.25">
      <c r="A1079" s="2026"/>
      <c r="B1079" s="2064"/>
      <c r="C1079" s="97" t="s">
        <v>46</v>
      </c>
      <c r="D1079" s="850" t="s">
        <v>10</v>
      </c>
      <c r="E1079" s="851">
        <v>46200</v>
      </c>
      <c r="F1079" s="42">
        <f t="shared" si="663"/>
        <v>61</v>
      </c>
      <c r="G1079" s="37">
        <v>1041.92</v>
      </c>
      <c r="H1079" s="37"/>
      <c r="I1079" s="1214">
        <f>SUM(K1072:K1076)</f>
        <v>0</v>
      </c>
      <c r="J1079" s="1385">
        <f>usage!I131</f>
        <v>0</v>
      </c>
      <c r="K1079" s="64">
        <f>IFERROR(SUMIF(INTAKE!$A:$A,$T1079,INTAKE!$P:$P),0)</f>
        <v>0</v>
      </c>
      <c r="L1079" s="1534">
        <f t="shared" si="657"/>
        <v>1041.92</v>
      </c>
      <c r="M1079" s="40"/>
      <c r="N1079" s="84"/>
      <c r="O1079" s="40"/>
      <c r="P1079" s="857"/>
      <c r="Q1079" s="795" t="s">
        <v>1141</v>
      </c>
      <c r="R1079" s="785" t="str">
        <f>IFERROR(VLOOKUP($Q1079,'391'!$S:$Z,8,0),"0")</f>
        <v>0</v>
      </c>
      <c r="S1079" s="796">
        <f>+R1079+R1080</f>
        <v>1651.44</v>
      </c>
      <c r="T1079" s="797" t="str">
        <f>$Q$1080&amp;C1079&amp;E1079</f>
        <v>APA FLOFE 4PFeedmill46200</v>
      </c>
      <c r="U1079" s="797"/>
      <c r="V1079" s="797"/>
      <c r="W1079" s="785">
        <f>IFERROR(VLOOKUP($Q1079,'391'!$S:$AG,15,0),0)</f>
        <v>0</v>
      </c>
      <c r="X1079" s="1090">
        <f t="shared" si="634"/>
        <v>1041.92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265" customFormat="1" ht="30" customHeight="1" x14ac:dyDescent="0.25">
      <c r="A1080" s="2022" t="s">
        <v>968</v>
      </c>
      <c r="B1080" s="2023"/>
      <c r="C1080" s="88"/>
      <c r="D1080" s="864"/>
      <c r="E1080" s="864"/>
      <c r="F1080" s="865"/>
      <c r="G1080" s="1297">
        <v>8041.92</v>
      </c>
      <c r="H1080" s="1297">
        <f t="shared" ref="H1080:I1080" si="664">SUM(H1072:H1079)</f>
        <v>0</v>
      </c>
      <c r="I1080" s="1297">
        <f t="shared" si="664"/>
        <v>0</v>
      </c>
      <c r="J1080" s="1297">
        <f t="shared" ref="J1080:L1080" si="665">SUM(J1072:J1079)</f>
        <v>0</v>
      </c>
      <c r="K1080" s="1297">
        <f t="shared" si="665"/>
        <v>0</v>
      </c>
      <c r="L1080" s="1297">
        <f t="shared" si="665"/>
        <v>8041.92</v>
      </c>
      <c r="M1080" s="998">
        <f>M1071</f>
        <v>275.24</v>
      </c>
      <c r="N1080" s="366">
        <f>IFERROR(L1080/M1080,0)</f>
        <v>29.217846243278593</v>
      </c>
      <c r="O1080" s="982">
        <f>O1071</f>
        <v>0</v>
      </c>
      <c r="P1080" s="880">
        <f>IFERROR(L1080/O1080,0)</f>
        <v>0</v>
      </c>
      <c r="Q1080" s="814" t="s">
        <v>969</v>
      </c>
      <c r="R1080" s="785">
        <f>IFERROR(VLOOKUP($Q1080,'391'!$S:$Z,8,0),"0")</f>
        <v>1651.44</v>
      </c>
      <c r="S1080" s="796"/>
      <c r="T1080" s="797"/>
      <c r="U1080" s="797"/>
      <c r="V1080" s="797"/>
      <c r="W1080" s="785">
        <f>IFERROR(VLOOKUP($Q1080,'391'!$S:$AG,15,0),0)</f>
        <v>8041.92</v>
      </c>
      <c r="X1080" s="1090">
        <f t="shared" si="634"/>
        <v>0</v>
      </c>
      <c r="Y1080" s="1259">
        <f>+W1080+W1079</f>
        <v>8041.92</v>
      </c>
      <c r="Z1080" s="1091">
        <f>G1080-Y1080</f>
        <v>0</v>
      </c>
      <c r="AA1080" s="797"/>
      <c r="AB1080" s="797"/>
      <c r="AC1080" s="551"/>
      <c r="AD1080" s="551"/>
      <c r="AE1080" s="551"/>
      <c r="AF1080" s="551"/>
      <c r="AG1080" s="551"/>
      <c r="AH1080" s="551"/>
      <c r="AI1080" s="704"/>
      <c r="AJ1080" s="704"/>
      <c r="AK1080" s="704"/>
      <c r="AL1080" s="704"/>
      <c r="AM1080" s="704"/>
      <c r="AN1080" s="704"/>
      <c r="AO1080" s="704"/>
      <c r="AP1080" s="704"/>
      <c r="AQ1080" s="704"/>
      <c r="AR1080" s="704"/>
      <c r="AS1080" s="704"/>
    </row>
    <row r="1081" spans="1:45" s="409" customFormat="1" ht="30" hidden="1" customHeight="1" x14ac:dyDescent="0.25">
      <c r="A1081" s="2024" t="str">
        <f>IF(L1086=0,"",MAX($A$16:A1071)+1)</f>
        <v/>
      </c>
      <c r="B1081" s="2027" t="s">
        <v>409</v>
      </c>
      <c r="C1081" s="651" t="s">
        <v>146</v>
      </c>
      <c r="D1081" s="881" t="s">
        <v>10</v>
      </c>
      <c r="E1081" s="882">
        <v>43614</v>
      </c>
      <c r="F1081" s="71">
        <f>$L$7-E1081</f>
        <v>2647</v>
      </c>
      <c r="G1081" s="64">
        <v>0</v>
      </c>
      <c r="H1081" s="1358"/>
      <c r="I1081" s="1358"/>
      <c r="J1081" s="1411"/>
      <c r="K1081" s="1358"/>
      <c r="L1081" s="1534">
        <f t="shared" si="657"/>
        <v>0</v>
      </c>
      <c r="M1081" s="376"/>
      <c r="N1081" s="167"/>
      <c r="O1081" s="50"/>
      <c r="P1081" s="747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4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5"/>
      <c r="B1082" s="2028"/>
      <c r="C1082" s="127" t="s">
        <v>146</v>
      </c>
      <c r="D1082" s="881" t="s">
        <v>10</v>
      </c>
      <c r="E1082" s="882">
        <v>43614</v>
      </c>
      <c r="F1082" s="71">
        <f>$L$7-E1082</f>
        <v>2647</v>
      </c>
      <c r="G1082" s="64">
        <v>0</v>
      </c>
      <c r="H1082" s="1410"/>
      <c r="I1082" s="1410"/>
      <c r="J1082" s="1412"/>
      <c r="K1082" s="1410"/>
      <c r="L1082" s="1534">
        <f t="shared" si="657"/>
        <v>0</v>
      </c>
      <c r="M1082" s="377"/>
      <c r="N1082" s="176"/>
      <c r="O1082" s="46"/>
      <c r="P1082" s="748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si="634"/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9" customFormat="1" ht="30" hidden="1" customHeight="1" x14ac:dyDescent="0.25">
      <c r="A1083" s="2025"/>
      <c r="B1083" s="2028"/>
      <c r="C1083" s="127" t="s">
        <v>255</v>
      </c>
      <c r="D1083" s="881" t="s">
        <v>10</v>
      </c>
      <c r="E1083" s="882">
        <v>43550</v>
      </c>
      <c r="F1083" s="71">
        <f>$L$7-E1083</f>
        <v>2711</v>
      </c>
      <c r="G1083" s="64">
        <v>0</v>
      </c>
      <c r="H1083" s="64"/>
      <c r="I1083" s="64"/>
      <c r="J1083" s="1367"/>
      <c r="K1083" s="64"/>
      <c r="L1083" s="1534">
        <f t="shared" si="657"/>
        <v>0</v>
      </c>
      <c r="M1083" s="373"/>
      <c r="N1083" s="163"/>
      <c r="O1083" s="48"/>
      <c r="P1083" s="750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34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409" customFormat="1" ht="30" hidden="1" customHeight="1" x14ac:dyDescent="0.25">
      <c r="A1084" s="2025"/>
      <c r="B1084" s="2028"/>
      <c r="C1084" s="127" t="s">
        <v>255</v>
      </c>
      <c r="D1084" s="881" t="s">
        <v>10</v>
      </c>
      <c r="E1084" s="882">
        <v>43550</v>
      </c>
      <c r="F1084" s="71">
        <f>$L$7-E1084</f>
        <v>2711</v>
      </c>
      <c r="G1084" s="64">
        <v>0</v>
      </c>
      <c r="H1084" s="64"/>
      <c r="I1084" s="64"/>
      <c r="J1084" s="1367"/>
      <c r="K1084" s="64"/>
      <c r="L1084" s="1534">
        <f t="shared" si="657"/>
        <v>0</v>
      </c>
      <c r="M1084" s="373"/>
      <c r="N1084" s="163"/>
      <c r="O1084" s="48"/>
      <c r="P1084" s="750"/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ref="X1084:X1157" si="666">G1084-W1084</f>
        <v>0</v>
      </c>
      <c r="Y1084" s="785"/>
      <c r="Z1084" s="785"/>
      <c r="AA1084" s="797"/>
      <c r="AB1084" s="797"/>
      <c r="AC1084" s="681"/>
      <c r="AD1084" s="681"/>
      <c r="AE1084" s="681"/>
      <c r="AF1084" s="681"/>
      <c r="AG1084" s="681"/>
      <c r="AH1084" s="681"/>
      <c r="AI1084" s="703"/>
      <c r="AJ1084" s="703"/>
      <c r="AK1084" s="703"/>
      <c r="AL1084" s="703"/>
      <c r="AM1084" s="703"/>
      <c r="AN1084" s="703"/>
      <c r="AO1084" s="703"/>
      <c r="AP1084" s="703"/>
      <c r="AQ1084" s="703"/>
      <c r="AR1084" s="703"/>
      <c r="AS1084" s="703"/>
    </row>
    <row r="1085" spans="1:45" s="401" customFormat="1" ht="30" hidden="1" customHeight="1" x14ac:dyDescent="0.25">
      <c r="A1085" s="2026"/>
      <c r="B1085" s="2029"/>
      <c r="C1085" s="138" t="s">
        <v>46</v>
      </c>
      <c r="D1085" s="850" t="s">
        <v>10</v>
      </c>
      <c r="E1085" s="882">
        <v>43614</v>
      </c>
      <c r="F1085" s="42">
        <f>$L$7-E1085</f>
        <v>2647</v>
      </c>
      <c r="G1085" s="37">
        <v>0</v>
      </c>
      <c r="H1085" s="37"/>
      <c r="I1085" s="37"/>
      <c r="J1085" s="1385">
        <f>+usage!I144</f>
        <v>0</v>
      </c>
      <c r="K1085" s="37"/>
      <c r="L1085" s="1534">
        <f t="shared" si="657"/>
        <v>0</v>
      </c>
      <c r="M1085" s="40"/>
      <c r="N1085" s="84"/>
      <c r="O1085" s="40"/>
      <c r="P1085" s="756"/>
      <c r="Q1085" s="795"/>
      <c r="R1085" s="785">
        <f>IFERROR(VLOOKUP($Q1085,'391'!$S:$Z,8,0),"")</f>
        <v>0</v>
      </c>
      <c r="S1085" s="796"/>
      <c r="T1085" s="797"/>
      <c r="U1085" s="797"/>
      <c r="V1085" s="797"/>
      <c r="W1085" s="785">
        <f>IFERROR(VLOOKUP($Q1085,'391'!$S:$AG,15,0),0)</f>
        <v>0</v>
      </c>
      <c r="X1085" s="1090">
        <f t="shared" si="666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265" customFormat="1" ht="30" hidden="1" customHeight="1" x14ac:dyDescent="0.25">
      <c r="A1086" s="2022" t="s">
        <v>503</v>
      </c>
      <c r="B1086" s="2023"/>
      <c r="C1086" s="88"/>
      <c r="D1086" s="864"/>
      <c r="E1086" s="864"/>
      <c r="F1086" s="865"/>
      <c r="G1086" s="1297">
        <v>0</v>
      </c>
      <c r="H1086" s="1297">
        <f t="shared" ref="H1086:K1086" si="667">SUM(H1081:H1085)</f>
        <v>0</v>
      </c>
      <c r="I1086" s="1297">
        <f t="shared" si="667"/>
        <v>0</v>
      </c>
      <c r="J1086" s="1297">
        <f t="shared" si="667"/>
        <v>0</v>
      </c>
      <c r="K1086" s="1297">
        <f t="shared" si="667"/>
        <v>0</v>
      </c>
      <c r="L1086" s="1534">
        <f t="shared" si="657"/>
        <v>0</v>
      </c>
      <c r="M1086" s="59"/>
      <c r="N1086" s="366">
        <f>IFERROR(L1086/M1086,0)</f>
        <v>0</v>
      </c>
      <c r="O1086" s="59"/>
      <c r="P1086" s="880">
        <f>IFERROR(L1086/O1086,0)</f>
        <v>0</v>
      </c>
      <c r="Q1086" s="795"/>
      <c r="R1086" s="785">
        <f>IFERROR(VLOOKUP($Q1086,'391'!$S:$Z,8,0),"")</f>
        <v>0</v>
      </c>
      <c r="S1086" s="796"/>
      <c r="T1086" s="797"/>
      <c r="U1086" s="797"/>
      <c r="V1086" s="797"/>
      <c r="W1086" s="785">
        <f>IFERROR(VLOOKUP($Q1086,'391'!$S:$AG,15,0),0)</f>
        <v>0</v>
      </c>
      <c r="X1086" s="1090">
        <f t="shared" si="666"/>
        <v>0</v>
      </c>
      <c r="Y1086" s="785"/>
      <c r="Z1086" s="785"/>
      <c r="AA1086" s="797"/>
      <c r="AB1086" s="797"/>
      <c r="AC1086" s="551"/>
      <c r="AD1086" s="551"/>
      <c r="AE1086" s="551"/>
      <c r="AF1086" s="551"/>
      <c r="AG1086" s="551"/>
      <c r="AH1086" s="551"/>
      <c r="AI1086" s="704"/>
      <c r="AJ1086" s="704"/>
      <c r="AK1086" s="704"/>
      <c r="AL1086" s="704"/>
      <c r="AM1086" s="704"/>
      <c r="AN1086" s="704"/>
      <c r="AO1086" s="704"/>
      <c r="AP1086" s="704"/>
      <c r="AQ1086" s="704"/>
      <c r="AR1086" s="704"/>
      <c r="AS1086" s="704"/>
    </row>
    <row r="1087" spans="1:45" s="409" customFormat="1" ht="30" hidden="1" customHeight="1" x14ac:dyDescent="0.25">
      <c r="A1087" s="2024" t="str">
        <f>IF(L1093=0,"",MAX($A$16:A1086)+1)</f>
        <v/>
      </c>
      <c r="B1087" s="2027" t="s">
        <v>609</v>
      </c>
      <c r="C1087" s="127" t="s">
        <v>596</v>
      </c>
      <c r="D1087" s="881" t="s">
        <v>10</v>
      </c>
      <c r="E1087" s="882">
        <v>44580</v>
      </c>
      <c r="F1087" s="71">
        <f t="shared" ref="F1087:F1092" si="668">$L$7-E1087</f>
        <v>1681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57"/>
        <v>0</v>
      </c>
      <c r="M1087" s="376"/>
      <c r="N1087" s="167"/>
      <c r="O1087" s="50"/>
      <c r="P1087" s="747"/>
      <c r="Q1087" s="795"/>
      <c r="R1087" s="785">
        <f>IFERROR(VLOOKUP($Q1087,'391'!$S:$Z,8,0),"")</f>
        <v>0</v>
      </c>
      <c r="S1087" s="796"/>
      <c r="T1087" s="797" t="str">
        <f t="shared" ref="T1087:T1092" si="669">$Q$1093&amp;C1087&amp;E1087</f>
        <v>Pigfen 40mg/g (Bulgaria)V2.144580</v>
      </c>
      <c r="U1087" s="797"/>
      <c r="V1087" s="797"/>
      <c r="W1087" s="785">
        <f>IFERROR(VLOOKUP($Q1087,'391'!$S:$AG,15,0),0)</f>
        <v>0</v>
      </c>
      <c r="X1087" s="1090">
        <f t="shared" si="666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5"/>
      <c r="B1088" s="2028"/>
      <c r="C1088" s="127" t="s">
        <v>596</v>
      </c>
      <c r="D1088" s="881" t="s">
        <v>10</v>
      </c>
      <c r="E1088" s="882">
        <v>44622</v>
      </c>
      <c r="F1088" s="71">
        <f t="shared" si="668"/>
        <v>1639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57"/>
        <v>0</v>
      </c>
      <c r="M1088" s="373"/>
      <c r="N1088" s="163"/>
      <c r="O1088" s="48"/>
      <c r="P1088" s="750"/>
      <c r="Q1088" s="795"/>
      <c r="R1088" s="785">
        <f>IFERROR(VLOOKUP($Q1088,'391'!$S:$Z,8,0),"")</f>
        <v>0</v>
      </c>
      <c r="S1088" s="796"/>
      <c r="T1088" s="797" t="str">
        <f t="shared" si="669"/>
        <v>Pigfen 40mg/g (Bulgaria)V2.144622</v>
      </c>
      <c r="U1088" s="797"/>
      <c r="V1088" s="797"/>
      <c r="W1088" s="785">
        <f>IFERROR(VLOOKUP($Q1088,'391'!$S:$AG,15,0),0)</f>
        <v>0</v>
      </c>
      <c r="X1088" s="1090">
        <f t="shared" si="666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5"/>
      <c r="B1089" s="2028"/>
      <c r="C1089" s="127"/>
      <c r="D1089" s="881" t="s">
        <v>10</v>
      </c>
      <c r="E1089" s="882">
        <v>44622</v>
      </c>
      <c r="F1089" s="71">
        <f t="shared" si="668"/>
        <v>1639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si="657"/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69"/>
        <v>Pigfen 40mg/g (Bulgaria)44622</v>
      </c>
      <c r="U1089" s="797"/>
      <c r="V1089" s="797"/>
      <c r="W1089" s="785">
        <f>IFERROR(VLOOKUP($Q1089,'391'!$S:$AG,15,0),0)</f>
        <v>0</v>
      </c>
      <c r="X1089" s="1090">
        <f t="shared" si="666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9" customFormat="1" ht="30" hidden="1" customHeight="1" x14ac:dyDescent="0.25">
      <c r="A1090" s="2025"/>
      <c r="B1090" s="2028"/>
      <c r="C1090" s="127"/>
      <c r="D1090" s="881" t="s">
        <v>10</v>
      </c>
      <c r="E1090" s="882">
        <v>44356</v>
      </c>
      <c r="F1090" s="71">
        <f t="shared" si="668"/>
        <v>1905</v>
      </c>
      <c r="G1090" s="64">
        <v>0</v>
      </c>
      <c r="H1090" s="64"/>
      <c r="I1090" s="64"/>
      <c r="J1090" s="1367"/>
      <c r="K1090" s="64">
        <f>IFERROR(SUMIF(INTAKE!$A:$A,$T1090,INTAKE!$P:$P),0)</f>
        <v>0</v>
      </c>
      <c r="L1090" s="1534">
        <f t="shared" si="657"/>
        <v>0</v>
      </c>
      <c r="M1090" s="370"/>
      <c r="N1090" s="162"/>
      <c r="O1090" s="45"/>
      <c r="P1090" s="756"/>
      <c r="Q1090" s="795"/>
      <c r="R1090" s="785">
        <f>IFERROR(VLOOKUP($Q1090,'391'!$S:$Z,8,0),"")</f>
        <v>0</v>
      </c>
      <c r="S1090" s="796"/>
      <c r="T1090" s="797" t="str">
        <f t="shared" si="669"/>
        <v>Pigfen 40mg/g (Bulgaria)44356</v>
      </c>
      <c r="U1090" s="797"/>
      <c r="V1090" s="797"/>
      <c r="W1090" s="785">
        <f>IFERROR(VLOOKUP($Q1090,'391'!$S:$AG,15,0),0)</f>
        <v>0</v>
      </c>
      <c r="X1090" s="1090">
        <f t="shared" si="666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409" customFormat="1" ht="30" hidden="1" customHeight="1" x14ac:dyDescent="0.25">
      <c r="A1091" s="2025"/>
      <c r="B1091" s="2028"/>
      <c r="C1091" s="127"/>
      <c r="D1091" s="881" t="s">
        <v>10</v>
      </c>
      <c r="E1091" s="882">
        <v>43895</v>
      </c>
      <c r="F1091" s="71">
        <f t="shared" si="668"/>
        <v>2366</v>
      </c>
      <c r="G1091" s="64">
        <v>0</v>
      </c>
      <c r="H1091" s="64"/>
      <c r="I1091" s="64"/>
      <c r="J1091" s="1367"/>
      <c r="K1091" s="64">
        <f>IFERROR(SUMIF(INTAKE!$A:$A,$T1091,INTAKE!$P:$P),0)</f>
        <v>0</v>
      </c>
      <c r="L1091" s="1534">
        <f t="shared" ref="L1091:L1121" si="670">+G1091+H1091+I1091-J1091-K1091</f>
        <v>0</v>
      </c>
      <c r="M1091" s="370"/>
      <c r="N1091" s="162"/>
      <c r="O1091" s="45"/>
      <c r="P1091" s="756"/>
      <c r="Q1091" s="795"/>
      <c r="R1091" s="785">
        <f>IFERROR(VLOOKUP($Q1091,'391'!$S:$Z,8,0),"")</f>
        <v>0</v>
      </c>
      <c r="S1091" s="796"/>
      <c r="T1091" s="797" t="str">
        <f t="shared" si="669"/>
        <v>Pigfen 40mg/g (Bulgaria)43895</v>
      </c>
      <c r="U1091" s="797"/>
      <c r="V1091" s="797"/>
      <c r="W1091" s="785">
        <f>IFERROR(VLOOKUP($Q1091,'391'!$S:$AG,15,0),0)</f>
        <v>0</v>
      </c>
      <c r="X1091" s="1090">
        <f t="shared" si="666"/>
        <v>0</v>
      </c>
      <c r="Y1091" s="785"/>
      <c r="Z1091" s="785"/>
      <c r="AA1091" s="797"/>
      <c r="AB1091" s="797"/>
      <c r="AC1091" s="681"/>
      <c r="AD1091" s="681"/>
      <c r="AE1091" s="681"/>
      <c r="AF1091" s="681"/>
      <c r="AG1091" s="681"/>
      <c r="AH1091" s="681"/>
      <c r="AI1091" s="703"/>
      <c r="AJ1091" s="703"/>
      <c r="AK1091" s="703"/>
      <c r="AL1091" s="703"/>
      <c r="AM1091" s="703"/>
      <c r="AN1091" s="703"/>
      <c r="AO1091" s="703"/>
      <c r="AP1091" s="703"/>
      <c r="AQ1091" s="703"/>
      <c r="AR1091" s="703"/>
      <c r="AS1091" s="703"/>
    </row>
    <row r="1092" spans="1:45" s="401" customFormat="1" ht="30" hidden="1" customHeight="1" x14ac:dyDescent="0.25">
      <c r="A1092" s="2026"/>
      <c r="B1092" s="2029"/>
      <c r="C1092" s="138" t="s">
        <v>46</v>
      </c>
      <c r="D1092" s="850" t="s">
        <v>10</v>
      </c>
      <c r="E1092" s="851">
        <v>44622</v>
      </c>
      <c r="F1092" s="42">
        <f t="shared" si="668"/>
        <v>1639</v>
      </c>
      <c r="G1092" s="37">
        <v>0</v>
      </c>
      <c r="H1092" s="37"/>
      <c r="I1092" s="37">
        <f>SUM(K1087:K1089)</f>
        <v>0</v>
      </c>
      <c r="J1092" s="1385">
        <f>+usage!I145</f>
        <v>0</v>
      </c>
      <c r="K1092" s="64">
        <f>IFERROR(SUMIF(INTAKE!$A:$A,$T1092,INTAKE!$P:$P),0)</f>
        <v>0</v>
      </c>
      <c r="L1092" s="1534">
        <f t="shared" si="670"/>
        <v>0</v>
      </c>
      <c r="M1092" s="40"/>
      <c r="N1092" s="84"/>
      <c r="O1092" s="40"/>
      <c r="P1092" s="756"/>
      <c r="Q1092" s="795"/>
      <c r="R1092" s="785">
        <f>IFERROR(VLOOKUP($Q1092,'391'!$S:$Z,8,0),"")</f>
        <v>0</v>
      </c>
      <c r="S1092" s="796"/>
      <c r="T1092" s="797" t="str">
        <f t="shared" si="669"/>
        <v>Pigfen 40mg/g (Bulgaria)Feedmill44622</v>
      </c>
      <c r="U1092" s="797"/>
      <c r="V1092" s="797"/>
      <c r="W1092" s="785">
        <f>IFERROR(VLOOKUP($Q1092,'391'!$S:$AG,15,0),0)</f>
        <v>0</v>
      </c>
      <c r="X1092" s="1090">
        <f t="shared" si="666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265" customFormat="1" ht="30" hidden="1" customHeight="1" x14ac:dyDescent="0.25">
      <c r="A1093" s="2022" t="s">
        <v>1123</v>
      </c>
      <c r="B1093" s="2023"/>
      <c r="C1093" s="88"/>
      <c r="D1093" s="864"/>
      <c r="E1093" s="864"/>
      <c r="F1093" s="865"/>
      <c r="G1093" s="1297">
        <v>0</v>
      </c>
      <c r="H1093" s="1297">
        <f t="shared" ref="H1093:I1093" si="671">SUM(H1087:H1092)</f>
        <v>0</v>
      </c>
      <c r="I1093" s="1297">
        <f t="shared" si="671"/>
        <v>0</v>
      </c>
      <c r="J1093" s="1297">
        <f t="shared" ref="J1093:K1093" si="672">SUM(J1087:J1092)</f>
        <v>0</v>
      </c>
      <c r="K1093" s="1297">
        <f t="shared" si="672"/>
        <v>0</v>
      </c>
      <c r="L1093" s="1534">
        <f t="shared" si="670"/>
        <v>0</v>
      </c>
      <c r="M1093" s="59">
        <f>IFERROR(S1093/$S$2,"")</f>
        <v>69.933333333333337</v>
      </c>
      <c r="N1093" s="366">
        <f>IFERROR(L1093/M1093,0)</f>
        <v>0</v>
      </c>
      <c r="O1093" s="59">
        <f>IFERROR(SUMIF(ETM!$A:$A,$Q1093,ETM!$E:$E),"")</f>
        <v>53.333333333333336</v>
      </c>
      <c r="P1093" s="880">
        <f>IFERROR(L1093/O1093,0)</f>
        <v>0</v>
      </c>
      <c r="Q1093" s="814" t="s">
        <v>677</v>
      </c>
      <c r="R1093" s="785" t="str">
        <f>IFERROR(VLOOKUP($Q1093,'391'!$S:$Z,8,0),"0")</f>
        <v>0</v>
      </c>
      <c r="S1093" s="819">
        <f>+R1093+R1343</f>
        <v>419.6</v>
      </c>
      <c r="T1093" s="797"/>
      <c r="U1093" s="797"/>
      <c r="V1093" s="797"/>
      <c r="W1093" s="785">
        <f>IFERROR(VLOOKUP($Q1093,'391'!$S:$AG,15,0),0)</f>
        <v>0</v>
      </c>
      <c r="X1093" s="1090">
        <f t="shared" si="666"/>
        <v>0</v>
      </c>
      <c r="Y1093" s="785"/>
      <c r="Z1093" s="785"/>
      <c r="AA1093" s="797"/>
      <c r="AB1093" s="797"/>
      <c r="AC1093" s="551"/>
      <c r="AD1093" s="551"/>
      <c r="AE1093" s="551"/>
      <c r="AF1093" s="551"/>
      <c r="AG1093" s="551"/>
      <c r="AH1093" s="551"/>
      <c r="AI1093" s="704"/>
      <c r="AJ1093" s="704"/>
      <c r="AK1093" s="704"/>
      <c r="AL1093" s="704"/>
      <c r="AM1093" s="704"/>
      <c r="AN1093" s="704"/>
      <c r="AO1093" s="704"/>
      <c r="AP1093" s="704"/>
      <c r="AQ1093" s="704"/>
      <c r="AR1093" s="704"/>
      <c r="AS1093" s="704"/>
    </row>
    <row r="1094" spans="1:45" s="409" customFormat="1" ht="30" hidden="1" customHeight="1" x14ac:dyDescent="0.25">
      <c r="A1094" s="2024">
        <f>IF(L1100=0,"",MAX($A$16:A1093)+1)</f>
        <v>73</v>
      </c>
      <c r="B1094" s="2027" t="s">
        <v>349</v>
      </c>
      <c r="C1094" s="160"/>
      <c r="D1094" s="881" t="s">
        <v>10</v>
      </c>
      <c r="E1094" s="882">
        <v>45953</v>
      </c>
      <c r="F1094" s="71">
        <f t="shared" ref="F1094" si="673">$L$7-E1094</f>
        <v>308</v>
      </c>
      <c r="G1094" s="64">
        <v>0</v>
      </c>
      <c r="H1094" s="64"/>
      <c r="I1094" s="64"/>
      <c r="J1094" s="1367"/>
      <c r="K1094" s="1348">
        <f>IFERROR(SUMIF(INTAKE!$A:$A,$T1094,INTAKE!$P:$P),0)</f>
        <v>0</v>
      </c>
      <c r="L1094" s="1703">
        <f t="shared" si="670"/>
        <v>0</v>
      </c>
      <c r="M1094" s="380"/>
      <c r="N1094" s="95"/>
      <c r="O1094" s="44"/>
      <c r="P1094" s="758"/>
      <c r="Q1094" s="795"/>
      <c r="R1094" s="785">
        <f>IFERROR(VLOOKUP($Q1094,'391'!$S:$Z,8,0),"")</f>
        <v>0</v>
      </c>
      <c r="S1094" s="796"/>
      <c r="T1094" s="797" t="str">
        <f t="shared" ref="T1094:T1099" si="674">$Q$1100&amp;C1094&amp;E1094</f>
        <v>Avi - Mul Top Feed Grade (Italy)45953</v>
      </c>
      <c r="U1094" s="797"/>
      <c r="V1094" s="797"/>
      <c r="W1094" s="785">
        <f>IFERROR(VLOOKUP($Q1094,'391'!$S:$AG,15,0),0)</f>
        <v>0</v>
      </c>
      <c r="X1094" s="1090">
        <f t="shared" si="666"/>
        <v>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hidden="1" customHeight="1" x14ac:dyDescent="0.25">
      <c r="A1095" s="2025"/>
      <c r="B1095" s="2028"/>
      <c r="C1095" s="160"/>
      <c r="D1095" s="881" t="s">
        <v>10</v>
      </c>
      <c r="E1095" s="882">
        <v>45999</v>
      </c>
      <c r="F1095" s="71">
        <f t="shared" ref="F1095" si="675">$L$7-E1095</f>
        <v>262</v>
      </c>
      <c r="G1095" s="64">
        <v>0</v>
      </c>
      <c r="H1095" s="64"/>
      <c r="I1095" s="64"/>
      <c r="J1095" s="1367"/>
      <c r="K1095" s="1348">
        <f>IFERROR(SUMIF(INTAKE!$A:$A,$T1095,INTAKE!$P:$P),0)</f>
        <v>0</v>
      </c>
      <c r="L1095" s="1703">
        <f t="shared" si="670"/>
        <v>0</v>
      </c>
      <c r="M1095" s="389"/>
      <c r="N1095" s="163"/>
      <c r="O1095" s="48"/>
      <c r="P1095" s="750"/>
      <c r="Q1095" s="795"/>
      <c r="R1095" s="785">
        <f>IFERROR(VLOOKUP($Q1095,'391'!$S:$Z,8,0),"")</f>
        <v>0</v>
      </c>
      <c r="S1095" s="796"/>
      <c r="T1095" s="797" t="str">
        <f t="shared" si="674"/>
        <v>Avi - Mul Top Feed Grade (Italy)45999</v>
      </c>
      <c r="U1095" s="797"/>
      <c r="V1095" s="797"/>
      <c r="W1095" s="785">
        <f>IFERROR(VLOOKUP($Q1095,'391'!$S:$AG,15,0),0)</f>
        <v>0</v>
      </c>
      <c r="X1095" s="1090">
        <f t="shared" si="666"/>
        <v>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25"/>
      <c r="B1096" s="2028"/>
      <c r="C1096" s="160" t="s">
        <v>490</v>
      </c>
      <c r="D1096" s="881" t="s">
        <v>10</v>
      </c>
      <c r="E1096" s="882">
        <v>46205</v>
      </c>
      <c r="F1096" s="71">
        <f t="shared" ref="F1096:F1097" si="676">$L$7-E1096</f>
        <v>56</v>
      </c>
      <c r="G1096" s="64">
        <v>9900</v>
      </c>
      <c r="H1096" s="1348"/>
      <c r="I1096" s="64"/>
      <c r="J1096" s="1367"/>
      <c r="K1096" s="64">
        <f>IFERROR(SUMIF(INTAKE!$A:$A,$T1096,INTAKE!$P:$P),0)</f>
        <v>0</v>
      </c>
      <c r="L1096" s="1703">
        <f t="shared" si="670"/>
        <v>9900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4"/>
        <v>Avi - Mul Top Feed Grade (Italy)A15.146205</v>
      </c>
      <c r="U1096" s="797"/>
      <c r="V1096" s="797"/>
      <c r="W1096" s="785">
        <f>IFERROR(VLOOKUP($Q1096,'391'!$S:$AG,15,0),0)</f>
        <v>0</v>
      </c>
      <c r="X1096" s="1090">
        <f t="shared" si="666"/>
        <v>9900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9" customFormat="1" ht="30" customHeight="1" x14ac:dyDescent="0.25">
      <c r="A1097" s="2025"/>
      <c r="B1097" s="2028"/>
      <c r="C1097" s="160" t="s">
        <v>490</v>
      </c>
      <c r="D1097" s="881" t="s">
        <v>10</v>
      </c>
      <c r="E1097" s="882">
        <v>46233</v>
      </c>
      <c r="F1097" s="71">
        <f t="shared" si="676"/>
        <v>28</v>
      </c>
      <c r="G1097" s="64">
        <v>16200</v>
      </c>
      <c r="H1097" s="1348"/>
      <c r="I1097" s="64"/>
      <c r="J1097" s="1367"/>
      <c r="K1097" s="64">
        <f>IFERROR(SUMIF(INTAKE!$A:$A,$T1097,INTAKE!$P:$P),0)</f>
        <v>0</v>
      </c>
      <c r="L1097" s="1703">
        <f t="shared" si="670"/>
        <v>16200</v>
      </c>
      <c r="M1097" s="510"/>
      <c r="N1097" s="162"/>
      <c r="O1097" s="45"/>
      <c r="P1097" s="756"/>
      <c r="Q1097" s="795"/>
      <c r="R1097" s="785">
        <f>IFERROR(VLOOKUP($Q1097,'391'!$S:$Z,8,0),"")</f>
        <v>0</v>
      </c>
      <c r="S1097" s="796"/>
      <c r="T1097" s="797" t="str">
        <f t="shared" si="674"/>
        <v>Avi - Mul Top Feed Grade (Italy)A15.146233</v>
      </c>
      <c r="U1097" s="797"/>
      <c r="V1097" s="797"/>
      <c r="W1097" s="785">
        <f>IFERROR(VLOOKUP($Q1097,'391'!$S:$AG,15,0),0)</f>
        <v>0</v>
      </c>
      <c r="X1097" s="1090">
        <f t="shared" si="666"/>
        <v>16200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409" customFormat="1" ht="30" hidden="1" customHeight="1" x14ac:dyDescent="0.25">
      <c r="A1098" s="2025"/>
      <c r="B1098" s="2028"/>
      <c r="C1098" s="160"/>
      <c r="D1098" s="881" t="s">
        <v>10</v>
      </c>
      <c r="E1098" s="882">
        <v>46233</v>
      </c>
      <c r="F1098" s="71">
        <f t="shared" ref="F1098:F1099" si="677">$L$7-E1098</f>
        <v>28</v>
      </c>
      <c r="G1098" s="64">
        <v>0</v>
      </c>
      <c r="H1098" s="64"/>
      <c r="I1098" s="64"/>
      <c r="J1098" s="1367"/>
      <c r="K1098" s="64">
        <f>IFERROR(SUMIF(INTAKE!$A:$A,$T1098,INTAKE!$P:$P),0)</f>
        <v>0</v>
      </c>
      <c r="L1098" s="1703">
        <f t="shared" si="670"/>
        <v>0</v>
      </c>
      <c r="M1098" s="510"/>
      <c r="N1098" s="162"/>
      <c r="O1098" s="45"/>
      <c r="P1098" s="756"/>
      <c r="Q1098" s="795"/>
      <c r="R1098" s="785">
        <f>IFERROR(VLOOKUP($Q1098,'391'!$S:$Z,8,0),"")</f>
        <v>0</v>
      </c>
      <c r="S1098" s="796"/>
      <c r="T1098" s="797" t="str">
        <f t="shared" si="674"/>
        <v>Avi - Mul Top Feed Grade (Italy)46233</v>
      </c>
      <c r="U1098" s="797"/>
      <c r="V1098" s="797"/>
      <c r="W1098" s="785">
        <f>IFERROR(VLOOKUP($Q1098,'391'!$S:$AG,15,0),0)</f>
        <v>0</v>
      </c>
      <c r="X1098" s="1090">
        <f t="shared" si="666"/>
        <v>0</v>
      </c>
      <c r="Y1098" s="785"/>
      <c r="Z1098" s="785"/>
      <c r="AA1098" s="797"/>
      <c r="AB1098" s="797"/>
      <c r="AC1098" s="681"/>
      <c r="AD1098" s="681"/>
      <c r="AE1098" s="681"/>
      <c r="AF1098" s="681"/>
      <c r="AG1098" s="681"/>
      <c r="AH1098" s="681"/>
      <c r="AI1098" s="703"/>
      <c r="AJ1098" s="703"/>
      <c r="AK1098" s="703"/>
      <c r="AL1098" s="703"/>
      <c r="AM1098" s="703"/>
      <c r="AN1098" s="703"/>
      <c r="AO1098" s="703"/>
      <c r="AP1098" s="703"/>
      <c r="AQ1098" s="703"/>
      <c r="AR1098" s="703"/>
      <c r="AS1098" s="703"/>
    </row>
    <row r="1099" spans="1:45" s="401" customFormat="1" ht="30" customHeight="1" x14ac:dyDescent="0.25">
      <c r="A1099" s="2026"/>
      <c r="B1099" s="2029"/>
      <c r="C1099" s="61" t="s">
        <v>867</v>
      </c>
      <c r="D1099" s="850" t="s">
        <v>10</v>
      </c>
      <c r="E1099" s="851">
        <v>46205</v>
      </c>
      <c r="F1099" s="42">
        <f t="shared" si="677"/>
        <v>56</v>
      </c>
      <c r="G1099" s="37">
        <v>869.20000000000027</v>
      </c>
      <c r="H1099" s="37"/>
      <c r="I1099" s="37">
        <f>+SUM(K1094:K1097)</f>
        <v>0</v>
      </c>
      <c r="J1099" s="1385">
        <f>+usage!I101</f>
        <v>203.5</v>
      </c>
      <c r="K1099" s="64">
        <f>IFERROR(SUMIF(INTAKE!$A:$A,$T1099,INTAKE!$P:$P),0)</f>
        <v>0</v>
      </c>
      <c r="L1099" s="1534">
        <f t="shared" si="670"/>
        <v>665.70000000000027</v>
      </c>
      <c r="M1099" s="40"/>
      <c r="N1099" s="84"/>
      <c r="O1099" s="40"/>
      <c r="P1099" s="756"/>
      <c r="Q1099" s="795"/>
      <c r="R1099" s="785">
        <f>IFERROR(VLOOKUP($Q1099,'391'!$S:$Z,8,0),"")</f>
        <v>0</v>
      </c>
      <c r="S1099" s="796"/>
      <c r="T1099" s="797" t="str">
        <f t="shared" si="674"/>
        <v>Avi - Mul Top Feed Grade (Italy)LA846205</v>
      </c>
      <c r="U1099" s="797"/>
      <c r="V1099" s="797"/>
      <c r="W1099" s="785">
        <f>IFERROR(VLOOKUP($Q1099,'391'!$S:$AG,15,0),0)</f>
        <v>0</v>
      </c>
      <c r="X1099" s="1090">
        <f t="shared" si="666"/>
        <v>869.20000000000027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265" customFormat="1" ht="30" customHeight="1" x14ac:dyDescent="0.25">
      <c r="A1100" s="2022" t="s">
        <v>329</v>
      </c>
      <c r="B1100" s="2023"/>
      <c r="C1100" s="88"/>
      <c r="D1100" s="864"/>
      <c r="E1100" s="864"/>
      <c r="F1100" s="865"/>
      <c r="G1100" s="1297">
        <v>26969.200000000001</v>
      </c>
      <c r="H1100" s="1297">
        <f>+SUM(H1094:H1099)</f>
        <v>0</v>
      </c>
      <c r="I1100" s="1297">
        <f t="shared" ref="I1100:L1100" si="678">+SUM(I1094:I1099)</f>
        <v>0</v>
      </c>
      <c r="J1100" s="1297">
        <f t="shared" si="678"/>
        <v>203.5</v>
      </c>
      <c r="K1100" s="1297">
        <f t="shared" si="678"/>
        <v>0</v>
      </c>
      <c r="L1100" s="1297">
        <f t="shared" si="678"/>
        <v>26765.7</v>
      </c>
      <c r="M1100" s="59">
        <f>IFERROR(R1100/$S$2,"")</f>
        <v>325.71666666666664</v>
      </c>
      <c r="N1100" s="366">
        <f>IFERROR(L1100/M1100,0)</f>
        <v>82.174794043903191</v>
      </c>
      <c r="O1100" s="59">
        <f>IFERROR(SUMIF(ETM!$A:$A,$Q1100,ETM!$E:$E),"")</f>
        <v>359.16666666666663</v>
      </c>
      <c r="P1100" s="880">
        <f>IFERROR(L1100/O1100,0)</f>
        <v>74.521670533642705</v>
      </c>
      <c r="Q1100" s="814" t="s">
        <v>678</v>
      </c>
      <c r="R1100" s="785">
        <f>IFERROR(VLOOKUP($Q1100,'391'!$S:$Z,8,0),"")</f>
        <v>1954.3</v>
      </c>
      <c r="S1100" s="796"/>
      <c r="T1100" s="797"/>
      <c r="U1100" s="797"/>
      <c r="V1100" s="797"/>
      <c r="W1100" s="785">
        <f>IFERROR(VLOOKUP($Q1100,'391'!$S:$AG,15,0),0)</f>
        <v>28166.3</v>
      </c>
      <c r="X1100" s="1090">
        <f t="shared" si="666"/>
        <v>-1197.0999999999985</v>
      </c>
      <c r="Y1100" s="785"/>
      <c r="Z1100" s="785"/>
      <c r="AA1100" s="797"/>
      <c r="AB1100" s="797"/>
      <c r="AC1100" s="551"/>
      <c r="AD1100" s="551"/>
      <c r="AE1100" s="551"/>
      <c r="AF1100" s="551"/>
      <c r="AG1100" s="551"/>
      <c r="AH1100" s="551"/>
      <c r="AI1100" s="704"/>
      <c r="AJ1100" s="704"/>
      <c r="AK1100" s="704"/>
      <c r="AL1100" s="704"/>
      <c r="AM1100" s="704"/>
      <c r="AN1100" s="704"/>
      <c r="AO1100" s="704"/>
      <c r="AP1100" s="704"/>
      <c r="AQ1100" s="704"/>
      <c r="AR1100" s="704"/>
      <c r="AS1100" s="704"/>
    </row>
    <row r="1101" spans="1:45" s="409" customFormat="1" ht="30" customHeight="1" x14ac:dyDescent="0.25">
      <c r="A1101" s="2024">
        <f>IF(L1108=0,"",MAX($A$16:A1100)+1)</f>
        <v>74</v>
      </c>
      <c r="B1101" s="2027" t="s">
        <v>2172</v>
      </c>
      <c r="C1101" s="127" t="s">
        <v>255</v>
      </c>
      <c r="D1101" s="881" t="s">
        <v>10</v>
      </c>
      <c r="E1101" s="882">
        <v>46241</v>
      </c>
      <c r="F1101" s="71">
        <f t="shared" ref="F1101" si="679">$L$7-E1101</f>
        <v>20</v>
      </c>
      <c r="G1101" s="63">
        <v>25</v>
      </c>
      <c r="H1101" s="64"/>
      <c r="I1101" s="64"/>
      <c r="J1101" s="1378"/>
      <c r="K1101" s="64">
        <f>IFERROR(SUMIF(INTAKE!$A:$A,$T1101,INTAKE!$P:$P),0)</f>
        <v>0</v>
      </c>
      <c r="L1101" s="1703">
        <f t="shared" si="670"/>
        <v>25</v>
      </c>
      <c r="M1101" s="377"/>
      <c r="N1101" s="176"/>
      <c r="O1101" s="46"/>
      <c r="P1101" s="748"/>
      <c r="Q1101" s="795"/>
      <c r="R1101" s="785">
        <f>IFERROR(VLOOKUP($Q1101,'391'!$S:$Z,8,0),"")</f>
        <v>0</v>
      </c>
      <c r="S1101" s="796"/>
      <c r="T1101" s="797" t="str">
        <f t="shared" ref="T1101:T1107" si="680">$Q$1108&amp;C1101&amp;E1101</f>
        <v>ActisafZ6.246241</v>
      </c>
      <c r="U1101" s="797"/>
      <c r="V1101" s="797"/>
      <c r="W1101" s="785">
        <f>IFERROR(VLOOKUP($Q1101,'391'!$S:$AG,15,0),0)</f>
        <v>0</v>
      </c>
      <c r="X1101" s="1090">
        <f t="shared" si="666"/>
        <v>25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25"/>
      <c r="B1102" s="2028"/>
      <c r="C1102" s="127"/>
      <c r="D1102" s="881" t="s">
        <v>10</v>
      </c>
      <c r="E1102" s="882">
        <v>46241</v>
      </c>
      <c r="F1102" s="71">
        <f t="shared" ref="F1101:F1107" si="681">$L$7-E1102</f>
        <v>20</v>
      </c>
      <c r="G1102" s="63"/>
      <c r="H1102" s="64"/>
      <c r="I1102" s="64"/>
      <c r="J1102" s="1378"/>
      <c r="K1102" s="64">
        <f>IFERROR(SUMIF(INTAKE!$A:$A,$T1102,INTAKE!$P:$P),0)</f>
        <v>0</v>
      </c>
      <c r="L1102" s="1534">
        <f t="shared" si="670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0"/>
        <v>Actisaf46241</v>
      </c>
      <c r="U1102" s="797"/>
      <c r="V1102" s="797"/>
      <c r="W1102" s="785">
        <f>IFERROR(VLOOKUP($Q1102,'391'!$S:$AG,15,0),0)</f>
        <v>0</v>
      </c>
      <c r="X1102" s="1090">
        <f t="shared" si="666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5"/>
      <c r="B1103" s="2028"/>
      <c r="C1103" s="127"/>
      <c r="D1103" s="881" t="s">
        <v>10</v>
      </c>
      <c r="E1103" s="882">
        <v>44894</v>
      </c>
      <c r="F1103" s="71">
        <f t="shared" si="681"/>
        <v>1367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70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0"/>
        <v>Actisaf44894</v>
      </c>
      <c r="U1103" s="797"/>
      <c r="V1103" s="797"/>
      <c r="W1103" s="785">
        <f>IFERROR(VLOOKUP($Q1103,'391'!$S:$AG,15,0),0)</f>
        <v>0</v>
      </c>
      <c r="X1103" s="1090">
        <f t="shared" si="666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5"/>
      <c r="B1104" s="2028"/>
      <c r="C1104" s="127"/>
      <c r="D1104" s="881" t="s">
        <v>10</v>
      </c>
      <c r="E1104" s="882">
        <v>44650</v>
      </c>
      <c r="F1104" s="71">
        <f t="shared" si="681"/>
        <v>1611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70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0"/>
        <v>Actisaf44650</v>
      </c>
      <c r="U1104" s="797"/>
      <c r="V1104" s="797"/>
      <c r="W1104" s="785">
        <f>IFERROR(VLOOKUP($Q1104,'391'!$S:$AG,15,0),0)</f>
        <v>0</v>
      </c>
      <c r="X1104" s="1090">
        <f t="shared" si="666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9" customFormat="1" ht="30" hidden="1" customHeight="1" x14ac:dyDescent="0.25">
      <c r="A1105" s="2025"/>
      <c r="B1105" s="2028"/>
      <c r="C1105" s="127"/>
      <c r="D1105" s="881" t="s">
        <v>10</v>
      </c>
      <c r="E1105" s="882">
        <v>42985</v>
      </c>
      <c r="F1105" s="71">
        <f t="shared" si="681"/>
        <v>3276</v>
      </c>
      <c r="G1105" s="63">
        <v>0</v>
      </c>
      <c r="H1105" s="64"/>
      <c r="I1105" s="64"/>
      <c r="J1105" s="1378"/>
      <c r="K1105" s="64">
        <f>IFERROR(SUMIF(INTAKE!$A:$A,$T1105,INTAKE!$P:$P),0)</f>
        <v>0</v>
      </c>
      <c r="L1105" s="1534">
        <f t="shared" si="670"/>
        <v>0</v>
      </c>
      <c r="M1105" s="373"/>
      <c r="N1105" s="163"/>
      <c r="O1105" s="48"/>
      <c r="P1105" s="750"/>
      <c r="Q1105" s="795"/>
      <c r="R1105" s="785">
        <f>IFERROR(VLOOKUP($Q1105,'391'!$S:$Z,8,0),"")</f>
        <v>0</v>
      </c>
      <c r="S1105" s="796"/>
      <c r="T1105" s="797" t="str">
        <f t="shared" si="680"/>
        <v>Actisaf42985</v>
      </c>
      <c r="U1105" s="797"/>
      <c r="V1105" s="797"/>
      <c r="W1105" s="785">
        <f>IFERROR(VLOOKUP($Q1105,'391'!$S:$AG,15,0),0)</f>
        <v>0</v>
      </c>
      <c r="X1105" s="1090">
        <f t="shared" si="666"/>
        <v>0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409" customFormat="1" ht="30" hidden="1" customHeight="1" x14ac:dyDescent="0.25">
      <c r="A1106" s="2025"/>
      <c r="B1106" s="2028"/>
      <c r="C1106" s="127"/>
      <c r="D1106" s="881" t="s">
        <v>10</v>
      </c>
      <c r="E1106" s="882">
        <v>42985</v>
      </c>
      <c r="F1106" s="71">
        <f t="shared" si="681"/>
        <v>3276</v>
      </c>
      <c r="G1106" s="63">
        <v>0</v>
      </c>
      <c r="H1106" s="64"/>
      <c r="I1106" s="64"/>
      <c r="J1106" s="1378"/>
      <c r="K1106" s="64">
        <f>IFERROR(SUMIF(INTAKE!$A:$A,$T1106,INTAKE!$P:$P),0)</f>
        <v>0</v>
      </c>
      <c r="L1106" s="1534">
        <f t="shared" si="670"/>
        <v>0</v>
      </c>
      <c r="M1106" s="373"/>
      <c r="N1106" s="163"/>
      <c r="O1106" s="48"/>
      <c r="P1106" s="750"/>
      <c r="Q1106" s="795"/>
      <c r="R1106" s="785">
        <f>IFERROR(VLOOKUP($Q1106,'391'!$S:$Z,8,0),"")</f>
        <v>0</v>
      </c>
      <c r="S1106" s="796"/>
      <c r="T1106" s="797" t="str">
        <f t="shared" si="680"/>
        <v>Actisaf42985</v>
      </c>
      <c r="U1106" s="797"/>
      <c r="V1106" s="797"/>
      <c r="W1106" s="785">
        <f>IFERROR(VLOOKUP($Q1106,'391'!$S:$AG,15,0),0)</f>
        <v>0</v>
      </c>
      <c r="X1106" s="1090">
        <f t="shared" si="666"/>
        <v>0</v>
      </c>
      <c r="Y1106" s="785"/>
      <c r="Z1106" s="785"/>
      <c r="AA1106" s="797"/>
      <c r="AB1106" s="797"/>
      <c r="AC1106" s="681"/>
      <c r="AD1106" s="681"/>
      <c r="AE1106" s="681"/>
      <c r="AF1106" s="681"/>
      <c r="AG1106" s="681"/>
      <c r="AH1106" s="681"/>
      <c r="AI1106" s="703"/>
      <c r="AJ1106" s="703"/>
      <c r="AK1106" s="703"/>
      <c r="AL1106" s="703"/>
      <c r="AM1106" s="703"/>
      <c r="AN1106" s="703"/>
      <c r="AO1106" s="703"/>
      <c r="AP1106" s="703"/>
      <c r="AQ1106" s="703"/>
      <c r="AR1106" s="703"/>
      <c r="AS1106" s="703"/>
    </row>
    <row r="1107" spans="1:45" s="401" customFormat="1" ht="30" customHeight="1" x14ac:dyDescent="0.25">
      <c r="A1107" s="2026"/>
      <c r="B1107" s="2029"/>
      <c r="C1107" s="97" t="s">
        <v>46</v>
      </c>
      <c r="D1107" s="863" t="s">
        <v>10</v>
      </c>
      <c r="E1107" s="853">
        <v>46205</v>
      </c>
      <c r="F1107" s="39">
        <f t="shared" si="681"/>
        <v>56</v>
      </c>
      <c r="G1107" s="37">
        <v>20.8</v>
      </c>
      <c r="H1107" s="64"/>
      <c r="I1107" s="37">
        <f>+SUM(K1101:K1103)</f>
        <v>0</v>
      </c>
      <c r="J1107" s="1385">
        <f>+usage!I71</f>
        <v>0</v>
      </c>
      <c r="K1107" s="64">
        <f>IFERROR(SUMIF(INTAKE!$A:$A,$T1107,INTAKE!$P:$P),0)</f>
        <v>0</v>
      </c>
      <c r="L1107" s="1534">
        <f t="shared" si="670"/>
        <v>20.8</v>
      </c>
      <c r="M1107" s="374"/>
      <c r="N1107" s="84"/>
      <c r="O1107" s="40"/>
      <c r="P1107" s="756"/>
      <c r="Q1107" s="795"/>
      <c r="R1107" s="785">
        <f>IFERROR(VLOOKUP($Q1107,'391'!$S:$Z,8,0),"")</f>
        <v>0</v>
      </c>
      <c r="S1107" s="796"/>
      <c r="T1107" s="797" t="str">
        <f t="shared" si="680"/>
        <v>ActisafFeedmill46205</v>
      </c>
      <c r="U1107" s="797"/>
      <c r="V1107" s="797"/>
      <c r="W1107" s="785">
        <f>IFERROR(VLOOKUP($Q1107,'391'!$S:$AG,15,0),0)</f>
        <v>0</v>
      </c>
      <c r="X1107" s="1090">
        <f t="shared" si="666"/>
        <v>20.8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265" customFormat="1" ht="30" customHeight="1" x14ac:dyDescent="0.25">
      <c r="A1108" s="2022" t="s">
        <v>203</v>
      </c>
      <c r="B1108" s="2023"/>
      <c r="C1108" s="88"/>
      <c r="D1108" s="864"/>
      <c r="E1108" s="864"/>
      <c r="F1108" s="865"/>
      <c r="G1108" s="1297">
        <v>45.8</v>
      </c>
      <c r="H1108" s="1344">
        <f t="shared" ref="H1108:I1108" si="682">SUM(H1101:H1107)</f>
        <v>0</v>
      </c>
      <c r="I1108" s="1297">
        <f t="shared" si="682"/>
        <v>0</v>
      </c>
      <c r="J1108" s="1297">
        <f t="shared" ref="J1108:L1108" si="683">SUM(J1101:J1107)</f>
        <v>0</v>
      </c>
      <c r="K1108" s="1297">
        <f t="shared" si="683"/>
        <v>0</v>
      </c>
      <c r="L1108" s="1297">
        <f t="shared" si="683"/>
        <v>45.8</v>
      </c>
      <c r="M1108" s="59">
        <f>IFERROR(R1108/$S$2,"")</f>
        <v>0.70000000000000007</v>
      </c>
      <c r="N1108" s="366">
        <f>IFERROR(L1108/M1108,0)</f>
        <v>65.428571428571416</v>
      </c>
      <c r="O1108" s="59">
        <f>IFERROR(SUMIF(ETM!$A:$A,$Q1108,ETM!$E:$E),"")</f>
        <v>0.33333333333333331</v>
      </c>
      <c r="P1108" s="880">
        <f>IFERROR(L1108/O1108,0)</f>
        <v>137.4</v>
      </c>
      <c r="Q1108" s="814" t="s">
        <v>367</v>
      </c>
      <c r="R1108" s="785">
        <f>IFERROR(VLOOKUP($Q1108,'391'!$S:$Z,8,0),"")</f>
        <v>4.2</v>
      </c>
      <c r="S1108" s="796"/>
      <c r="T1108" s="797"/>
      <c r="U1108" s="797"/>
      <c r="V1108" s="797"/>
      <c r="W1108" s="785">
        <f>IFERROR(VLOOKUP($Q1108,'391'!$S:$AG,15,0),0)</f>
        <v>45.2</v>
      </c>
      <c r="X1108" s="1090">
        <f t="shared" si="666"/>
        <v>0.59999999999999432</v>
      </c>
      <c r="Y1108" s="785"/>
      <c r="Z1108" s="785"/>
      <c r="AA1108" s="797"/>
      <c r="AB1108" s="797"/>
      <c r="AC1108" s="551"/>
      <c r="AD1108" s="551"/>
      <c r="AE1108" s="551"/>
      <c r="AF1108" s="551"/>
      <c r="AG1108" s="551"/>
      <c r="AH1108" s="551"/>
      <c r="AI1108" s="704"/>
      <c r="AJ1108" s="704"/>
      <c r="AK1108" s="704"/>
      <c r="AL1108" s="704"/>
      <c r="AM1108" s="704"/>
      <c r="AN1108" s="704"/>
      <c r="AO1108" s="704"/>
      <c r="AP1108" s="704"/>
      <c r="AQ1108" s="704"/>
      <c r="AR1108" s="704"/>
      <c r="AS1108" s="704"/>
    </row>
    <row r="1109" spans="1:45" s="409" customFormat="1" ht="30" hidden="1" customHeight="1" x14ac:dyDescent="0.25">
      <c r="A1109" s="2024" t="str">
        <f>IF(L1115=0,"",MAX($A$16:A1108)+1)</f>
        <v/>
      </c>
      <c r="B1109" s="2027" t="s">
        <v>1574</v>
      </c>
      <c r="C1109" s="129" t="s">
        <v>1213</v>
      </c>
      <c r="D1109" s="881" t="s">
        <v>10</v>
      </c>
      <c r="E1109" s="882">
        <v>45772</v>
      </c>
      <c r="F1109" s="71">
        <f t="shared" ref="F1109" si="684">$L$7-E1109</f>
        <v>489</v>
      </c>
      <c r="G1109" s="64">
        <v>0</v>
      </c>
      <c r="H1109" s="64"/>
      <c r="I1109" s="64"/>
      <c r="J1109" s="1413"/>
      <c r="K1109" s="1348">
        <f>IFERROR(SUMIF(INTAKE!$A:$A,$T1109,INTAKE!$P:$P),0)</f>
        <v>0</v>
      </c>
      <c r="L1109" s="1703">
        <f t="shared" si="670"/>
        <v>0</v>
      </c>
      <c r="M1109" s="376"/>
      <c r="N1109" s="167"/>
      <c r="O1109" s="50"/>
      <c r="P1109" s="747"/>
      <c r="Q1109" s="795"/>
      <c r="R1109" s="785">
        <f>IFERROR(VLOOKUP($Q1109,'391'!$S:$Z,8,0),"")</f>
        <v>0</v>
      </c>
      <c r="S1109" s="796"/>
      <c r="T1109" s="797" t="str">
        <f>$Q$1115&amp;C1109&amp;E1109</f>
        <v>Advance Amoxicillin (VN)E345772</v>
      </c>
      <c r="U1109" s="797"/>
      <c r="V1109" s="797"/>
      <c r="W1109" s="785">
        <f>IFERROR(VLOOKUP($Q1109,'391'!$S:$AG,15,0),0)</f>
        <v>0</v>
      </c>
      <c r="X1109" s="1090">
        <f t="shared" si="666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5"/>
      <c r="B1110" s="2028"/>
      <c r="C1110" s="190"/>
      <c r="D1110" s="26" t="s">
        <v>10</v>
      </c>
      <c r="E1110" s="19">
        <v>44000</v>
      </c>
      <c r="F1110" s="17">
        <f t="shared" ref="F1110:F1114" si="685">$L$7-E1110</f>
        <v>2261</v>
      </c>
      <c r="G1110" s="64">
        <v>0</v>
      </c>
      <c r="H1110" s="64"/>
      <c r="I1110" s="64"/>
      <c r="J1110" s="1413"/>
      <c r="K1110" s="64"/>
      <c r="L1110" s="1534">
        <f t="shared" si="670"/>
        <v>0</v>
      </c>
      <c r="M1110" s="373"/>
      <c r="N1110" s="163"/>
      <c r="O1110" s="48"/>
      <c r="P1110" s="750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66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5"/>
      <c r="B1111" s="2028"/>
      <c r="C1111" s="190" t="s">
        <v>138</v>
      </c>
      <c r="D1111" s="26" t="s">
        <v>10</v>
      </c>
      <c r="E1111" s="19">
        <v>43978</v>
      </c>
      <c r="F1111" s="17">
        <f t="shared" si="685"/>
        <v>2283</v>
      </c>
      <c r="G1111" s="64">
        <v>0</v>
      </c>
      <c r="H1111" s="64"/>
      <c r="I1111" s="64"/>
      <c r="J1111" s="1413"/>
      <c r="K1111" s="64"/>
      <c r="L1111" s="1534">
        <f t="shared" si="670"/>
        <v>0</v>
      </c>
      <c r="M1111" s="373"/>
      <c r="N1111" s="163"/>
      <c r="O1111" s="48"/>
      <c r="P1111" s="750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66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9" customFormat="1" ht="30" hidden="1" customHeight="1" x14ac:dyDescent="0.25">
      <c r="A1112" s="2025"/>
      <c r="B1112" s="2028"/>
      <c r="C1112" s="190" t="s">
        <v>273</v>
      </c>
      <c r="D1112" s="26" t="s">
        <v>10</v>
      </c>
      <c r="E1112" s="19">
        <v>44000</v>
      </c>
      <c r="F1112" s="17">
        <f t="shared" si="685"/>
        <v>2261</v>
      </c>
      <c r="G1112" s="64">
        <v>0</v>
      </c>
      <c r="H1112" s="64"/>
      <c r="I1112" s="64"/>
      <c r="J1112" s="1413"/>
      <c r="K1112" s="1414"/>
      <c r="L1112" s="1534">
        <f t="shared" si="670"/>
        <v>0</v>
      </c>
      <c r="M1112" s="370"/>
      <c r="N1112" s="162"/>
      <c r="O1112" s="45"/>
      <c r="P1112" s="756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66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409" customFormat="1" ht="30" hidden="1" customHeight="1" x14ac:dyDescent="0.25">
      <c r="A1113" s="2025"/>
      <c r="B1113" s="2028"/>
      <c r="C1113" s="190" t="s">
        <v>138</v>
      </c>
      <c r="D1113" s="26" t="s">
        <v>10</v>
      </c>
      <c r="E1113" s="19">
        <v>43978</v>
      </c>
      <c r="F1113" s="17">
        <f t="shared" si="685"/>
        <v>2283</v>
      </c>
      <c r="G1113" s="64">
        <v>0</v>
      </c>
      <c r="H1113" s="64"/>
      <c r="I1113" s="64"/>
      <c r="J1113" s="1413"/>
      <c r="K1113" s="1414"/>
      <c r="L1113" s="1534">
        <f t="shared" si="670"/>
        <v>0</v>
      </c>
      <c r="M1113" s="370"/>
      <c r="N1113" s="162"/>
      <c r="O1113" s="45"/>
      <c r="P1113" s="756"/>
      <c r="Q1113" s="795"/>
      <c r="R1113" s="785">
        <f>IFERROR(VLOOKUP($Q1113,'391'!$S:$Z,8,0),"")</f>
        <v>0</v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66"/>
        <v>0</v>
      </c>
      <c r="Y1113" s="785"/>
      <c r="Z1113" s="785"/>
      <c r="AA1113" s="797"/>
      <c r="AB1113" s="797"/>
      <c r="AC1113" s="681"/>
      <c r="AD1113" s="681"/>
      <c r="AE1113" s="681"/>
      <c r="AF1113" s="681"/>
      <c r="AG1113" s="681"/>
      <c r="AH1113" s="681"/>
      <c r="AI1113" s="703"/>
      <c r="AJ1113" s="703"/>
      <c r="AK1113" s="703"/>
      <c r="AL1113" s="703"/>
      <c r="AM1113" s="703"/>
      <c r="AN1113" s="703"/>
      <c r="AO1113" s="703"/>
      <c r="AP1113" s="703"/>
      <c r="AQ1113" s="703"/>
      <c r="AR1113" s="703"/>
      <c r="AS1113" s="703"/>
    </row>
    <row r="1114" spans="1:45" s="401" customFormat="1" ht="30" hidden="1" customHeight="1" x14ac:dyDescent="0.25">
      <c r="A1114" s="2026"/>
      <c r="B1114" s="2029"/>
      <c r="C1114" s="138" t="s">
        <v>46</v>
      </c>
      <c r="D1114" s="198" t="s">
        <v>10</v>
      </c>
      <c r="E1114" s="853">
        <v>45772</v>
      </c>
      <c r="F1114" s="73">
        <f t="shared" si="685"/>
        <v>489</v>
      </c>
      <c r="G1114" s="37">
        <v>0</v>
      </c>
      <c r="H1114" s="1415"/>
      <c r="I1114" s="37">
        <f>+SUM(K1109:K1113)</f>
        <v>0</v>
      </c>
      <c r="J1114" s="37"/>
      <c r="K1114" s="37"/>
      <c r="L1114" s="1534">
        <f t="shared" si="670"/>
        <v>0</v>
      </c>
      <c r="M1114" s="35"/>
      <c r="N1114" s="87"/>
      <c r="O1114" s="35"/>
      <c r="P1114" s="751"/>
      <c r="Q1114" s="795"/>
      <c r="R1114" s="785">
        <f>IFERROR(VLOOKUP($Q1114,'391'!$S:$Z,8,0),"")</f>
        <v>0</v>
      </c>
      <c r="S1114" s="796"/>
      <c r="T1114" s="797"/>
      <c r="U1114" s="797"/>
      <c r="V1114" s="797"/>
      <c r="W1114" s="785">
        <f>IFERROR(VLOOKUP($Q1114,'391'!$S:$AG,15,0),0)</f>
        <v>0</v>
      </c>
      <c r="X1114" s="1090">
        <f t="shared" si="666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265" customFormat="1" ht="30" hidden="1" customHeight="1" x14ac:dyDescent="0.25">
      <c r="A1115" s="2022" t="s">
        <v>1581</v>
      </c>
      <c r="B1115" s="2023"/>
      <c r="C1115" s="2023"/>
      <c r="D1115" s="91"/>
      <c r="E1115" s="91"/>
      <c r="F1115" s="221"/>
      <c r="G1115" s="1416">
        <v>0</v>
      </c>
      <c r="H1115" s="1344">
        <f>SUM(H1109:H1114)</f>
        <v>0</v>
      </c>
      <c r="I1115" s="1297">
        <f>SUM(I1109:I1114)</f>
        <v>0</v>
      </c>
      <c r="J1115" s="1386">
        <f>SUM(J1109:J1114)</f>
        <v>0</v>
      </c>
      <c r="K1115" s="1297">
        <f>+SUM(K1109:K1114)</f>
        <v>0</v>
      </c>
      <c r="L1115" s="1297">
        <f>+SUM(L1109:L1114)</f>
        <v>0</v>
      </c>
      <c r="M1115" s="59" t="str">
        <f>IFERROR(R1115/$S$2,"")</f>
        <v/>
      </c>
      <c r="N1115" s="99">
        <f>IFERROR(L1115/M1115,0)</f>
        <v>0</v>
      </c>
      <c r="O1115" s="371">
        <f>IFERROR(SUMIF(ETM!$A:$A,$Q1115,ETM!$E:$E),"")</f>
        <v>0</v>
      </c>
      <c r="P1115" s="741">
        <f>IFERROR(L1115/O1115,0)</f>
        <v>0</v>
      </c>
      <c r="Q1115" s="814" t="s">
        <v>1578</v>
      </c>
      <c r="R1115" s="785" t="str">
        <f>IFERROR(VLOOKUP($Q1115,'391'!$S:$Z,8,0),"")</f>
        <v/>
      </c>
      <c r="S1115" s="796"/>
      <c r="T1115" s="797"/>
      <c r="U1115" s="797"/>
      <c r="V1115" s="797"/>
      <c r="W1115" s="785">
        <f>IFERROR(VLOOKUP($Q1115,'391'!$S:$AG,15,0),0)</f>
        <v>0</v>
      </c>
      <c r="X1115" s="1090">
        <f t="shared" si="666"/>
        <v>0</v>
      </c>
      <c r="Y1115" s="785"/>
      <c r="Z1115" s="785"/>
      <c r="AA1115" s="797"/>
      <c r="AB1115" s="797"/>
      <c r="AC1115" s="551"/>
      <c r="AD1115" s="551"/>
      <c r="AE1115" s="551"/>
      <c r="AF1115" s="551"/>
      <c r="AG1115" s="551"/>
      <c r="AH1115" s="551"/>
      <c r="AI1115" s="704"/>
      <c r="AJ1115" s="704"/>
      <c r="AK1115" s="704"/>
      <c r="AL1115" s="704"/>
      <c r="AM1115" s="704"/>
      <c r="AN1115" s="704"/>
      <c r="AO1115" s="704"/>
      <c r="AP1115" s="704"/>
      <c r="AQ1115" s="704"/>
      <c r="AR1115" s="704"/>
      <c r="AS1115" s="704"/>
    </row>
    <row r="1116" spans="1:45" s="409" customFormat="1" ht="30" hidden="1" customHeight="1" x14ac:dyDescent="0.25">
      <c r="A1116" s="2024" t="str">
        <f>IF(L1122=0,"",MAX($A$16:A1115)+1)</f>
        <v/>
      </c>
      <c r="B1116" s="2027" t="s">
        <v>1352</v>
      </c>
      <c r="C1116" s="190" t="s">
        <v>1313</v>
      </c>
      <c r="D1116" s="26" t="s">
        <v>10</v>
      </c>
      <c r="E1116" s="882">
        <v>45855</v>
      </c>
      <c r="F1116" s="71">
        <f t="shared" ref="F1116:F1121" si="686">$L$7-E1116</f>
        <v>406</v>
      </c>
      <c r="G1116" s="64">
        <v>0</v>
      </c>
      <c r="H1116" s="64"/>
      <c r="I1116" s="64"/>
      <c r="J1116" s="1413"/>
      <c r="K1116" s="1348">
        <f>IFERROR(SUMIF(INTAKE!$A:$A,$T1116,INTAKE!$P:$P),0)</f>
        <v>0</v>
      </c>
      <c r="L1116" s="1703">
        <f t="shared" si="670"/>
        <v>0</v>
      </c>
      <c r="M1116" s="376"/>
      <c r="N1116" s="167"/>
      <c r="O1116" s="50"/>
      <c r="P1116" s="747"/>
      <c r="Q1116" s="795"/>
      <c r="R1116" s="785">
        <f>IFERROR(VLOOKUP($Q1116,'391'!$S:$Z,8,0),"")</f>
        <v>0</v>
      </c>
      <c r="S1116" s="796"/>
      <c r="T1116" s="797" t="str">
        <f t="shared" ref="T1116:T1121" si="687">$Q$1122&amp;C1116&amp;E1116</f>
        <v>Vetrimoxin 50 Matrix (Italy)E245855</v>
      </c>
      <c r="U1116" s="797"/>
      <c r="V1116" s="797"/>
      <c r="W1116" s="785">
        <f>IFERROR(VLOOKUP($Q1116,'391'!$S:$AG,15,0),0)</f>
        <v>0</v>
      </c>
      <c r="X1116" s="1090">
        <f t="shared" si="666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5"/>
      <c r="B1117" s="2028"/>
      <c r="C1117" s="190"/>
      <c r="D1117" s="26" t="s">
        <v>10</v>
      </c>
      <c r="E1117" s="882">
        <v>44000</v>
      </c>
      <c r="F1117" s="71">
        <f t="shared" si="686"/>
        <v>2261</v>
      </c>
      <c r="G1117" s="64">
        <v>0</v>
      </c>
      <c r="H1117" s="64"/>
      <c r="I1117" s="64"/>
      <c r="J1117" s="1413"/>
      <c r="K1117" s="64"/>
      <c r="L1117" s="1534">
        <f t="shared" si="670"/>
        <v>0</v>
      </c>
      <c r="M1117" s="373"/>
      <c r="N1117" s="163"/>
      <c r="O1117" s="48"/>
      <c r="P1117" s="750"/>
      <c r="Q1117" s="795"/>
      <c r="R1117" s="785">
        <f>IFERROR(VLOOKUP($Q1117,'391'!$S:$Z,8,0),"")</f>
        <v>0</v>
      </c>
      <c r="S1117" s="796"/>
      <c r="T1117" s="797" t="str">
        <f t="shared" si="687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66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5"/>
      <c r="B1118" s="2028"/>
      <c r="C1118" s="190"/>
      <c r="D1118" s="26" t="s">
        <v>10</v>
      </c>
      <c r="E1118" s="882">
        <v>43978</v>
      </c>
      <c r="F1118" s="71">
        <f t="shared" si="686"/>
        <v>2283</v>
      </c>
      <c r="G1118" s="64">
        <v>0</v>
      </c>
      <c r="H1118" s="64"/>
      <c r="I1118" s="64"/>
      <c r="J1118" s="1413"/>
      <c r="K1118" s="64"/>
      <c r="L1118" s="1534">
        <f t="shared" si="670"/>
        <v>0</v>
      </c>
      <c r="M1118" s="373"/>
      <c r="N1118" s="163"/>
      <c r="O1118" s="48"/>
      <c r="P1118" s="750"/>
      <c r="Q1118" s="795"/>
      <c r="R1118" s="785">
        <f>IFERROR(VLOOKUP($Q1118,'391'!$S:$Z,8,0),"")</f>
        <v>0</v>
      </c>
      <c r="S1118" s="796"/>
      <c r="T1118" s="797" t="str">
        <f t="shared" si="687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66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9" customFormat="1" ht="30" hidden="1" customHeight="1" x14ac:dyDescent="0.25">
      <c r="A1119" s="2025"/>
      <c r="B1119" s="2028"/>
      <c r="C1119" s="190"/>
      <c r="D1119" s="26" t="s">
        <v>10</v>
      </c>
      <c r="E1119" s="882">
        <v>44000</v>
      </c>
      <c r="F1119" s="71">
        <f t="shared" si="686"/>
        <v>2261</v>
      </c>
      <c r="G1119" s="64">
        <v>0</v>
      </c>
      <c r="H1119" s="64"/>
      <c r="I1119" s="64"/>
      <c r="J1119" s="1413"/>
      <c r="K1119" s="1414"/>
      <c r="L1119" s="1534">
        <f t="shared" si="670"/>
        <v>0</v>
      </c>
      <c r="M1119" s="370"/>
      <c r="N1119" s="162"/>
      <c r="O1119" s="45"/>
      <c r="P1119" s="756"/>
      <c r="Q1119" s="795"/>
      <c r="R1119" s="785">
        <f>IFERROR(VLOOKUP($Q1119,'391'!$S:$Z,8,0),"")</f>
        <v>0</v>
      </c>
      <c r="S1119" s="796"/>
      <c r="T1119" s="797" t="str">
        <f t="shared" si="687"/>
        <v>Vetrimoxin 50 Matrix (Italy)44000</v>
      </c>
      <c r="U1119" s="797"/>
      <c r="V1119" s="797"/>
      <c r="W1119" s="785">
        <f>IFERROR(VLOOKUP($Q1119,'391'!$S:$AG,15,0),0)</f>
        <v>0</v>
      </c>
      <c r="X1119" s="1090">
        <f t="shared" si="666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409" customFormat="1" ht="30" hidden="1" customHeight="1" x14ac:dyDescent="0.25">
      <c r="A1120" s="2025"/>
      <c r="B1120" s="2028"/>
      <c r="C1120" s="190"/>
      <c r="D1120" s="26" t="s">
        <v>10</v>
      </c>
      <c r="E1120" s="882">
        <v>43978</v>
      </c>
      <c r="F1120" s="71">
        <f t="shared" si="686"/>
        <v>2283</v>
      </c>
      <c r="G1120" s="64">
        <v>0</v>
      </c>
      <c r="H1120" s="64"/>
      <c r="I1120" s="64"/>
      <c r="J1120" s="1413"/>
      <c r="K1120" s="1414"/>
      <c r="L1120" s="1534">
        <f t="shared" si="670"/>
        <v>0</v>
      </c>
      <c r="M1120" s="370"/>
      <c r="N1120" s="162"/>
      <c r="O1120" s="45"/>
      <c r="P1120" s="756"/>
      <c r="Q1120" s="795"/>
      <c r="R1120" s="785">
        <f>IFERROR(VLOOKUP($Q1120,'391'!$S:$Z,8,0),"")</f>
        <v>0</v>
      </c>
      <c r="S1120" s="796"/>
      <c r="T1120" s="797" t="str">
        <f t="shared" si="687"/>
        <v>Vetrimoxin 50 Matrix (Italy)43978</v>
      </c>
      <c r="U1120" s="797"/>
      <c r="V1120" s="797"/>
      <c r="W1120" s="785">
        <f>IFERROR(VLOOKUP($Q1120,'391'!$S:$AG,15,0),0)</f>
        <v>0</v>
      </c>
      <c r="X1120" s="1090">
        <f t="shared" si="666"/>
        <v>0</v>
      </c>
      <c r="Y1120" s="785"/>
      <c r="Z1120" s="785"/>
      <c r="AA1120" s="797"/>
      <c r="AB1120" s="797"/>
      <c r="AC1120" s="681"/>
      <c r="AD1120" s="681"/>
      <c r="AE1120" s="681"/>
      <c r="AF1120" s="681"/>
      <c r="AG1120" s="681"/>
      <c r="AH1120" s="681"/>
      <c r="AI1120" s="703"/>
      <c r="AJ1120" s="703"/>
      <c r="AK1120" s="703"/>
      <c r="AL1120" s="703"/>
      <c r="AM1120" s="703"/>
      <c r="AN1120" s="703"/>
      <c r="AO1120" s="703"/>
      <c r="AP1120" s="703"/>
      <c r="AQ1120" s="703"/>
      <c r="AR1120" s="703"/>
      <c r="AS1120" s="703"/>
    </row>
    <row r="1121" spans="1:45" s="401" customFormat="1" ht="30" hidden="1" customHeight="1" x14ac:dyDescent="0.25">
      <c r="A1121" s="2026"/>
      <c r="B1121" s="2029"/>
      <c r="C1121" s="138" t="s">
        <v>46</v>
      </c>
      <c r="D1121" s="198" t="s">
        <v>10</v>
      </c>
      <c r="E1121" s="853">
        <v>45855</v>
      </c>
      <c r="F1121" s="73">
        <f t="shared" si="686"/>
        <v>406</v>
      </c>
      <c r="G1121" s="37">
        <v>0</v>
      </c>
      <c r="H1121" s="1415"/>
      <c r="I1121" s="37">
        <f>+SUM(K1116:K1120)</f>
        <v>0</v>
      </c>
      <c r="J1121" s="37">
        <f>usage!I186</f>
        <v>0</v>
      </c>
      <c r="K1121" s="37"/>
      <c r="L1121" s="1534">
        <f t="shared" si="670"/>
        <v>0</v>
      </c>
      <c r="M1121" s="35"/>
      <c r="N1121" s="87"/>
      <c r="O1121" s="35"/>
      <c r="P1121" s="751"/>
      <c r="Q1121" s="795"/>
      <c r="R1121" s="785">
        <f>IFERROR(VLOOKUP($Q1121,'391'!$S:$Z,8,0),"")</f>
        <v>0</v>
      </c>
      <c r="S1121" s="796"/>
      <c r="T1121" s="797" t="str">
        <f t="shared" si="687"/>
        <v>Vetrimoxin 50 Matrix (Italy)Feedmill45855</v>
      </c>
      <c r="U1121" s="797"/>
      <c r="V1121" s="797"/>
      <c r="W1121" s="785">
        <f>IFERROR(VLOOKUP($Q1121,'391'!$S:$AG,15,0),0)</f>
        <v>0</v>
      </c>
      <c r="X1121" s="1090">
        <f t="shared" si="666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265" customFormat="1" ht="30" hidden="1" customHeight="1" x14ac:dyDescent="0.25">
      <c r="A1122" s="2022" t="s">
        <v>1353</v>
      </c>
      <c r="B1122" s="2023"/>
      <c r="C1122" s="2023"/>
      <c r="D1122" s="91"/>
      <c r="E1122" s="91"/>
      <c r="F1122" s="221"/>
      <c r="G1122" s="1416">
        <v>0</v>
      </c>
      <c r="H1122" s="1344">
        <f>SUM(H1116:H1121)</f>
        <v>0</v>
      </c>
      <c r="I1122" s="1297">
        <f>SUM(I1116:I1121)</f>
        <v>0</v>
      </c>
      <c r="J1122" s="1386">
        <f>SUM(J1116:J1121)</f>
        <v>0</v>
      </c>
      <c r="K1122" s="1297">
        <f>+SUM(K1116:K1121)</f>
        <v>0</v>
      </c>
      <c r="L1122" s="1297">
        <f>+SUM(L1116:L1121)</f>
        <v>0</v>
      </c>
      <c r="M1122" s="59" t="str">
        <f>IFERROR(R1122/$S$2,"")</f>
        <v/>
      </c>
      <c r="N1122" s="99">
        <f>IFERROR(L1122/M1122,0)</f>
        <v>0</v>
      </c>
      <c r="O1122" s="371">
        <f>O1115</f>
        <v>0</v>
      </c>
      <c r="P1122" s="741">
        <f>IFERROR(L1122/O1122,0)</f>
        <v>0</v>
      </c>
      <c r="Q1122" s="814" t="s">
        <v>1352</v>
      </c>
      <c r="R1122" s="785" t="str">
        <f>IFERROR(VLOOKUP($Q1122,'391'!$S:$Z,8,0),"")</f>
        <v/>
      </c>
      <c r="S1122" s="796"/>
      <c r="T1122" s="797"/>
      <c r="U1122" s="797"/>
      <c r="V1122" s="797"/>
      <c r="W1122" s="785">
        <f>IFERROR(VLOOKUP($Q1122,'391'!$S:$AG,15,0),0)</f>
        <v>0</v>
      </c>
      <c r="X1122" s="1090">
        <f t="shared" si="666"/>
        <v>0</v>
      </c>
      <c r="Y1122" s="785"/>
      <c r="Z1122" s="785"/>
      <c r="AA1122" s="797"/>
      <c r="AB1122" s="797"/>
      <c r="AC1122" s="551"/>
      <c r="AD1122" s="551"/>
      <c r="AE1122" s="551"/>
      <c r="AF1122" s="551"/>
      <c r="AG1122" s="551"/>
      <c r="AH1122" s="551"/>
      <c r="AI1122" s="704"/>
      <c r="AJ1122" s="704"/>
      <c r="AK1122" s="704"/>
      <c r="AL1122" s="704"/>
      <c r="AM1122" s="704"/>
      <c r="AN1122" s="704"/>
      <c r="AO1122" s="704"/>
      <c r="AP1122" s="704"/>
      <c r="AQ1122" s="704"/>
      <c r="AR1122" s="704"/>
      <c r="AS1122" s="704"/>
    </row>
    <row r="1123" spans="1:45" s="409" customFormat="1" ht="30" hidden="1" customHeight="1" x14ac:dyDescent="0.25">
      <c r="A1123" s="2024">
        <f>IF(L1130=0,"",MAX($A$16:A1122)+1)</f>
        <v>75</v>
      </c>
      <c r="B1123" s="2027" t="s">
        <v>2173</v>
      </c>
      <c r="C1123" s="129"/>
      <c r="D1123" s="881" t="s">
        <v>10</v>
      </c>
      <c r="E1123" s="882">
        <v>45829</v>
      </c>
      <c r="F1123" s="71">
        <f t="shared" ref="F1123:F1129" si="688">$L$7-E1123</f>
        <v>432</v>
      </c>
      <c r="G1123" s="64">
        <v>0</v>
      </c>
      <c r="H1123" s="64"/>
      <c r="I1123" s="64"/>
      <c r="J1123" s="1412"/>
      <c r="K1123" s="1348">
        <f>IFERROR(SUMIF(INTAKE!$A:$A,$T1123,INTAKE!$P:$P),0)</f>
        <v>0</v>
      </c>
      <c r="L1123" s="1703">
        <f t="shared" ref="L1123:L1129" si="689">+G1123+H1123+I1123-J1123-K1123</f>
        <v>0</v>
      </c>
      <c r="M1123" s="50"/>
      <c r="N1123" s="167"/>
      <c r="O1123" s="1826"/>
      <c r="P1123" s="1827"/>
      <c r="Q1123" s="795"/>
      <c r="R1123" s="785">
        <f>IFERROR(VLOOKUP($Q1123,'391'!$S:$Z,8,0),"")</f>
        <v>0</v>
      </c>
      <c r="S1123" s="796"/>
      <c r="T1123" s="797" t="str">
        <f t="shared" ref="T1123:T1129" si="690">$Q$1130&amp;C1123&amp;E1123</f>
        <v>Amoxicillin 80%45829</v>
      </c>
      <c r="U1123" s="797"/>
      <c r="V1123" s="797"/>
      <c r="W1123" s="785">
        <f>IFERROR(VLOOKUP($Q1123,'391'!$S:$AG,15,0),0)</f>
        <v>0</v>
      </c>
      <c r="X1123" s="1090">
        <f t="shared" si="666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hidden="1" customHeight="1" x14ac:dyDescent="0.25">
      <c r="A1124" s="2025"/>
      <c r="B1124" s="2028"/>
      <c r="C1124" s="129"/>
      <c r="D1124" s="881" t="s">
        <v>10</v>
      </c>
      <c r="E1124" s="1777">
        <v>46171</v>
      </c>
      <c r="F1124" s="71">
        <f t="shared" si="688"/>
        <v>90</v>
      </c>
      <c r="G1124" s="1381">
        <v>0</v>
      </c>
      <c r="H1124" s="1381"/>
      <c r="I1124" s="1381"/>
      <c r="J1124" s="1900"/>
      <c r="K1124" s="1348">
        <f>IFERROR(SUMIF(INTAKE!$A:$A,$T1124,INTAKE!$P:$P),0)</f>
        <v>0</v>
      </c>
      <c r="L1124" s="1703">
        <f t="shared" si="689"/>
        <v>0</v>
      </c>
      <c r="M1124" s="46"/>
      <c r="N1124" s="176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90"/>
        <v>Amoxicillin 80%46171</v>
      </c>
      <c r="U1124" s="797"/>
      <c r="V1124" s="797"/>
      <c r="W1124" s="785">
        <f>IFERROR(VLOOKUP($Q1124,'391'!$S:$AG,15,0),0)</f>
        <v>0</v>
      </c>
      <c r="X1124" s="1090">
        <f t="shared" si="666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5"/>
      <c r="B1125" s="2028"/>
      <c r="C1125" s="129" t="s">
        <v>1249</v>
      </c>
      <c r="D1125" s="881" t="s">
        <v>10</v>
      </c>
      <c r="E1125" s="1777">
        <v>46199</v>
      </c>
      <c r="F1125" s="71">
        <f t="shared" ref="F1125" si="691">$L$7-E1125</f>
        <v>62</v>
      </c>
      <c r="G1125" s="1381">
        <v>300</v>
      </c>
      <c r="H1125" s="1381"/>
      <c r="I1125" s="1381"/>
      <c r="J1125" s="1900"/>
      <c r="K1125" s="1348">
        <f>IFERROR(SUMIF(INTAKE!$A:$A,$T1125,INTAKE!$P:$P),0)</f>
        <v>80</v>
      </c>
      <c r="L1125" s="1703">
        <f t="shared" si="689"/>
        <v>220</v>
      </c>
      <c r="M1125" s="46"/>
      <c r="N1125" s="176"/>
      <c r="O1125" s="48"/>
      <c r="P1125" s="1828"/>
      <c r="Q1125" s="795"/>
      <c r="R1125" s="785">
        <f>IFERROR(VLOOKUP($Q1125,'391'!$S:$Z,8,0),"")</f>
        <v>0</v>
      </c>
      <c r="S1125" s="796"/>
      <c r="T1125" s="797" t="str">
        <f t="shared" si="690"/>
        <v>Amoxicillin 80%E146199</v>
      </c>
      <c r="U1125" s="797"/>
      <c r="V1125" s="797"/>
      <c r="W1125" s="785">
        <f>IFERROR(VLOOKUP($Q1125,'391'!$S:$AG,15,0),0)</f>
        <v>0</v>
      </c>
      <c r="X1125" s="1090">
        <f t="shared" si="666"/>
        <v>300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5"/>
      <c r="B1126" s="2028"/>
      <c r="C1126" s="129" t="s">
        <v>1249</v>
      </c>
      <c r="D1126" s="881" t="s">
        <v>10</v>
      </c>
      <c r="E1126" s="1777">
        <v>46247</v>
      </c>
      <c r="F1126" s="71">
        <f t="shared" si="688"/>
        <v>14</v>
      </c>
      <c r="G1126" s="1381">
        <v>2000</v>
      </c>
      <c r="H1126" s="1381"/>
      <c r="I1126" s="1381"/>
      <c r="J1126" s="1900"/>
      <c r="K1126" s="1348">
        <f>IFERROR(SUMIF(INTAKE!$A:$A,$T1126,INTAKE!$P:$P),0)</f>
        <v>0</v>
      </c>
      <c r="L1126" s="1703">
        <f t="shared" si="689"/>
        <v>2000</v>
      </c>
      <c r="M1126" s="48"/>
      <c r="N1126" s="163"/>
      <c r="O1126" s="48"/>
      <c r="P1126" s="1828"/>
      <c r="Q1126" s="795"/>
      <c r="R1126" s="785">
        <f>IFERROR(VLOOKUP($Q1126,'391'!$S:$Z,8,0),"")</f>
        <v>0</v>
      </c>
      <c r="S1126" s="796"/>
      <c r="T1126" s="797" t="str">
        <f t="shared" si="690"/>
        <v>Amoxicillin 80%E146247</v>
      </c>
      <c r="U1126" s="797"/>
      <c r="V1126" s="797"/>
      <c r="W1126" s="785">
        <f>IFERROR(VLOOKUP($Q1126,'391'!$S:$AG,15,0),0)</f>
        <v>0</v>
      </c>
      <c r="X1126" s="1090">
        <f t="shared" si="666"/>
        <v>2000</v>
      </c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9" customFormat="1" ht="30" customHeight="1" x14ac:dyDescent="0.25">
      <c r="A1127" s="2025"/>
      <c r="B1127" s="2028"/>
      <c r="C1127" s="129" t="s">
        <v>1249</v>
      </c>
      <c r="D1127" s="881" t="s">
        <v>10</v>
      </c>
      <c r="E1127" s="1777">
        <v>46254</v>
      </c>
      <c r="F1127" s="71">
        <f t="shared" ref="F1127" si="692">$L$7-E1127</f>
        <v>7</v>
      </c>
      <c r="G1127" s="1381">
        <v>1000</v>
      </c>
      <c r="H1127" s="1381"/>
      <c r="I1127" s="1381"/>
      <c r="J1127" s="1900"/>
      <c r="K1127" s="1348">
        <f>IFERROR(SUMIF(INTAKE!$A:$A,$T1127,INTAKE!$P:$P),0)</f>
        <v>0</v>
      </c>
      <c r="L1127" s="1703">
        <f t="shared" si="689"/>
        <v>1000</v>
      </c>
      <c r="M1127" s="48"/>
      <c r="N1127" s="163"/>
      <c r="O1127" s="46"/>
      <c r="P1127" s="1827"/>
      <c r="Q1127" s="795"/>
      <c r="R1127" s="785">
        <f>IFERROR(VLOOKUP($Q1127,'391'!$S:$Z,8,0),"")</f>
        <v>0</v>
      </c>
      <c r="S1127" s="796"/>
      <c r="T1127" s="797" t="str">
        <f t="shared" si="690"/>
        <v>Amoxicillin 80%E146254</v>
      </c>
      <c r="U1127" s="797"/>
      <c r="V1127" s="797"/>
      <c r="W1127" s="785">
        <f>IFERROR(VLOOKUP($Q1127,'391'!$S:$AG,15,0),0)</f>
        <v>0</v>
      </c>
      <c r="X1127" s="1090">
        <f t="shared" si="666"/>
        <v>1000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409" customFormat="1" ht="30" hidden="1" customHeight="1" x14ac:dyDescent="0.25">
      <c r="A1128" s="2025"/>
      <c r="B1128" s="2111"/>
      <c r="C1128" s="129"/>
      <c r="D1128" s="881" t="s">
        <v>10</v>
      </c>
      <c r="E1128" s="1777">
        <v>46192</v>
      </c>
      <c r="F1128" s="71">
        <f t="shared" si="688"/>
        <v>69</v>
      </c>
      <c r="G1128" s="1381">
        <v>0</v>
      </c>
      <c r="H1128" s="1381"/>
      <c r="I1128" s="1381"/>
      <c r="J1128" s="1900"/>
      <c r="K1128" s="1348">
        <f>IFERROR(SUMIF(INTAKE!$A:$A,$T1128,INTAKE!$P:$P),0)</f>
        <v>0</v>
      </c>
      <c r="L1128" s="1703">
        <f t="shared" si="689"/>
        <v>0</v>
      </c>
      <c r="M1128" s="1487"/>
      <c r="N1128" s="1488"/>
      <c r="O1128" s="1771"/>
      <c r="P1128" s="1931"/>
      <c r="Q1128" s="1819"/>
      <c r="R1128" s="785"/>
      <c r="S1128" s="796"/>
      <c r="T1128" s="797" t="str">
        <f t="shared" si="690"/>
        <v>Amoxicillin 80%46192</v>
      </c>
      <c r="U1128" s="797"/>
      <c r="V1128" s="797"/>
      <c r="W1128" s="785"/>
      <c r="X1128" s="1090"/>
      <c r="Y1128" s="785"/>
      <c r="Z1128" s="785"/>
      <c r="AA1128" s="797"/>
      <c r="AB1128" s="797"/>
      <c r="AC1128" s="681"/>
      <c r="AD1128" s="681"/>
      <c r="AE1128" s="681"/>
      <c r="AF1128" s="681"/>
      <c r="AG1128" s="681"/>
      <c r="AH1128" s="681"/>
      <c r="AI1128" s="703"/>
      <c r="AJ1128" s="703"/>
      <c r="AK1128" s="703"/>
      <c r="AL1128" s="703"/>
      <c r="AM1128" s="703"/>
      <c r="AN1128" s="703"/>
      <c r="AO1128" s="703"/>
      <c r="AP1128" s="703"/>
      <c r="AQ1128" s="703"/>
      <c r="AR1128" s="703"/>
      <c r="AS1128" s="703"/>
    </row>
    <row r="1129" spans="1:45" s="401" customFormat="1" ht="30" customHeight="1" x14ac:dyDescent="0.25">
      <c r="A1129" s="2026"/>
      <c r="B1129" s="2029"/>
      <c r="C1129" s="108" t="s">
        <v>46</v>
      </c>
      <c r="D1129" s="863" t="s">
        <v>10</v>
      </c>
      <c r="E1129" s="886">
        <v>46199</v>
      </c>
      <c r="F1129" s="39">
        <f t="shared" si="688"/>
        <v>62</v>
      </c>
      <c r="G1129" s="37">
        <v>73.430000000000007</v>
      </c>
      <c r="H1129" s="37"/>
      <c r="I1129" s="37">
        <f>K1123+K1124+K1125+K1126+K1127+K1128</f>
        <v>80</v>
      </c>
      <c r="J1129" s="1385">
        <f>usage!I132</f>
        <v>77.55</v>
      </c>
      <c r="K1129" s="37"/>
      <c r="L1129" s="1534">
        <f t="shared" si="689"/>
        <v>75.88000000000001</v>
      </c>
      <c r="M1129" s="35"/>
      <c r="N1129" s="87"/>
      <c r="O1129" s="35"/>
      <c r="P1129" s="1278"/>
      <c r="Q1129" s="795"/>
      <c r="R1129" s="785">
        <f>IFERROR(VLOOKUP($Q1129,'391'!$S:$Z,8,0),"")</f>
        <v>0</v>
      </c>
      <c r="S1129" s="796"/>
      <c r="T1129" s="797" t="str">
        <f t="shared" si="690"/>
        <v>Amoxicillin 80%Feedmill46199</v>
      </c>
      <c r="U1129" s="797"/>
      <c r="V1129" s="797"/>
      <c r="W1129" s="785">
        <f>IFERROR(VLOOKUP($Q1129,'391'!$S:$AG,15,0),0)</f>
        <v>0</v>
      </c>
      <c r="X1129" s="1090">
        <f t="shared" si="666"/>
        <v>73.430000000000007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265" customFormat="1" ht="30" customHeight="1" x14ac:dyDescent="0.25">
      <c r="A1130" s="2022" t="s">
        <v>75</v>
      </c>
      <c r="B1130" s="2023"/>
      <c r="C1130" s="88"/>
      <c r="D1130" s="864"/>
      <c r="E1130" s="864"/>
      <c r="F1130" s="865"/>
      <c r="G1130" s="1297">
        <v>3373.43</v>
      </c>
      <c r="H1130" s="1344">
        <f>SUM(H1123:H1129)</f>
        <v>0</v>
      </c>
      <c r="I1130" s="1297">
        <f>SUM(I1123:I1129)</f>
        <v>80</v>
      </c>
      <c r="J1130" s="1297">
        <f>SUM(J1123:J1129)</f>
        <v>77.55</v>
      </c>
      <c r="K1130" s="1297">
        <f>SUM(K1123:K1129)</f>
        <v>80</v>
      </c>
      <c r="L1130" s="1297">
        <f>SUM(L1123:L1129)</f>
        <v>3295.88</v>
      </c>
      <c r="M1130" s="59">
        <f>IFERROR(R1130/$S$2,"")</f>
        <v>115.35000000000001</v>
      </c>
      <c r="N1130" s="99">
        <f>IFERROR(L1130/M1130,0)</f>
        <v>28.5728651928912</v>
      </c>
      <c r="O1130" s="59">
        <f>IFERROR(SUMIF(ETM!$A:$A,$Q1130,ETM!$E:$E),"")</f>
        <v>135</v>
      </c>
      <c r="P1130" s="880">
        <f>IFERROR(L1130/O1130,0)</f>
        <v>24.413925925925927</v>
      </c>
      <c r="Q1130" s="1067" t="s">
        <v>1346</v>
      </c>
      <c r="R1130" s="785">
        <f>IFERROR(VLOOKUP($Q1130,'391'!$S:$Z,8,0),"")</f>
        <v>692.1</v>
      </c>
      <c r="S1130" s="796"/>
      <c r="T1130" s="797"/>
      <c r="U1130" s="797"/>
      <c r="V1130" s="797"/>
      <c r="W1130" s="785">
        <f>IFERROR(VLOOKUP($Q1130,'391'!$S:$AG,15,0),0)</f>
        <v>3828.83</v>
      </c>
      <c r="X1130" s="1090">
        <f t="shared" si="666"/>
        <v>-455.40000000000009</v>
      </c>
      <c r="Y1130" s="785"/>
      <c r="Z1130" s="785"/>
      <c r="AA1130" s="797"/>
      <c r="AB1130" s="797"/>
      <c r="AC1130" s="551"/>
      <c r="AD1130" s="551"/>
      <c r="AE1130" s="551"/>
      <c r="AF1130" s="551"/>
      <c r="AG1130" s="551"/>
      <c r="AH1130" s="551"/>
      <c r="AI1130" s="704"/>
      <c r="AJ1130" s="704"/>
      <c r="AK1130" s="704"/>
      <c r="AL1130" s="704"/>
      <c r="AM1130" s="704"/>
      <c r="AN1130" s="704"/>
      <c r="AO1130" s="704"/>
      <c r="AP1130" s="704"/>
      <c r="AQ1130" s="704"/>
      <c r="AR1130" s="704"/>
      <c r="AS1130" s="704"/>
    </row>
    <row r="1131" spans="1:45" s="409" customFormat="1" ht="30" hidden="1" customHeight="1" x14ac:dyDescent="0.25">
      <c r="A1131" s="2024" t="str">
        <f>IF(L1135=0,"",MAX($A$16:A1130)+1)</f>
        <v/>
      </c>
      <c r="B1131" s="2027" t="s">
        <v>1573</v>
      </c>
      <c r="C1131" s="129"/>
      <c r="D1131" s="881" t="s">
        <v>10</v>
      </c>
      <c r="E1131" s="882">
        <v>46132</v>
      </c>
      <c r="F1131" s="71">
        <f t="shared" ref="F1131:F1134" si="693">$L$7-E1131</f>
        <v>129</v>
      </c>
      <c r="G1131" s="64">
        <v>0</v>
      </c>
      <c r="H1131" s="64"/>
      <c r="I1131" s="64"/>
      <c r="J1131" s="1412"/>
      <c r="K1131" s="1348">
        <f>IFERROR(SUMIF(INTAKE!$A:$A,$T1131,INTAKE!$P:$P),0)</f>
        <v>0</v>
      </c>
      <c r="L1131" s="1703">
        <f t="shared" ref="L1131:L1134" si="694">+G1131+H1131+I1131-J1131-K1131</f>
        <v>0</v>
      </c>
      <c r="M1131" s="50"/>
      <c r="N1131" s="167"/>
      <c r="O1131" s="50"/>
      <c r="P1131" s="731"/>
      <c r="Q1131" s="795"/>
      <c r="R1131" s="785">
        <f>IFERROR(VLOOKUP($Q1131,'391'!$S:$Z,8,0),"")</f>
        <v>0</v>
      </c>
      <c r="S1131" s="796"/>
      <c r="T1131" s="797" t="str">
        <f>$Q$1135&amp;C1131&amp;E1131</f>
        <v>Advance Timicox 20 (VN)46132</v>
      </c>
      <c r="U1131" s="797"/>
      <c r="V1131" s="797"/>
      <c r="W1131" s="785">
        <f>IFERROR(VLOOKUP($Q1131,'391'!$S:$AG,15,0),0)</f>
        <v>0</v>
      </c>
      <c r="X1131" s="1090">
        <f t="shared" ref="X1131:X1135" si="695">G1131-W1131</f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9" customFormat="1" ht="30" hidden="1" customHeight="1" x14ac:dyDescent="0.25">
      <c r="A1132" s="2025"/>
      <c r="B1132" s="2028"/>
      <c r="C1132" s="129"/>
      <c r="D1132" s="881" t="s">
        <v>10</v>
      </c>
      <c r="E1132" s="882">
        <v>45268</v>
      </c>
      <c r="F1132" s="71">
        <f t="shared" si="693"/>
        <v>993</v>
      </c>
      <c r="G1132" s="64">
        <v>0</v>
      </c>
      <c r="H1132" s="64"/>
      <c r="I1132" s="64"/>
      <c r="J1132" s="1412"/>
      <c r="K1132" s="1348">
        <f>IFERROR(SUMIF(INTAKE!$A:$A,$T1132,INTAKE!$P:$P),0)</f>
        <v>0</v>
      </c>
      <c r="L1132" s="1534">
        <f t="shared" si="694"/>
        <v>0</v>
      </c>
      <c r="M1132" s="46"/>
      <c r="N1132" s="176"/>
      <c r="O1132" s="46"/>
      <c r="P1132" s="1829"/>
      <c r="Q1132" s="795"/>
      <c r="R1132" s="785">
        <f>IFERROR(VLOOKUP($Q1132,'391'!$S:$Z,8,0),"")</f>
        <v>0</v>
      </c>
      <c r="S1132" s="796"/>
      <c r="T1132" s="797" t="str">
        <f>$Q$1135&amp;C1132&amp;E1132</f>
        <v>Advance Timicox 20 (VN)45268</v>
      </c>
      <c r="U1132" s="797"/>
      <c r="V1132" s="797"/>
      <c r="W1132" s="785">
        <f>IFERROR(VLOOKUP($Q1132,'391'!$S:$AG,15,0),0)</f>
        <v>0</v>
      </c>
      <c r="X1132" s="1090">
        <f t="shared" si="695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409" customFormat="1" ht="30" hidden="1" customHeight="1" x14ac:dyDescent="0.25">
      <c r="A1133" s="2025"/>
      <c r="B1133" s="2028"/>
      <c r="C1133" s="129"/>
      <c r="D1133" s="881" t="s">
        <v>10</v>
      </c>
      <c r="E1133" s="882">
        <v>43021</v>
      </c>
      <c r="F1133" s="71">
        <f t="shared" si="693"/>
        <v>3240</v>
      </c>
      <c r="G1133" s="64">
        <v>0</v>
      </c>
      <c r="H1133" s="64"/>
      <c r="I1133" s="64"/>
      <c r="J1133" s="1412"/>
      <c r="K1133" s="1410"/>
      <c r="L1133" s="1534">
        <f t="shared" si="694"/>
        <v>0</v>
      </c>
      <c r="M1133" s="46"/>
      <c r="N1133" s="176"/>
      <c r="O1133" s="46"/>
      <c r="P1133" s="1829"/>
      <c r="Q1133" s="795"/>
      <c r="R1133" s="785">
        <f>IFERROR(VLOOKUP($Q1133,'391'!$S:$Z,8,0),"")</f>
        <v>0</v>
      </c>
      <c r="S1133" s="796"/>
      <c r="T1133" s="797" t="str">
        <f>$Q$1135&amp;C1133&amp;E1133</f>
        <v>Advance Timicox 20 (VN)43021</v>
      </c>
      <c r="U1133" s="797"/>
      <c r="V1133" s="797"/>
      <c r="W1133" s="785">
        <f>IFERROR(VLOOKUP($Q1133,'391'!$S:$AG,15,0),0)</f>
        <v>0</v>
      </c>
      <c r="X1133" s="1090">
        <f t="shared" si="695"/>
        <v>0</v>
      </c>
      <c r="Y1133" s="785"/>
      <c r="Z1133" s="785"/>
      <c r="AA1133" s="797"/>
      <c r="AB1133" s="797"/>
      <c r="AC1133" s="681"/>
      <c r="AD1133" s="681"/>
      <c r="AE1133" s="681"/>
      <c r="AF1133" s="681"/>
      <c r="AG1133" s="681"/>
      <c r="AH1133" s="681"/>
      <c r="AI1133" s="703"/>
      <c r="AJ1133" s="703"/>
      <c r="AK1133" s="703"/>
      <c r="AL1133" s="703"/>
      <c r="AM1133" s="703"/>
      <c r="AN1133" s="703"/>
      <c r="AO1133" s="703"/>
      <c r="AP1133" s="703"/>
      <c r="AQ1133" s="703"/>
      <c r="AR1133" s="703"/>
      <c r="AS1133" s="703"/>
    </row>
    <row r="1134" spans="1:45" s="401" customFormat="1" ht="30" hidden="1" customHeight="1" x14ac:dyDescent="0.25">
      <c r="A1134" s="2026"/>
      <c r="B1134" s="2029"/>
      <c r="C1134" s="108" t="s">
        <v>46</v>
      </c>
      <c r="D1134" s="863" t="s">
        <v>10</v>
      </c>
      <c r="E1134" s="886">
        <v>46132</v>
      </c>
      <c r="F1134" s="39">
        <f t="shared" si="693"/>
        <v>129</v>
      </c>
      <c r="G1134" s="37">
        <v>0</v>
      </c>
      <c r="H1134" s="37"/>
      <c r="I1134" s="37">
        <f>K1131+K1132</f>
        <v>0</v>
      </c>
      <c r="J1134" s="1385"/>
      <c r="K1134" s="37"/>
      <c r="L1134" s="1534">
        <f t="shared" si="694"/>
        <v>0</v>
      </c>
      <c r="M1134" s="35"/>
      <c r="N1134" s="87"/>
      <c r="O1134" s="35"/>
      <c r="P1134" s="1278"/>
      <c r="Q1134" s="795"/>
      <c r="R1134" s="785">
        <f>IFERROR(VLOOKUP($Q1134,'391'!$S:$Z,8,0),"")</f>
        <v>0</v>
      </c>
      <c r="S1134" s="796"/>
      <c r="T1134" s="797" t="str">
        <f>$Q$1135&amp;C1134&amp;E1134</f>
        <v>Advance Timicox 20 (VN)Feedmill46132</v>
      </c>
      <c r="U1134" s="797"/>
      <c r="V1134" s="797"/>
      <c r="W1134" s="785">
        <f>IFERROR(VLOOKUP($Q1134,'391'!$S:$AG,15,0),0)</f>
        <v>0</v>
      </c>
      <c r="X1134" s="1090">
        <f t="shared" si="695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265" customFormat="1" ht="30" hidden="1" customHeight="1" x14ac:dyDescent="0.25">
      <c r="A1135" s="2022" t="s">
        <v>1577</v>
      </c>
      <c r="B1135" s="2023"/>
      <c r="C1135" s="88"/>
      <c r="D1135" s="864"/>
      <c r="E1135" s="864"/>
      <c r="F1135" s="865"/>
      <c r="G1135" s="1297">
        <v>0</v>
      </c>
      <c r="H1135" s="1344">
        <f>SUM(H1131:H1134)</f>
        <v>0</v>
      </c>
      <c r="I1135" s="1297">
        <f>SUM(I1131:I1134)</f>
        <v>0</v>
      </c>
      <c r="J1135" s="1297">
        <f>SUM(J1131:J1134)</f>
        <v>0</v>
      </c>
      <c r="K1135" s="1297">
        <f>SUM(K1131:K1134)</f>
        <v>0</v>
      </c>
      <c r="L1135" s="1297">
        <f>SUM(L1131:L1134)</f>
        <v>0</v>
      </c>
      <c r="M1135" s="59" t="str">
        <f>IFERROR(R1135/$S$2,"")</f>
        <v/>
      </c>
      <c r="N1135" s="99">
        <f>IFERROR(L1135/M1135,0)</f>
        <v>0</v>
      </c>
      <c r="O1135" s="59">
        <f>IFERROR(SUMIF(ETM!$A:$A,$Q1135,ETM!$E:$E),"")+O811</f>
        <v>84.833333333333329</v>
      </c>
      <c r="P1135" s="880">
        <f>IFERROR(L1135/O1135,0)</f>
        <v>0</v>
      </c>
      <c r="Q1135" s="666" t="s">
        <v>1575</v>
      </c>
      <c r="R1135" s="785" t="str">
        <f>IFERROR(VLOOKUP($Q1135,'391'!$S:$Z,8,0),"")</f>
        <v/>
      </c>
      <c r="S1135" s="796"/>
      <c r="T1135" s="797"/>
      <c r="U1135" s="797"/>
      <c r="V1135" s="797"/>
      <c r="W1135" s="785">
        <f>IFERROR(VLOOKUP($Q1135,'391'!$S:$AG,15,0),0)</f>
        <v>0</v>
      </c>
      <c r="X1135" s="1090">
        <f t="shared" si="695"/>
        <v>0</v>
      </c>
      <c r="Y1135" s="785"/>
      <c r="Z1135" s="785"/>
      <c r="AA1135" s="797"/>
      <c r="AB1135" s="797"/>
      <c r="AC1135" s="551"/>
      <c r="AD1135" s="551"/>
      <c r="AE1135" s="551"/>
      <c r="AF1135" s="551"/>
      <c r="AG1135" s="551"/>
      <c r="AH1135" s="551"/>
      <c r="AI1135" s="704"/>
      <c r="AJ1135" s="704"/>
      <c r="AK1135" s="704"/>
      <c r="AL1135" s="704"/>
      <c r="AM1135" s="704"/>
      <c r="AN1135" s="704"/>
      <c r="AO1135" s="704"/>
      <c r="AP1135" s="704"/>
      <c r="AQ1135" s="704"/>
      <c r="AR1135" s="704"/>
      <c r="AS1135" s="704"/>
    </row>
    <row r="1136" spans="1:45" s="409" customFormat="1" ht="30" hidden="1" customHeight="1" x14ac:dyDescent="0.25">
      <c r="A1136" s="2024" t="str">
        <f>IF(L1141=0,"",MAX($A$16:A1108)+1)</f>
        <v/>
      </c>
      <c r="B1136" s="2027" t="s">
        <v>580</v>
      </c>
      <c r="C1136" s="114" t="s">
        <v>596</v>
      </c>
      <c r="D1136" s="26" t="s">
        <v>10</v>
      </c>
      <c r="E1136" s="19">
        <v>44181</v>
      </c>
      <c r="F1136" s="17">
        <f>$L$7-E1136</f>
        <v>2080</v>
      </c>
      <c r="G1136" s="64">
        <v>0</v>
      </c>
      <c r="H1136" s="64"/>
      <c r="I1136" s="64"/>
      <c r="J1136" s="1413"/>
      <c r="K1136" s="64"/>
      <c r="L1136" s="1534">
        <f t="shared" ref="L1136:L1151" si="696">+G1136+H1136+I1136-J1136-K1136</f>
        <v>0</v>
      </c>
      <c r="M1136" s="44"/>
      <c r="N1136" s="95"/>
      <c r="O1136" s="44"/>
      <c r="P1136" s="731"/>
      <c r="Q1136" s="795"/>
      <c r="R1136" s="785">
        <f>IFERROR(VLOOKUP($Q1136,'391'!$S:$Z,8,0),"")</f>
        <v>0</v>
      </c>
      <c r="S1136" s="796"/>
      <c r="T1136" s="797"/>
      <c r="U1136" s="797"/>
      <c r="V1136" s="797"/>
      <c r="W1136" s="785">
        <f>IFERROR(VLOOKUP($Q1136,'391'!$S:$AG,15,0),0)</f>
        <v>0</v>
      </c>
      <c r="X1136" s="1090">
        <f t="shared" si="666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5"/>
      <c r="B1137" s="2028"/>
      <c r="C1137" s="114" t="s">
        <v>874</v>
      </c>
      <c r="D1137" s="881" t="s">
        <v>10</v>
      </c>
      <c r="E1137" s="882">
        <v>44475</v>
      </c>
      <c r="F1137" s="71">
        <f>$L$7-E1137</f>
        <v>1786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696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$Q$1141&amp;C1137&amp;E1137</f>
        <v>LarvadexV6.144475</v>
      </c>
      <c r="U1137" s="797"/>
      <c r="V1137" s="797"/>
      <c r="W1137" s="785">
        <f>IFERROR(VLOOKUP($Q1137,'391'!$S:$AG,15,0),0)</f>
        <v>0</v>
      </c>
      <c r="X1137" s="1090">
        <f t="shared" si="666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9" customFormat="1" ht="30" hidden="1" customHeight="1" x14ac:dyDescent="0.25">
      <c r="A1138" s="2025"/>
      <c r="B1138" s="2028"/>
      <c r="C1138" s="114"/>
      <c r="D1138" s="881" t="s">
        <v>10</v>
      </c>
      <c r="E1138" s="882">
        <v>44475</v>
      </c>
      <c r="F1138" s="71">
        <f>$L$7-E1138</f>
        <v>1786</v>
      </c>
      <c r="G1138" s="64">
        <v>0</v>
      </c>
      <c r="H1138" s="64"/>
      <c r="I1138" s="64"/>
      <c r="J1138" s="1413"/>
      <c r="K1138" s="64">
        <f>IFERROR(SUMIF(INTAKE!$A:$A,$T1138,INTAKE!$P:$P),0)</f>
        <v>0</v>
      </c>
      <c r="L1138" s="1534">
        <f t="shared" si="696"/>
        <v>0</v>
      </c>
      <c r="M1138" s="48"/>
      <c r="N1138" s="163"/>
      <c r="O1138" s="48"/>
      <c r="P1138" s="749"/>
      <c r="Q1138" s="795"/>
      <c r="R1138" s="785">
        <f>IFERROR(VLOOKUP($Q1138,'391'!$S:$Z,8,0),"")</f>
        <v>0</v>
      </c>
      <c r="S1138" s="796"/>
      <c r="T1138" s="797" t="str">
        <f>$Q$1141&amp;C1138&amp;E1138</f>
        <v>Larvadex44475</v>
      </c>
      <c r="U1138" s="797"/>
      <c r="V1138" s="797"/>
      <c r="W1138" s="785">
        <f>IFERROR(VLOOKUP($Q1138,'391'!$S:$AG,15,0),0)</f>
        <v>0</v>
      </c>
      <c r="X1138" s="1090">
        <f t="shared" si="666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409" customFormat="1" ht="30" hidden="1" customHeight="1" x14ac:dyDescent="0.25">
      <c r="A1139" s="2025"/>
      <c r="B1139" s="2028"/>
      <c r="C1139" s="114"/>
      <c r="D1139" s="881" t="s">
        <v>10</v>
      </c>
      <c r="E1139" s="882">
        <v>44475</v>
      </c>
      <c r="F1139" s="71">
        <f>$L$7-E1139</f>
        <v>1786</v>
      </c>
      <c r="G1139" s="64">
        <v>0</v>
      </c>
      <c r="H1139" s="64"/>
      <c r="I1139" s="64"/>
      <c r="J1139" s="1413"/>
      <c r="K1139" s="64">
        <f>IFERROR(SUMIF(INTAKE!$A:$A,$T1139,INTAKE!$P:$P),0)</f>
        <v>0</v>
      </c>
      <c r="L1139" s="1534">
        <f t="shared" si="696"/>
        <v>0</v>
      </c>
      <c r="M1139" s="48"/>
      <c r="N1139" s="163"/>
      <c r="O1139" s="48"/>
      <c r="P1139" s="749"/>
      <c r="Q1139" s="795"/>
      <c r="R1139" s="785">
        <f>IFERROR(VLOOKUP($Q1139,'391'!$S:$Z,8,0),"")</f>
        <v>0</v>
      </c>
      <c r="S1139" s="796"/>
      <c r="T1139" s="797" t="str">
        <f>$Q$1141&amp;C1139&amp;E1139</f>
        <v>Larvadex44475</v>
      </c>
      <c r="U1139" s="797"/>
      <c r="V1139" s="797"/>
      <c r="W1139" s="785">
        <f>IFERROR(VLOOKUP($Q1139,'391'!$S:$AG,15,0),0)</f>
        <v>0</v>
      </c>
      <c r="X1139" s="1090">
        <f t="shared" si="666"/>
        <v>0</v>
      </c>
      <c r="Y1139" s="785"/>
      <c r="Z1139" s="785"/>
      <c r="AA1139" s="797"/>
      <c r="AB1139" s="797"/>
      <c r="AC1139" s="681"/>
      <c r="AD1139" s="681"/>
      <c r="AE1139" s="681"/>
      <c r="AF1139" s="681"/>
      <c r="AG1139" s="681"/>
      <c r="AH1139" s="681"/>
      <c r="AI1139" s="703"/>
      <c r="AJ1139" s="703"/>
      <c r="AK1139" s="703"/>
      <c r="AL1139" s="703"/>
      <c r="AM1139" s="703"/>
      <c r="AN1139" s="703"/>
      <c r="AO1139" s="703"/>
      <c r="AP1139" s="703"/>
      <c r="AQ1139" s="703"/>
      <c r="AR1139" s="703"/>
      <c r="AS1139" s="703"/>
    </row>
    <row r="1140" spans="1:45" s="401" customFormat="1" ht="30" hidden="1" customHeight="1" x14ac:dyDescent="0.25">
      <c r="A1140" s="2026"/>
      <c r="B1140" s="2029"/>
      <c r="C1140" s="108" t="s">
        <v>46</v>
      </c>
      <c r="D1140" s="863" t="s">
        <v>10</v>
      </c>
      <c r="E1140" s="886">
        <v>44475</v>
      </c>
      <c r="F1140" s="39">
        <f>$L$7-E1140</f>
        <v>1786</v>
      </c>
      <c r="G1140" s="1372">
        <v>0</v>
      </c>
      <c r="H1140" s="37"/>
      <c r="I1140" s="37">
        <f>K1136+K1139+K1137+K1138</f>
        <v>0</v>
      </c>
      <c r="J1140" s="1385"/>
      <c r="K1140" s="64">
        <f>IFERROR(SUMIF(INTAKE!$A:$A,$T1140,INTAKE!$P:$P),0)</f>
        <v>0</v>
      </c>
      <c r="L1140" s="1534">
        <f t="shared" si="696"/>
        <v>0</v>
      </c>
      <c r="M1140" s="35"/>
      <c r="N1140" s="87"/>
      <c r="O1140" s="35"/>
      <c r="P1140" s="731"/>
      <c r="Q1140" s="795"/>
      <c r="R1140" s="785">
        <f>IFERROR(VLOOKUP($Q1140,'391'!$S:$Z,8,0),"")</f>
        <v>0</v>
      </c>
      <c r="S1140" s="796"/>
      <c r="T1140" s="797" t="str">
        <f>$Q$1141&amp;C1140&amp;E1140</f>
        <v>LarvadexFeedmill44475</v>
      </c>
      <c r="U1140" s="797"/>
      <c r="V1140" s="797"/>
      <c r="W1140" s="785">
        <f>IFERROR(VLOOKUP($Q1140,'391'!$S:$AG,15,0),0)</f>
        <v>0</v>
      </c>
      <c r="X1140" s="1090">
        <f t="shared" si="666"/>
        <v>0</v>
      </c>
      <c r="Y1140" s="785"/>
      <c r="Z1140" s="785"/>
      <c r="AA1140" s="797"/>
      <c r="AB1140" s="797"/>
      <c r="AC1140" s="681"/>
      <c r="AD1140" s="681"/>
      <c r="AE1140" s="681"/>
      <c r="AF1140" s="681"/>
      <c r="AG1140" s="681"/>
      <c r="AH1140" s="681"/>
      <c r="AI1140" s="703"/>
      <c r="AJ1140" s="703"/>
      <c r="AK1140" s="703"/>
      <c r="AL1140" s="703"/>
      <c r="AM1140" s="703"/>
      <c r="AN1140" s="703"/>
      <c r="AO1140" s="703"/>
      <c r="AP1140" s="703"/>
      <c r="AQ1140" s="703"/>
      <c r="AR1140" s="703"/>
      <c r="AS1140" s="703"/>
    </row>
    <row r="1141" spans="1:45" s="265" customFormat="1" ht="30" hidden="1" customHeight="1" x14ac:dyDescent="0.25">
      <c r="A1141" s="2022" t="s">
        <v>174</v>
      </c>
      <c r="B1141" s="2023"/>
      <c r="C1141" s="575"/>
      <c r="D1141" s="864"/>
      <c r="E1141" s="864"/>
      <c r="F1141" s="865"/>
      <c r="G1141" s="1297">
        <v>0</v>
      </c>
      <c r="H1141" s="1297">
        <f>SUM(H1136:H1140)</f>
        <v>0</v>
      </c>
      <c r="I1141" s="1297">
        <f>SUM(I1136:I1140)</f>
        <v>0</v>
      </c>
      <c r="J1141" s="1297">
        <f t="shared" ref="J1141:K1141" si="697">SUM(J1136:J1140)</f>
        <v>0</v>
      </c>
      <c r="K1141" s="1297">
        <f t="shared" si="697"/>
        <v>0</v>
      </c>
      <c r="L1141" s="1534">
        <f t="shared" si="696"/>
        <v>0</v>
      </c>
      <c r="M1141" s="982" t="str">
        <f>IFERROR(R1141/$S$2,"")</f>
        <v/>
      </c>
      <c r="N1141" s="366">
        <f>IFERROR(L1141/M1141,0)</f>
        <v>0</v>
      </c>
      <c r="O1141" s="982">
        <f>IFERROR(SUMIF(ETM!$A:$A,$Q1141,ETM!$E:$E),"")</f>
        <v>0</v>
      </c>
      <c r="P1141" s="880">
        <f>IFERROR(L1141/O1141,0)</f>
        <v>0</v>
      </c>
      <c r="Q1141" s="814" t="s">
        <v>173</v>
      </c>
      <c r="R1141" s="785" t="str">
        <f>IFERROR(VLOOKUP($Q1141,'391'!$S:$Z,8,0),"")</f>
        <v/>
      </c>
      <c r="S1141" s="796"/>
      <c r="T1141" s="797"/>
      <c r="U1141" s="797"/>
      <c r="V1141" s="797"/>
      <c r="W1141" s="785">
        <f>IFERROR(VLOOKUP($Q1141,'391'!$S:$AG,15,0),0)</f>
        <v>0</v>
      </c>
      <c r="X1141" s="1090">
        <f t="shared" si="666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030">
        <f>IF(L1147=0,"",MAX($A$16:A1136)+1)</f>
        <v>76</v>
      </c>
      <c r="B1142" s="2027" t="s">
        <v>1807</v>
      </c>
      <c r="C1142" s="999" t="s">
        <v>1792</v>
      </c>
      <c r="D1142" s="1000" t="s">
        <v>10</v>
      </c>
      <c r="E1142" s="988">
        <v>46225</v>
      </c>
      <c r="F1142" s="994">
        <f t="shared" ref="F1142:F1143" si="698">$L$7-E1142</f>
        <v>36</v>
      </c>
      <c r="G1142" s="1395">
        <v>150</v>
      </c>
      <c r="H1142" s="1395"/>
      <c r="I1142" s="1395"/>
      <c r="J1142" s="1396"/>
      <c r="K1142" s="1395">
        <f>IFERROR(SUMIF(INTAKE!$A:$A,$T1142,INTAKE!$P:$P),0)</f>
        <v>150</v>
      </c>
      <c r="L1142" s="1703">
        <f t="shared" ref="L1142:L1146" si="699">+G1142+H1142+I1142-J1142-K1142</f>
        <v>0</v>
      </c>
      <c r="M1142" s="50"/>
      <c r="N1142" s="167"/>
      <c r="O1142" s="50"/>
      <c r="P1142" s="747"/>
      <c r="Q1142" s="795"/>
      <c r="R1142" s="785">
        <f>IFERROR(VLOOKUP($Q1142,'391'!$S:$Z,8,0),"")</f>
        <v>0</v>
      </c>
      <c r="S1142" s="796"/>
      <c r="T1142" s="797" t="str">
        <f>$Q$1147&amp;C1142&amp;E1142</f>
        <v>Axtra# PRIME 501 T (Singapore)Y3.246225</v>
      </c>
      <c r="U1142" s="797"/>
      <c r="V1142" s="797"/>
      <c r="W1142" s="785">
        <f>IFERROR(VLOOKUP($Q1142,'391'!$S:$AG,15,0),0)</f>
        <v>0</v>
      </c>
      <c r="X1142" s="1090">
        <f t="shared" ref="X1142:X1147" si="700">G1142-W1142</f>
        <v>150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29.1" customHeight="1" x14ac:dyDescent="0.25">
      <c r="A1143" s="2031"/>
      <c r="B1143" s="2028"/>
      <c r="C1143" s="999" t="s">
        <v>1792</v>
      </c>
      <c r="D1143" s="1000" t="s">
        <v>10</v>
      </c>
      <c r="E1143" s="988">
        <v>46233</v>
      </c>
      <c r="F1143" s="994">
        <f t="shared" si="698"/>
        <v>28</v>
      </c>
      <c r="G1143" s="1395">
        <v>500</v>
      </c>
      <c r="H1143" s="1395"/>
      <c r="I1143" s="1395"/>
      <c r="J1143" s="1396"/>
      <c r="K1143" s="1395">
        <f>IFERROR(SUMIF(INTAKE!$A:$A,$T1143,INTAKE!$P:$P),0)</f>
        <v>25</v>
      </c>
      <c r="L1143" s="1703">
        <f t="shared" si="699"/>
        <v>475</v>
      </c>
      <c r="M1143" s="48"/>
      <c r="N1143" s="163"/>
      <c r="O1143" s="48"/>
      <c r="P1143" s="750"/>
      <c r="Q1143" s="795"/>
      <c r="R1143" s="785">
        <f>IFERROR(VLOOKUP($Q1143,'391'!$S:$Z,8,0),"")</f>
        <v>0</v>
      </c>
      <c r="S1143" s="796"/>
      <c r="T1143" s="797" t="str">
        <f>$Q$1147&amp;C1143&amp;E1143</f>
        <v>Axtra# PRIME 501 T (Singapore)Y3.246233</v>
      </c>
      <c r="U1143" s="797"/>
      <c r="V1143" s="797"/>
      <c r="W1143" s="785">
        <f>IFERROR(VLOOKUP($Q1143,'391'!$S:$AG,15,0),0)</f>
        <v>0</v>
      </c>
      <c r="X1143" s="1090">
        <f t="shared" si="700"/>
        <v>500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265" customFormat="1" ht="30" customHeight="1" x14ac:dyDescent="0.25">
      <c r="A1144" s="2194"/>
      <c r="B1144" s="2111"/>
      <c r="C1144" s="999" t="s">
        <v>1792</v>
      </c>
      <c r="D1144" s="1000" t="s">
        <v>10</v>
      </c>
      <c r="E1144" s="988">
        <v>46247</v>
      </c>
      <c r="F1144" s="994">
        <f t="shared" ref="F1144" si="701">$L$7-E1144</f>
        <v>14</v>
      </c>
      <c r="G1144" s="1395">
        <v>500</v>
      </c>
      <c r="H1144" s="1395"/>
      <c r="I1144" s="1395"/>
      <c r="J1144" s="1396"/>
      <c r="K1144" s="1395">
        <f>IFERROR(SUMIF(INTAKE!$A:$A,$T1144,INTAKE!$P:$P),0)</f>
        <v>0</v>
      </c>
      <c r="L1144" s="1703">
        <f t="shared" ref="L1144" si="702">+G1144+H1144+I1144-J1144-K1144</f>
        <v>500</v>
      </c>
      <c r="M1144" s="174"/>
      <c r="N1144" s="1001"/>
      <c r="O1144" s="174"/>
      <c r="P1144" s="873"/>
      <c r="Q1144" s="795"/>
      <c r="R1144" s="785">
        <f>IFERROR(VLOOKUP($Q1144,'391'!$S:$Z,8,0),"")</f>
        <v>0</v>
      </c>
      <c r="S1144" s="796"/>
      <c r="T1144" s="797" t="str">
        <f>$Q$1147&amp;C1144&amp;E1144</f>
        <v>Axtra# PRIME 501 T (Singapore)Y3.246247</v>
      </c>
      <c r="U1144" s="797"/>
      <c r="V1144" s="797"/>
      <c r="W1144" s="785">
        <f>IFERROR(VLOOKUP($Q1144,'391'!$S:$AG,15,0),0)</f>
        <v>0</v>
      </c>
      <c r="X1144" s="1090">
        <f t="shared" ref="X1144" si="703">G1144-W1144</f>
        <v>500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hidden="1" customHeight="1" x14ac:dyDescent="0.25">
      <c r="A1145" s="2031"/>
      <c r="B1145" s="2028"/>
      <c r="C1145" s="999"/>
      <c r="D1145" s="1000" t="s">
        <v>10</v>
      </c>
      <c r="E1145" s="988">
        <v>46149</v>
      </c>
      <c r="F1145" s="994">
        <f t="shared" ref="F1145:F1146" si="704">$L$7-E1145</f>
        <v>112</v>
      </c>
      <c r="G1145" s="1395">
        <v>0</v>
      </c>
      <c r="H1145" s="1395"/>
      <c r="I1145" s="1395"/>
      <c r="J1145" s="1396"/>
      <c r="K1145" s="1395">
        <f>IFERROR(SUMIF(INTAKE!$A:$A,$T1145,INTAKE!$P:$P),0)</f>
        <v>0</v>
      </c>
      <c r="L1145" s="1703">
        <f t="shared" si="699"/>
        <v>0</v>
      </c>
      <c r="M1145" s="174"/>
      <c r="N1145" s="1001"/>
      <c r="O1145" s="174"/>
      <c r="P1145" s="873"/>
      <c r="Q1145" s="795"/>
      <c r="R1145" s="785">
        <f>IFERROR(VLOOKUP($Q1145,'391'!$S:$Z,8,0),"")</f>
        <v>0</v>
      </c>
      <c r="S1145" s="796"/>
      <c r="T1145" s="797" t="str">
        <f>$Q$1147&amp;C1145&amp;E1145</f>
        <v>Axtra# PRIME 501 T (Singapore)46149</v>
      </c>
      <c r="U1145" s="797"/>
      <c r="V1145" s="797"/>
      <c r="W1145" s="785">
        <f>IFERROR(VLOOKUP($Q1145,'391'!$S:$AG,15,0),0)</f>
        <v>0</v>
      </c>
      <c r="X1145" s="1090">
        <f t="shared" si="700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418" customFormat="1" ht="30" customHeight="1" x14ac:dyDescent="0.25">
      <c r="A1146" s="2032"/>
      <c r="B1146" s="2029"/>
      <c r="C1146" s="108" t="s">
        <v>46</v>
      </c>
      <c r="D1146" s="990" t="s">
        <v>10</v>
      </c>
      <c r="E1146" s="991">
        <v>46225</v>
      </c>
      <c r="F1146" s="363">
        <f t="shared" si="704"/>
        <v>36</v>
      </c>
      <c r="G1146" s="1372">
        <v>0</v>
      </c>
      <c r="H1146" s="1372"/>
      <c r="I1146" s="1372">
        <f>+SUM(K1142:K1143)</f>
        <v>175</v>
      </c>
      <c r="J1146" s="1373">
        <f>usage!I220</f>
        <v>3.96</v>
      </c>
      <c r="K1146" s="1395">
        <f>IFERROR(SUMIF(INTAKE!$A:$A,$T1146,INTAKE!$P:$P),0)</f>
        <v>0</v>
      </c>
      <c r="L1146" s="1534">
        <f t="shared" si="699"/>
        <v>171.04</v>
      </c>
      <c r="M1146" s="175"/>
      <c r="N1146" s="1002"/>
      <c r="O1146" s="175"/>
      <c r="P1146" s="905"/>
      <c r="Q1146" s="795"/>
      <c r="R1146" s="785">
        <f>IFERROR(VLOOKUP($Q1146,'391'!$S:$Z,8,0),"")</f>
        <v>0</v>
      </c>
      <c r="S1146" s="796"/>
      <c r="T1146" s="797" t="str">
        <f>$Q$1147&amp;C1146&amp;E1146</f>
        <v>Axtra# PRIME 501 T (Singapore)Feedmill46225</v>
      </c>
      <c r="U1146" s="797"/>
      <c r="V1146" s="797"/>
      <c r="W1146" s="785">
        <f>IFERROR(VLOOKUP($Q1146,'391'!$S:$AG,15,0),0)</f>
        <v>0</v>
      </c>
      <c r="X1146" s="1090">
        <f t="shared" si="700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30" customHeight="1" x14ac:dyDescent="0.25">
      <c r="A1147" s="845"/>
      <c r="B1147" s="846" t="s">
        <v>1808</v>
      </c>
      <c r="C1147" s="88"/>
      <c r="D1147" s="930"/>
      <c r="E1147" s="930"/>
      <c r="F1147" s="931"/>
      <c r="G1147" s="1297">
        <v>1150</v>
      </c>
      <c r="H1147" s="1297">
        <f>SUM(H1142:H1146)</f>
        <v>0</v>
      </c>
      <c r="I1147" s="1297">
        <f>SUM(I1142:I1146)</f>
        <v>175</v>
      </c>
      <c r="J1147" s="1297">
        <f>SUM(J1142:J1146)</f>
        <v>3.96</v>
      </c>
      <c r="K1147" s="1297">
        <f>SUM(K1142:K1146)</f>
        <v>175</v>
      </c>
      <c r="L1147" s="1297">
        <f>SUM(L1142:L1146)</f>
        <v>1146.04</v>
      </c>
      <c r="M1147" s="59">
        <f>IFERROR(R1147/$S$2,"")</f>
        <v>37.483333333333334</v>
      </c>
      <c r="N1147" s="854">
        <f>IFERROR(L1147/M1147,0)</f>
        <v>30.574655402401067</v>
      </c>
      <c r="O1147" s="982">
        <f>IFERROR(SUMIF(ETM!$A:$A,$Q1147,ETM!$E:$E),"")</f>
        <v>38.166666666666671</v>
      </c>
      <c r="P1147" s="880">
        <f>IFERROR(L1147/O1147,0)</f>
        <v>30.02724890829694</v>
      </c>
      <c r="Q1147" s="814" t="s">
        <v>1807</v>
      </c>
      <c r="R1147" s="785">
        <f>IFERROR(VLOOKUP($Q1147,'391'!$S:$Z,8,0),"")</f>
        <v>224.9</v>
      </c>
      <c r="S1147" s="796"/>
      <c r="T1147" s="797"/>
      <c r="U1147" s="797"/>
      <c r="V1147" s="797"/>
      <c r="W1147" s="785">
        <f>IFERROR(VLOOKUP($Q1147,'391'!$S:$AG,15,0),0)</f>
        <v>1216.74</v>
      </c>
      <c r="X1147" s="1090">
        <f t="shared" si="700"/>
        <v>-66.740000000000009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0" t="str">
        <f>IF(L1152=0,"",MAX($A$16:A1147)+1)</f>
        <v/>
      </c>
      <c r="B1148" s="2027" t="s">
        <v>97</v>
      </c>
      <c r="C1148" s="999"/>
      <c r="D1148" s="1000" t="s">
        <v>10</v>
      </c>
      <c r="E1148" s="988">
        <v>46010</v>
      </c>
      <c r="F1148" s="994">
        <f t="shared" ref="F1148" si="705">$L$7-E1148</f>
        <v>251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703">
        <f t="shared" si="696"/>
        <v>0</v>
      </c>
      <c r="M1148" s="50"/>
      <c r="N1148" s="167"/>
      <c r="O1148" s="50"/>
      <c r="P1148" s="747"/>
      <c r="Q1148" s="795"/>
      <c r="R1148" s="785">
        <f>IFERROR(VLOOKUP($Q1148,'391'!$S:$Z,8,0),"")</f>
        <v>0</v>
      </c>
      <c r="S1148" s="796"/>
      <c r="T1148" s="797" t="str">
        <f>$Q$1152&amp;C1148&amp;E1148</f>
        <v>Porzyme TP-100HP Dry (Finland)46010</v>
      </c>
      <c r="U1148" s="797"/>
      <c r="V1148" s="797"/>
      <c r="W1148" s="785">
        <f>IFERROR(VLOOKUP($Q1148,'391'!$S:$AG,15,0),0)</f>
        <v>0</v>
      </c>
      <c r="X1148" s="1090">
        <f t="shared" si="666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265" customFormat="1" ht="29.1" hidden="1" customHeight="1" x14ac:dyDescent="0.25">
      <c r="A1149" s="2031"/>
      <c r="B1149" s="2028"/>
      <c r="C1149" s="999"/>
      <c r="D1149" s="1000" t="s">
        <v>10</v>
      </c>
      <c r="E1149" s="988">
        <v>46045</v>
      </c>
      <c r="F1149" s="994">
        <f t="shared" ref="F1149" si="706">$L$7-E1149</f>
        <v>216</v>
      </c>
      <c r="G1149" s="1395">
        <v>0</v>
      </c>
      <c r="H1149" s="1395"/>
      <c r="I1149" s="1395"/>
      <c r="J1149" s="1396"/>
      <c r="K1149" s="1395">
        <f>IFERROR(SUMIF(INTAKE!$A:$A,$T1149,INTAKE!$P:$P),0)</f>
        <v>0</v>
      </c>
      <c r="L1149" s="1703">
        <f t="shared" si="696"/>
        <v>0</v>
      </c>
      <c r="M1149" s="48"/>
      <c r="N1149" s="163"/>
      <c r="O1149" s="48"/>
      <c r="P1149" s="750"/>
      <c r="Q1149" s="795"/>
      <c r="R1149" s="785">
        <f>IFERROR(VLOOKUP($Q1149,'391'!$S:$Z,8,0),"")</f>
        <v>0</v>
      </c>
      <c r="S1149" s="796"/>
      <c r="T1149" s="797" t="str">
        <f>$Q$1152&amp;C1149&amp;E1149</f>
        <v>Porzyme TP-100HP Dry (Finland)46045</v>
      </c>
      <c r="U1149" s="797"/>
      <c r="V1149" s="797"/>
      <c r="W1149" s="785">
        <f>IFERROR(VLOOKUP($Q1149,'391'!$S:$AG,15,0),0)</f>
        <v>0</v>
      </c>
      <c r="X1149" s="1090">
        <f t="shared" si="666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2031"/>
      <c r="B1150" s="2028"/>
      <c r="C1150" s="999"/>
      <c r="D1150" s="1000" t="s">
        <v>10</v>
      </c>
      <c r="E1150" s="988">
        <v>43295</v>
      </c>
      <c r="F1150" s="994">
        <f t="shared" ref="F1150:F1151" si="707">$L$7-E1150</f>
        <v>2966</v>
      </c>
      <c r="G1150" s="1395">
        <v>0</v>
      </c>
      <c r="H1150" s="1395"/>
      <c r="I1150" s="1395"/>
      <c r="J1150" s="1396"/>
      <c r="K1150" s="1395">
        <f>IFERROR(SUMIF(INTAKE!$A:$A,$T1150,INTAKE!$P:$P),0)</f>
        <v>0</v>
      </c>
      <c r="L1150" s="1534">
        <f t="shared" si="696"/>
        <v>0</v>
      </c>
      <c r="M1150" s="174"/>
      <c r="N1150" s="1001"/>
      <c r="O1150" s="174"/>
      <c r="P1150" s="873"/>
      <c r="Q1150" s="795"/>
      <c r="R1150" s="785">
        <f>IFERROR(VLOOKUP($Q1150,'391'!$S:$Z,8,0),"")</f>
        <v>0</v>
      </c>
      <c r="S1150" s="796"/>
      <c r="T1150" s="797" t="str">
        <f>$Q$1152&amp;C1150&amp;E1150</f>
        <v>Porzyme TP-100HP Dry (Finland)43295</v>
      </c>
      <c r="U1150" s="797"/>
      <c r="V1150" s="797"/>
      <c r="W1150" s="785">
        <f>IFERROR(VLOOKUP($Q1150,'391'!$S:$AG,15,0),0)</f>
        <v>0</v>
      </c>
      <c r="X1150" s="1090">
        <f t="shared" si="666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418" customFormat="1" ht="30" hidden="1" customHeight="1" x14ac:dyDescent="0.25">
      <c r="A1151" s="2032"/>
      <c r="B1151" s="2029"/>
      <c r="C1151" s="108" t="s">
        <v>46</v>
      </c>
      <c r="D1151" s="990" t="s">
        <v>10</v>
      </c>
      <c r="E1151" s="991">
        <v>46045</v>
      </c>
      <c r="F1151" s="363">
        <f t="shared" si="707"/>
        <v>216</v>
      </c>
      <c r="G1151" s="1372">
        <v>0</v>
      </c>
      <c r="H1151" s="1372"/>
      <c r="I1151" s="1372">
        <f>+SUM(K1148:K1149)</f>
        <v>0</v>
      </c>
      <c r="J1151" s="1373">
        <f>+usage!I86</f>
        <v>0</v>
      </c>
      <c r="K1151" s="1395">
        <f>IFERROR(SUMIF(INTAKE!$A:$A,$T1151,INTAKE!$P:$P),0)</f>
        <v>0</v>
      </c>
      <c r="L1151" s="1534">
        <f t="shared" si="696"/>
        <v>0</v>
      </c>
      <c r="M1151" s="175"/>
      <c r="N1151" s="1002"/>
      <c r="O1151" s="175"/>
      <c r="P1151" s="905"/>
      <c r="Q1151" s="795"/>
      <c r="R1151" s="785">
        <f>IFERROR(VLOOKUP($Q1151,'391'!$S:$Z,8,0),"")</f>
        <v>0</v>
      </c>
      <c r="S1151" s="796"/>
      <c r="T1151" s="797" t="str">
        <f>$Q$1152&amp;C1151&amp;E1151</f>
        <v>Porzyme TP-100HP Dry (Finland)Feedmill46045</v>
      </c>
      <c r="U1151" s="797"/>
      <c r="V1151" s="797"/>
      <c r="W1151" s="785">
        <f>IFERROR(VLOOKUP($Q1151,'391'!$S:$AG,15,0),0)</f>
        <v>0</v>
      </c>
      <c r="X1151" s="1090">
        <f t="shared" si="666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845"/>
      <c r="B1152" s="846" t="s">
        <v>296</v>
      </c>
      <c r="C1152" s="88"/>
      <c r="D1152" s="930"/>
      <c r="E1152" s="930"/>
      <c r="F1152" s="931"/>
      <c r="G1152" s="1297">
        <v>0</v>
      </c>
      <c r="H1152" s="1297">
        <f>SUM(H1148:H1151)</f>
        <v>0</v>
      </c>
      <c r="I1152" s="1297">
        <f>SUM(I1148:I1151)</f>
        <v>0</v>
      </c>
      <c r="J1152" s="1297">
        <f>SUM(J1148:J1151)</f>
        <v>0</v>
      </c>
      <c r="K1152" s="1297">
        <f>SUM(K1148:K1151)</f>
        <v>0</v>
      </c>
      <c r="L1152" s="1297">
        <f>SUM(L1148:L1151)</f>
        <v>0</v>
      </c>
      <c r="M1152" s="982" t="str">
        <f>IFERROR(R1152/$S$2,"")</f>
        <v/>
      </c>
      <c r="N1152" s="854">
        <f>IFERROR(L1152/M1152,0)</f>
        <v>0</v>
      </c>
      <c r="O1152" s="982">
        <f>IFERROR(SUMIF(ETM!$A:$A,$Q1152,ETM!$E:$E),"")</f>
        <v>0</v>
      </c>
      <c r="P1152" s="880">
        <f>IFERROR(L1152/O1152,0)</f>
        <v>0</v>
      </c>
      <c r="Q1152" s="814" t="s">
        <v>97</v>
      </c>
      <c r="R1152" s="785" t="str">
        <f>IFERROR(VLOOKUP($Q1152,'391'!$S:$Z,8,0),"")</f>
        <v/>
      </c>
      <c r="S1152" s="796"/>
      <c r="T1152" s="797"/>
      <c r="U1152" s="797"/>
      <c r="V1152" s="797"/>
      <c r="W1152" s="785">
        <f>IFERROR(VLOOKUP($Q1152,'391'!$S:$AG,15,0),0)</f>
        <v>0</v>
      </c>
      <c r="X1152" s="1090">
        <f t="shared" si="666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0" t="str">
        <f>IF(L1158=0,"",MAX($A$16:A1152)+1)</f>
        <v/>
      </c>
      <c r="B1153" s="2027" t="s">
        <v>241</v>
      </c>
      <c r="C1153" s="127"/>
      <c r="D1153" s="881" t="s">
        <v>10</v>
      </c>
      <c r="E1153" s="882">
        <v>44861</v>
      </c>
      <c r="F1153" s="71">
        <f>$L$7-E1153</f>
        <v>1400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ref="L1153:L1164" si="708">+G1153+H1153+I1153-J1153-K1153</f>
        <v>0</v>
      </c>
      <c r="M1153" s="51"/>
      <c r="N1153" s="953"/>
      <c r="O1153" s="51"/>
      <c r="P1153" s="762"/>
      <c r="Q1153" s="795"/>
      <c r="R1153" s="785">
        <f>IFERROR(VLOOKUP($Q1153,'391'!$S:$Z,8,0),"")</f>
        <v>0</v>
      </c>
      <c r="S1153" s="796"/>
      <c r="T1153" s="797" t="str">
        <f>$Q$1158&amp;C1153&amp;E1153</f>
        <v>AVATEC 15%44861</v>
      </c>
      <c r="U1153" s="797"/>
      <c r="V1153" s="797"/>
      <c r="W1153" s="785">
        <f>IFERROR(VLOOKUP($Q1153,'391'!$S:$AG,15,0),0)</f>
        <v>0</v>
      </c>
      <c r="X1153" s="1090">
        <f t="shared" si="666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1"/>
      <c r="B1154" s="2028"/>
      <c r="C1154" s="127" t="s">
        <v>581</v>
      </c>
      <c r="D1154" s="881" t="s">
        <v>10</v>
      </c>
      <c r="E1154" s="882">
        <v>45205</v>
      </c>
      <c r="F1154" s="71">
        <f>$L$7-E1154</f>
        <v>1056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08"/>
        <v>0</v>
      </c>
      <c r="M1154" s="48"/>
      <c r="N1154" s="163"/>
      <c r="O1154" s="48"/>
      <c r="P1154" s="750"/>
      <c r="Q1154" s="795"/>
      <c r="R1154" s="785">
        <f>IFERROR(VLOOKUP($Q1154,'391'!$S:$Z,8,0),"")</f>
        <v>0</v>
      </c>
      <c r="S1154" s="796"/>
      <c r="T1154" s="797" t="str">
        <f>$Q$1158&amp;C1154&amp;E1154</f>
        <v>AVATEC 15%V5.145205</v>
      </c>
      <c r="U1154" s="797"/>
      <c r="V1154" s="797"/>
      <c r="W1154" s="785">
        <f>IFERROR(VLOOKUP($Q1154,'391'!$S:$AG,15,0),0)</f>
        <v>0</v>
      </c>
      <c r="X1154" s="1090">
        <f t="shared" si="666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265" customFormat="1" ht="30" hidden="1" customHeight="1" x14ac:dyDescent="0.25">
      <c r="A1155" s="2031"/>
      <c r="B1155" s="2028"/>
      <c r="C1155" s="127"/>
      <c r="D1155" s="881" t="s">
        <v>10</v>
      </c>
      <c r="E1155" s="882">
        <v>45205</v>
      </c>
      <c r="F1155" s="71">
        <f>$L$7-E1155</f>
        <v>1056</v>
      </c>
      <c r="G1155" s="64">
        <v>0</v>
      </c>
      <c r="H1155" s="64"/>
      <c r="I1155" s="64"/>
      <c r="J1155" s="1367"/>
      <c r="K1155" s="64">
        <f>IFERROR(SUMIF(INTAKE!$A:$A,$T1155,INTAKE!$P:$P),0)</f>
        <v>0</v>
      </c>
      <c r="L1155" s="1534">
        <f t="shared" si="708"/>
        <v>0</v>
      </c>
      <c r="M1155" s="45"/>
      <c r="N1155" s="162"/>
      <c r="O1155" s="45"/>
      <c r="P1155" s="756"/>
      <c r="Q1155" s="795"/>
      <c r="R1155" s="785">
        <f>IFERROR(VLOOKUP($Q1155,'391'!$S:$Z,8,0),"")</f>
        <v>0</v>
      </c>
      <c r="S1155" s="796"/>
      <c r="T1155" s="797" t="str">
        <f>$Q$1158&amp;C1155&amp;E1155</f>
        <v>AVATEC 15%45205</v>
      </c>
      <c r="U1155" s="797"/>
      <c r="V1155" s="797"/>
      <c r="W1155" s="785">
        <f>IFERROR(VLOOKUP($Q1155,'391'!$S:$AG,15,0),0)</f>
        <v>0</v>
      </c>
      <c r="X1155" s="1090">
        <f t="shared" si="666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2031"/>
      <c r="B1156" s="2028"/>
      <c r="C1156" s="127"/>
      <c r="D1156" s="881" t="s">
        <v>10</v>
      </c>
      <c r="E1156" s="882">
        <v>45205</v>
      </c>
      <c r="F1156" s="71">
        <f>$L$7-E1156</f>
        <v>1056</v>
      </c>
      <c r="G1156" s="64">
        <v>0</v>
      </c>
      <c r="H1156" s="64"/>
      <c r="I1156" s="64"/>
      <c r="J1156" s="1367"/>
      <c r="K1156" s="64">
        <f>IFERROR(SUMIF(INTAKE!$A:$A,$T1156,INTAKE!$P:$P),0)</f>
        <v>0</v>
      </c>
      <c r="L1156" s="1534">
        <f t="shared" si="708"/>
        <v>0</v>
      </c>
      <c r="M1156" s="45"/>
      <c r="N1156" s="162"/>
      <c r="O1156" s="45"/>
      <c r="P1156" s="756"/>
      <c r="Q1156" s="795"/>
      <c r="R1156" s="785">
        <f>IFERROR(VLOOKUP($Q1156,'391'!$S:$Z,8,0),"")</f>
        <v>0</v>
      </c>
      <c r="S1156" s="796"/>
      <c r="T1156" s="797" t="str">
        <f>$Q$1158&amp;C1156&amp;E1156</f>
        <v>AVATEC 15%45205</v>
      </c>
      <c r="U1156" s="797"/>
      <c r="V1156" s="797"/>
      <c r="W1156" s="785">
        <f>IFERROR(VLOOKUP($Q1156,'391'!$S:$AG,15,0),0)</f>
        <v>0</v>
      </c>
      <c r="X1156" s="1090">
        <f t="shared" si="666"/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8" customFormat="1" ht="30" hidden="1" customHeight="1" x14ac:dyDescent="0.25">
      <c r="A1157" s="2032"/>
      <c r="B1157" s="2029"/>
      <c r="C1157" s="138" t="s">
        <v>76</v>
      </c>
      <c r="D1157" s="863" t="s">
        <v>10</v>
      </c>
      <c r="E1157" s="886">
        <v>45205</v>
      </c>
      <c r="F1157" s="39">
        <f>$L$7-E1157</f>
        <v>1056</v>
      </c>
      <c r="G1157" s="37">
        <v>0</v>
      </c>
      <c r="H1157" s="37"/>
      <c r="I1157" s="37">
        <f>SUM(K1153:K1156)</f>
        <v>0</v>
      </c>
      <c r="J1157" s="1385">
        <f>+usage!I114</f>
        <v>0</v>
      </c>
      <c r="K1157" s="64">
        <f>IFERROR(SUMIF(INTAKE!$A:$A,$T1157,INTAKE!$P:$P),0)</f>
        <v>0</v>
      </c>
      <c r="L1157" s="1534">
        <f t="shared" si="708"/>
        <v>0</v>
      </c>
      <c r="M1157" s="35"/>
      <c r="N1157" s="87"/>
      <c r="O1157" s="35"/>
      <c r="P1157" s="751"/>
      <c r="Q1157" s="795"/>
      <c r="R1157" s="785">
        <f>IFERROR(VLOOKUP($Q1157,'391'!$S:$Z,8,0),"")</f>
        <v>0</v>
      </c>
      <c r="S1157" s="796"/>
      <c r="T1157" s="797" t="str">
        <f>$Q$1158&amp;C1157&amp;E1157</f>
        <v>AVATEC 15%Feedmil45205</v>
      </c>
      <c r="U1157" s="797"/>
      <c r="V1157" s="797"/>
      <c r="W1157" s="785">
        <f>IFERROR(VLOOKUP($Q1157,'391'!$S:$AG,15,0),0)</f>
        <v>0</v>
      </c>
      <c r="X1157" s="1090">
        <f t="shared" si="666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265" customFormat="1" ht="30" hidden="1" customHeight="1" x14ac:dyDescent="0.25">
      <c r="A1158" s="845"/>
      <c r="B1158" s="846" t="s">
        <v>81</v>
      </c>
      <c r="C1158" s="88"/>
      <c r="D1158" s="930"/>
      <c r="E1158" s="1003"/>
      <c r="F1158" s="931"/>
      <c r="G1158" s="1297">
        <v>0</v>
      </c>
      <c r="H1158" s="1344">
        <f t="shared" ref="H1158:I1158" si="709">SUM(H1153:H1157)</f>
        <v>0</v>
      </c>
      <c r="I1158" s="1297">
        <f t="shared" si="709"/>
        <v>0</v>
      </c>
      <c r="J1158" s="1297">
        <f t="shared" ref="J1158:K1158" si="710">+SUM(J1153:J1157)</f>
        <v>0</v>
      </c>
      <c r="K1158" s="1297">
        <f t="shared" si="710"/>
        <v>0</v>
      </c>
      <c r="L1158" s="1534">
        <f t="shared" si="708"/>
        <v>0</v>
      </c>
      <c r="M1158" s="59" t="str">
        <f>IFERROR(R1158/$S$2,"")</f>
        <v/>
      </c>
      <c r="N1158" s="854">
        <f>IFERROR(L1158/M1158,0)</f>
        <v>0</v>
      </c>
      <c r="O1158" s="59">
        <f>IFERROR(SUMIF(ETM!$A:$A,$Q1158,ETM!$E:$E),"")</f>
        <v>0</v>
      </c>
      <c r="P1158" s="880">
        <f>IFERROR(L1158/O1158,0)</f>
        <v>0</v>
      </c>
      <c r="Q1158" s="814" t="s">
        <v>679</v>
      </c>
      <c r="R1158" s="785" t="str">
        <f>IFERROR(VLOOKUP($Q1158,'391'!$S:$Z,8,0),"")</f>
        <v/>
      </c>
      <c r="S1158" s="796"/>
      <c r="T1158" s="797"/>
      <c r="U1158" s="797"/>
      <c r="V1158" s="797"/>
      <c r="W1158" s="785">
        <f>IFERROR(VLOOKUP($Q1158,'391'!$S:$AG,15,0),0)</f>
        <v>0</v>
      </c>
      <c r="X1158" s="1090">
        <f t="shared" ref="X1158:X1222" si="711">G1158-W1158</f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customHeight="1" x14ac:dyDescent="0.25">
      <c r="A1159" s="2030">
        <f>IF(L1165=0,"",MAX($A$16:A1158)+1)</f>
        <v>77</v>
      </c>
      <c r="B1159" s="2027" t="s">
        <v>2174</v>
      </c>
      <c r="C1159" s="127" t="s">
        <v>1213</v>
      </c>
      <c r="D1159" s="866" t="s">
        <v>10</v>
      </c>
      <c r="E1159" s="867">
        <v>46225</v>
      </c>
      <c r="F1159" s="75">
        <f t="shared" ref="F1159:F1160" si="712">$L$7-E1159</f>
        <v>36</v>
      </c>
      <c r="G1159" s="64">
        <v>25</v>
      </c>
      <c r="H1159" s="64"/>
      <c r="I1159" s="64"/>
      <c r="J1159" s="1367"/>
      <c r="K1159" s="1348">
        <f>IFERROR(SUMIF(INTAKE!$A:$A,$T1159,INTAKE!$P:$P),0)</f>
        <v>0</v>
      </c>
      <c r="L1159" s="1703">
        <f t="shared" si="708"/>
        <v>25</v>
      </c>
      <c r="M1159" s="51"/>
      <c r="N1159" s="953"/>
      <c r="O1159" s="51"/>
      <c r="P1159" s="762"/>
      <c r="Q1159" s="795"/>
      <c r="R1159" s="785">
        <f>IFERROR(VLOOKUP($Q1159,'391'!$S:$Z,8,0),"")</f>
        <v>0</v>
      </c>
      <c r="S1159" s="796"/>
      <c r="T1159" s="797" t="str">
        <f t="shared" ref="T1159:T1164" si="713">$Q$1165&amp;C1159&amp;E1159</f>
        <v>Surmax 100 (U.K)E346225</v>
      </c>
      <c r="U1159" s="797"/>
      <c r="V1159" s="797"/>
      <c r="W1159" s="785">
        <f>IFERROR(VLOOKUP($Q1159,'391'!$S:$AG,15,0),0)</f>
        <v>0</v>
      </c>
      <c r="X1159" s="1090">
        <f t="shared" si="711"/>
        <v>25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1"/>
      <c r="B1160" s="2028"/>
      <c r="C1160" s="127"/>
      <c r="D1160" s="866" t="s">
        <v>10</v>
      </c>
      <c r="E1160" s="867">
        <v>45758</v>
      </c>
      <c r="F1160" s="75">
        <f t="shared" si="712"/>
        <v>503</v>
      </c>
      <c r="G1160" s="64">
        <v>0</v>
      </c>
      <c r="H1160" s="64"/>
      <c r="I1160" s="64"/>
      <c r="J1160" s="1367"/>
      <c r="K1160" s="1711">
        <f>IFERROR(SUMIF(INTAKE!$A:$A,$T1160,INTAKE!$P:$P),0)</f>
        <v>0</v>
      </c>
      <c r="L1160" s="1703">
        <f t="shared" si="708"/>
        <v>0</v>
      </c>
      <c r="M1160" s="48"/>
      <c r="N1160" s="163"/>
      <c r="O1160" s="48"/>
      <c r="P1160" s="750"/>
      <c r="Q1160" s="795"/>
      <c r="R1160" s="785">
        <f>IFERROR(VLOOKUP($Q1160,'391'!$S:$Z,8,0),"")</f>
        <v>0</v>
      </c>
      <c r="S1160" s="796"/>
      <c r="T1160" s="797" t="str">
        <f t="shared" si="713"/>
        <v>Surmax 100 (U.K)45758</v>
      </c>
      <c r="U1160" s="797"/>
      <c r="V1160" s="797"/>
      <c r="W1160" s="785">
        <f>IFERROR(VLOOKUP($Q1160,'391'!$S:$AG,15,0),0)</f>
        <v>0</v>
      </c>
      <c r="X1160" s="1090">
        <f t="shared" si="711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1"/>
      <c r="B1161" s="2028"/>
      <c r="C1161" s="127"/>
      <c r="D1161" s="866" t="s">
        <v>10</v>
      </c>
      <c r="E1161" s="867">
        <v>45660</v>
      </c>
      <c r="F1161" s="75">
        <f t="shared" ref="F1161" si="714">$L$7-E1161</f>
        <v>601</v>
      </c>
      <c r="G1161" s="64">
        <v>0</v>
      </c>
      <c r="H1161" s="64"/>
      <c r="I1161" s="64"/>
      <c r="J1161" s="1367"/>
      <c r="K1161" s="1711">
        <f>IFERROR(SUMIF(INTAKE!$A:$A,$T1161,INTAKE!$P:$P),0)</f>
        <v>0</v>
      </c>
      <c r="L1161" s="1712">
        <f t="shared" si="708"/>
        <v>0</v>
      </c>
      <c r="M1161" s="45"/>
      <c r="N1161" s="162"/>
      <c r="O1161" s="45"/>
      <c r="P1161" s="758"/>
      <c r="Q1161" s="795"/>
      <c r="R1161" s="785">
        <f>IFERROR(VLOOKUP($Q1161,'391'!$S:$Z,8,0),"")</f>
        <v>0</v>
      </c>
      <c r="S1161" s="796"/>
      <c r="T1161" s="797" t="str">
        <f t="shared" si="713"/>
        <v>Surmax 100 (U.K)45660</v>
      </c>
      <c r="U1161" s="797"/>
      <c r="V1161" s="797"/>
      <c r="W1161" s="785">
        <f>IFERROR(VLOOKUP($Q1161,'391'!$S:$AG,15,0),0)</f>
        <v>0</v>
      </c>
      <c r="X1161" s="1090">
        <f t="shared" si="711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4" customFormat="1" ht="30" hidden="1" customHeight="1" x14ac:dyDescent="0.25">
      <c r="A1162" s="2031"/>
      <c r="B1162" s="2028"/>
      <c r="C1162" s="127"/>
      <c r="D1162" s="866" t="s">
        <v>10</v>
      </c>
      <c r="E1162" s="867">
        <v>45638</v>
      </c>
      <c r="F1162" s="75">
        <f t="shared" ref="F1162:F1164" si="715">$L$7-E1162</f>
        <v>623</v>
      </c>
      <c r="G1162" s="64">
        <v>0</v>
      </c>
      <c r="H1162" s="64"/>
      <c r="I1162" s="64"/>
      <c r="J1162" s="1367"/>
      <c r="K1162" s="64">
        <f>IFERROR(SUMIF(INTAKE!$A:$A,$T1162,INTAKE!$P:$P),0)</f>
        <v>0</v>
      </c>
      <c r="L1162" s="1534">
        <f t="shared" si="708"/>
        <v>0</v>
      </c>
      <c r="M1162" s="45"/>
      <c r="N1162" s="162"/>
      <c r="O1162" s="45"/>
      <c r="P1162" s="750"/>
      <c r="Q1162" s="795"/>
      <c r="R1162" s="785">
        <f>IFERROR(VLOOKUP($Q1162,'391'!$S:$Z,8,0),"")</f>
        <v>0</v>
      </c>
      <c r="S1162" s="796"/>
      <c r="T1162" s="797" t="str">
        <f t="shared" si="713"/>
        <v>Surmax 100 (U.K)45638</v>
      </c>
      <c r="U1162" s="797"/>
      <c r="V1162" s="797"/>
      <c r="W1162" s="785">
        <f>IFERROR(VLOOKUP($Q1162,'391'!$S:$AG,15,0),0)</f>
        <v>0</v>
      </c>
      <c r="X1162" s="1090">
        <f t="shared" si="711"/>
        <v>0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414" customFormat="1" ht="30" hidden="1" customHeight="1" x14ac:dyDescent="0.25">
      <c r="A1163" s="2031"/>
      <c r="B1163" s="2028"/>
      <c r="C1163" s="127"/>
      <c r="D1163" s="866" t="s">
        <v>10</v>
      </c>
      <c r="E1163" s="867">
        <v>43412</v>
      </c>
      <c r="F1163" s="75">
        <f t="shared" si="715"/>
        <v>2849</v>
      </c>
      <c r="G1163" s="64">
        <v>0</v>
      </c>
      <c r="H1163" s="64"/>
      <c r="I1163" s="64"/>
      <c r="J1163" s="1367"/>
      <c r="K1163" s="64">
        <f>IFERROR(SUMIF(INTAKE!$A:$A,$T1163,INTAKE!$P:$P),0)</f>
        <v>0</v>
      </c>
      <c r="L1163" s="1534">
        <f t="shared" si="708"/>
        <v>0</v>
      </c>
      <c r="M1163" s="45"/>
      <c r="N1163" s="162"/>
      <c r="O1163" s="45"/>
      <c r="P1163" s="762"/>
      <c r="Q1163" s="795"/>
      <c r="R1163" s="785">
        <f>IFERROR(VLOOKUP($Q1163,'391'!$S:$Z,8,0),"")</f>
        <v>0</v>
      </c>
      <c r="S1163" s="796"/>
      <c r="T1163" s="797" t="str">
        <f t="shared" si="713"/>
        <v>Surmax 100 (U.K)43412</v>
      </c>
      <c r="U1163" s="797"/>
      <c r="V1163" s="797"/>
      <c r="W1163" s="785">
        <f>IFERROR(VLOOKUP($Q1163,'391'!$S:$AG,15,0),0)</f>
        <v>0</v>
      </c>
      <c r="X1163" s="1090">
        <f t="shared" si="711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419" customFormat="1" ht="30" customHeight="1" x14ac:dyDescent="0.25">
      <c r="A1164" s="2032"/>
      <c r="B1164" s="2029"/>
      <c r="C1164" s="108" t="s">
        <v>46</v>
      </c>
      <c r="D1164" s="863" t="s">
        <v>10</v>
      </c>
      <c r="E1164" s="886">
        <v>46225</v>
      </c>
      <c r="F1164" s="39">
        <f t="shared" si="715"/>
        <v>36</v>
      </c>
      <c r="G1164" s="37">
        <v>2.3200000000000029</v>
      </c>
      <c r="H1164" s="1308"/>
      <c r="I1164" s="1308">
        <f>SUM(K1159:K1162)</f>
        <v>0</v>
      </c>
      <c r="J1164" s="1417">
        <f>+usage!I119</f>
        <v>0</v>
      </c>
      <c r="K1164" s="64">
        <f>IFERROR(SUMIF(INTAKE!$A:$A,$T1164,INTAKE!$P:$P),0)</f>
        <v>0</v>
      </c>
      <c r="L1164" s="1534">
        <f t="shared" si="708"/>
        <v>2.3200000000000029</v>
      </c>
      <c r="M1164" s="177"/>
      <c r="N1164" s="1006"/>
      <c r="O1164" s="177"/>
      <c r="P1164" s="750"/>
      <c r="Q1164" s="795"/>
      <c r="R1164" s="785">
        <f>IFERROR(VLOOKUP($Q1164,'391'!$S:$Z,8,0),"")</f>
        <v>0</v>
      </c>
      <c r="S1164" s="796"/>
      <c r="T1164" s="797" t="str">
        <f t="shared" si="713"/>
        <v>Surmax 100 (U.K)Feedmill46225</v>
      </c>
      <c r="U1164" s="797"/>
      <c r="V1164" s="797"/>
      <c r="W1164" s="785">
        <f>IFERROR(VLOOKUP($Q1164,'391'!$S:$AG,15,0),0)</f>
        <v>0</v>
      </c>
      <c r="X1164" s="1090">
        <f t="shared" si="711"/>
        <v>2.3200000000000029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customHeight="1" x14ac:dyDescent="0.25">
      <c r="A1165" s="845"/>
      <c r="B1165" s="846" t="s">
        <v>1168</v>
      </c>
      <c r="C1165" s="88"/>
      <c r="D1165" s="930"/>
      <c r="E1165" s="930"/>
      <c r="F1165" s="931"/>
      <c r="G1165" s="1297">
        <v>27.320000000000004</v>
      </c>
      <c r="H1165" s="1297">
        <f t="shared" ref="H1165:L1165" si="716">SUM(H1159:H1164)</f>
        <v>0</v>
      </c>
      <c r="I1165" s="1297">
        <f t="shared" si="716"/>
        <v>0</v>
      </c>
      <c r="J1165" s="1297">
        <f t="shared" si="716"/>
        <v>0</v>
      </c>
      <c r="K1165" s="1297">
        <f t="shared" si="716"/>
        <v>0</v>
      </c>
      <c r="L1165" s="1297">
        <f t="shared" si="716"/>
        <v>27.320000000000004</v>
      </c>
      <c r="M1165" s="59">
        <f>IFERROR(R1165/$S$2,"")</f>
        <v>1.26</v>
      </c>
      <c r="N1165" s="854">
        <f>IFERROR(L1165/M1165,0)</f>
        <v>21.682539682539684</v>
      </c>
      <c r="O1165" s="59">
        <f>IFERROR(SUMIF(ETM!$A:$A,$Q1165,ETM!$E:$E),"")</f>
        <v>0</v>
      </c>
      <c r="P1165" s="880">
        <f>IFERROR(L1165/O1165,0)</f>
        <v>0</v>
      </c>
      <c r="Q1165" s="814" t="s">
        <v>680</v>
      </c>
      <c r="R1165" s="785">
        <f>IFERROR(VLOOKUP($Q1165,'391'!$S:$Z,8,0),"")</f>
        <v>7.5600000000000005</v>
      </c>
      <c r="S1165" s="796"/>
      <c r="T1165" s="797"/>
      <c r="U1165" s="797"/>
      <c r="V1165" s="797"/>
      <c r="W1165" s="785">
        <f>IFERROR(VLOOKUP($Q1165,'391'!$S:$AG,15,0),0)</f>
        <v>27.32</v>
      </c>
      <c r="X1165" s="1090">
        <f t="shared" si="711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0" t="str">
        <f>IF(L1173=0,"",MAX($A$16:A1165)+1)</f>
        <v/>
      </c>
      <c r="B1166" s="2027" t="s">
        <v>213</v>
      </c>
      <c r="C1166" s="139" t="s">
        <v>251</v>
      </c>
      <c r="D1166" s="881" t="s">
        <v>10</v>
      </c>
      <c r="E1166" s="882">
        <v>42689</v>
      </c>
      <c r="F1166" s="71">
        <f t="shared" ref="F1166:F1172" si="717">$L$7-E1166</f>
        <v>3572</v>
      </c>
      <c r="G1166" s="64">
        <v>0</v>
      </c>
      <c r="H1166" s="64"/>
      <c r="I1166" s="64"/>
      <c r="J1166" s="1367"/>
      <c r="K1166" s="64"/>
      <c r="L1166" s="1534">
        <f t="shared" ref="L1166:L1202" si="718">+G1166+H1166+I1166-J1166-K1166</f>
        <v>0</v>
      </c>
      <c r="M1166" s="51"/>
      <c r="N1166" s="953"/>
      <c r="O1166" s="51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1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1"/>
      <c r="B1167" s="2028"/>
      <c r="C1167" s="127" t="s">
        <v>251</v>
      </c>
      <c r="D1167" s="881" t="s">
        <v>10</v>
      </c>
      <c r="E1167" s="882">
        <v>42755</v>
      </c>
      <c r="F1167" s="71">
        <f t="shared" si="717"/>
        <v>3506</v>
      </c>
      <c r="G1167" s="64">
        <v>0</v>
      </c>
      <c r="H1167" s="64"/>
      <c r="I1167" s="64"/>
      <c r="J1167" s="1367"/>
      <c r="K1167" s="64"/>
      <c r="L1167" s="1534">
        <f t="shared" si="718"/>
        <v>0</v>
      </c>
      <c r="M1167" s="48"/>
      <c r="N1167" s="163"/>
      <c r="O1167" s="48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1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1"/>
      <c r="B1168" s="2028"/>
      <c r="C1168" s="127" t="s">
        <v>255</v>
      </c>
      <c r="D1168" s="881" t="s">
        <v>10</v>
      </c>
      <c r="E1168" s="882">
        <v>42601</v>
      </c>
      <c r="F1168" s="71">
        <f t="shared" si="717"/>
        <v>3660</v>
      </c>
      <c r="G1168" s="64">
        <v>0</v>
      </c>
      <c r="H1168" s="64"/>
      <c r="I1168" s="64"/>
      <c r="J1168" s="1367"/>
      <c r="K1168" s="64"/>
      <c r="L1168" s="1534">
        <f t="shared" si="718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1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1"/>
      <c r="B1169" s="2028"/>
      <c r="C1169" s="127" t="s">
        <v>255</v>
      </c>
      <c r="D1169" s="881" t="s">
        <v>10</v>
      </c>
      <c r="E1169" s="882">
        <v>42601</v>
      </c>
      <c r="F1169" s="71">
        <f t="shared" si="717"/>
        <v>3660</v>
      </c>
      <c r="G1169" s="64">
        <v>0</v>
      </c>
      <c r="H1169" s="64"/>
      <c r="I1169" s="64"/>
      <c r="J1169" s="1367"/>
      <c r="K1169" s="64"/>
      <c r="L1169" s="1534">
        <f t="shared" si="718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1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265" customFormat="1" ht="30" hidden="1" customHeight="1" x14ac:dyDescent="0.25">
      <c r="A1170" s="2031"/>
      <c r="B1170" s="2028"/>
      <c r="C1170" s="127" t="s">
        <v>194</v>
      </c>
      <c r="D1170" s="881" t="s">
        <v>10</v>
      </c>
      <c r="E1170" s="882">
        <v>42440</v>
      </c>
      <c r="F1170" s="71">
        <f t="shared" si="717"/>
        <v>3821</v>
      </c>
      <c r="G1170" s="64">
        <v>0</v>
      </c>
      <c r="H1170" s="64"/>
      <c r="I1170" s="64"/>
      <c r="J1170" s="1367"/>
      <c r="K1170" s="64"/>
      <c r="L1170" s="1534">
        <f t="shared" si="718"/>
        <v>0</v>
      </c>
      <c r="M1170" s="45"/>
      <c r="N1170" s="162"/>
      <c r="O1170" s="4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1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2031"/>
      <c r="B1171" s="2028"/>
      <c r="C1171" s="138" t="s">
        <v>76</v>
      </c>
      <c r="D1171" s="863" t="s">
        <v>10</v>
      </c>
      <c r="E1171" s="886">
        <v>42755</v>
      </c>
      <c r="F1171" s="39">
        <f t="shared" si="717"/>
        <v>3506</v>
      </c>
      <c r="G1171" s="58">
        <v>0</v>
      </c>
      <c r="H1171" s="64"/>
      <c r="I1171" s="58"/>
      <c r="J1171" s="1365"/>
      <c r="K1171" s="64"/>
      <c r="L1171" s="1534">
        <f t="shared" si="718"/>
        <v>0</v>
      </c>
      <c r="M1171" s="45"/>
      <c r="N1171" s="162"/>
      <c r="O1171" s="45"/>
      <c r="P1171" s="857"/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1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418" customFormat="1" ht="30" hidden="1" customHeight="1" x14ac:dyDescent="0.25">
      <c r="A1172" s="2032"/>
      <c r="B1172" s="2029"/>
      <c r="C1172" s="1007" t="s">
        <v>76</v>
      </c>
      <c r="D1172" s="884" t="s">
        <v>10</v>
      </c>
      <c r="E1172" s="885">
        <v>42382</v>
      </c>
      <c r="F1172" s="293">
        <f t="shared" si="717"/>
        <v>3879</v>
      </c>
      <c r="G1172" s="37">
        <v>0</v>
      </c>
      <c r="H1172" s="37"/>
      <c r="I1172" s="37"/>
      <c r="J1172" s="1385"/>
      <c r="K1172" s="37"/>
      <c r="L1172" s="1534">
        <f t="shared" si="718"/>
        <v>0</v>
      </c>
      <c r="M1172" s="35"/>
      <c r="N1172" s="87"/>
      <c r="O1172" s="35"/>
      <c r="P1172" s="857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1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845"/>
      <c r="B1173" s="846" t="s">
        <v>181</v>
      </c>
      <c r="C1173" s="1008"/>
      <c r="D1173" s="930"/>
      <c r="E1173" s="930"/>
      <c r="F1173" s="931"/>
      <c r="G1173" s="1297">
        <v>0</v>
      </c>
      <c r="H1173" s="1297">
        <f t="shared" ref="H1173:K1173" si="719">SUM(H1166:H1172)</f>
        <v>0</v>
      </c>
      <c r="I1173" s="1297">
        <f t="shared" si="719"/>
        <v>0</v>
      </c>
      <c r="J1173" s="1297">
        <f t="shared" si="719"/>
        <v>0</v>
      </c>
      <c r="K1173" s="1297">
        <f t="shared" si="719"/>
        <v>0</v>
      </c>
      <c r="L1173" s="1534">
        <f t="shared" si="718"/>
        <v>0</v>
      </c>
      <c r="M1173" s="982"/>
      <c r="N1173" s="366" t="e">
        <f>(L1173/M1173)</f>
        <v>#DIV/0!</v>
      </c>
      <c r="O1173" s="59"/>
      <c r="P1173" s="857" t="e">
        <f>(L1173/O1173)</f>
        <v>#DIV/0!</v>
      </c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1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0" t="str">
        <f>IF(L1182=0,"",MAX($A$16:A1173)+1)</f>
        <v/>
      </c>
      <c r="B1174" s="2027" t="s">
        <v>183</v>
      </c>
      <c r="C1174" s="127" t="s">
        <v>194</v>
      </c>
      <c r="D1174" s="881" t="s">
        <v>10</v>
      </c>
      <c r="E1174" s="888">
        <v>43630</v>
      </c>
      <c r="F1174" s="71">
        <f t="shared" ref="F1174:F1181" si="720">$L$7-E1174</f>
        <v>2631</v>
      </c>
      <c r="G1174" s="63">
        <v>0</v>
      </c>
      <c r="H1174" s="64"/>
      <c r="I1174" s="64"/>
      <c r="J1174" s="1367"/>
      <c r="K1174" s="64"/>
      <c r="L1174" s="1534">
        <f t="shared" si="718"/>
        <v>0</v>
      </c>
      <c r="M1174" s="51"/>
      <c r="N1174" s="953"/>
      <c r="O1174" s="51"/>
      <c r="P1174" s="762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1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1"/>
      <c r="B1175" s="2028"/>
      <c r="C1175" s="127" t="s">
        <v>194</v>
      </c>
      <c r="D1175" s="881" t="s">
        <v>10</v>
      </c>
      <c r="E1175" s="888">
        <v>43630</v>
      </c>
      <c r="F1175" s="71">
        <f t="shared" si="720"/>
        <v>2631</v>
      </c>
      <c r="G1175" s="63">
        <v>0</v>
      </c>
      <c r="H1175" s="64"/>
      <c r="I1175" s="64"/>
      <c r="J1175" s="1367"/>
      <c r="K1175" s="64"/>
      <c r="L1175" s="1534">
        <f t="shared" si="718"/>
        <v>0</v>
      </c>
      <c r="M1175" s="48"/>
      <c r="N1175" s="163"/>
      <c r="O1175" s="48"/>
      <c r="P1175" s="75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1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1"/>
      <c r="B1176" s="2028"/>
      <c r="C1176" s="127" t="s">
        <v>194</v>
      </c>
      <c r="D1176" s="881" t="s">
        <v>10</v>
      </c>
      <c r="E1176" s="888">
        <v>43630</v>
      </c>
      <c r="F1176" s="71">
        <f t="shared" si="720"/>
        <v>2631</v>
      </c>
      <c r="G1176" s="63">
        <v>0</v>
      </c>
      <c r="H1176" s="64"/>
      <c r="I1176" s="64"/>
      <c r="J1176" s="1367"/>
      <c r="K1176" s="64"/>
      <c r="L1176" s="1534">
        <f t="shared" si="718"/>
        <v>0</v>
      </c>
      <c r="M1176" s="45"/>
      <c r="N1176" s="163"/>
      <c r="O1176" s="48"/>
      <c r="P1176" s="75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1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1"/>
      <c r="B1177" s="2028"/>
      <c r="C1177" s="127" t="s">
        <v>138</v>
      </c>
      <c r="D1177" s="881" t="s">
        <v>10</v>
      </c>
      <c r="E1177" s="888">
        <v>43175</v>
      </c>
      <c r="F1177" s="71">
        <f t="shared" si="720"/>
        <v>3086</v>
      </c>
      <c r="G1177" s="63">
        <v>0</v>
      </c>
      <c r="H1177" s="64"/>
      <c r="I1177" s="64"/>
      <c r="J1177" s="1367"/>
      <c r="K1177" s="64"/>
      <c r="L1177" s="1534">
        <f t="shared" si="718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1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1"/>
      <c r="B1178" s="2028"/>
      <c r="C1178" s="127" t="s">
        <v>138</v>
      </c>
      <c r="D1178" s="881" t="s">
        <v>10</v>
      </c>
      <c r="E1178" s="888">
        <v>42614</v>
      </c>
      <c r="F1178" s="71">
        <f t="shared" si="720"/>
        <v>3647</v>
      </c>
      <c r="G1178" s="63">
        <v>0</v>
      </c>
      <c r="H1178" s="64"/>
      <c r="I1178" s="64"/>
      <c r="J1178" s="1367"/>
      <c r="K1178" s="64"/>
      <c r="L1178" s="1534">
        <f t="shared" si="718"/>
        <v>0</v>
      </c>
      <c r="M1178" s="45"/>
      <c r="N1178" s="1460"/>
      <c r="O1178" s="1453"/>
      <c r="P1178" s="1480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1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265" customFormat="1" ht="30" hidden="1" customHeight="1" x14ac:dyDescent="0.25">
      <c r="A1179" s="2031"/>
      <c r="B1179" s="2028"/>
      <c r="C1179" s="127" t="s">
        <v>138</v>
      </c>
      <c r="D1179" s="881" t="s">
        <v>10</v>
      </c>
      <c r="E1179" s="888">
        <v>42448</v>
      </c>
      <c r="F1179" s="71">
        <f t="shared" si="720"/>
        <v>3813</v>
      </c>
      <c r="G1179" s="63">
        <v>0</v>
      </c>
      <c r="H1179" s="64"/>
      <c r="I1179" s="64"/>
      <c r="J1179" s="1367"/>
      <c r="K1179" s="64"/>
      <c r="L1179" s="1534">
        <f t="shared" si="718"/>
        <v>0</v>
      </c>
      <c r="M1179" s="45"/>
      <c r="N1179" s="1460"/>
      <c r="O1179" s="1453"/>
      <c r="P1179" s="1480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1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2031"/>
      <c r="B1180" s="2028"/>
      <c r="C1180" s="138" t="s">
        <v>76</v>
      </c>
      <c r="D1180" s="850" t="s">
        <v>10</v>
      </c>
      <c r="E1180" s="851">
        <v>43630</v>
      </c>
      <c r="F1180" s="42">
        <f t="shared" si="720"/>
        <v>2631</v>
      </c>
      <c r="G1180" s="1369">
        <v>0</v>
      </c>
      <c r="H1180" s="64"/>
      <c r="I1180" s="58">
        <f>+SUM(K1174:K1175)</f>
        <v>0</v>
      </c>
      <c r="J1180" s="1365">
        <f>+usage!I118</f>
        <v>0</v>
      </c>
      <c r="K1180" s="64"/>
      <c r="L1180" s="1534">
        <f t="shared" si="718"/>
        <v>0</v>
      </c>
      <c r="M1180" s="45"/>
      <c r="N1180" s="162"/>
      <c r="O1180" s="45"/>
      <c r="P1180" s="756"/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1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418" customFormat="1" ht="30" hidden="1" customHeight="1" x14ac:dyDescent="0.25">
      <c r="A1181" s="2032"/>
      <c r="B1181" s="2029"/>
      <c r="C1181" s="1007" t="s">
        <v>76</v>
      </c>
      <c r="D1181" s="863" t="s">
        <v>10</v>
      </c>
      <c r="E1181" s="886">
        <v>43392</v>
      </c>
      <c r="F1181" s="39">
        <f t="shared" si="720"/>
        <v>2869</v>
      </c>
      <c r="G1181" s="37">
        <v>0</v>
      </c>
      <c r="H1181" s="37"/>
      <c r="I1181" s="37"/>
      <c r="J1181" s="1385"/>
      <c r="K1181" s="37"/>
      <c r="L1181" s="1534">
        <f t="shared" si="718"/>
        <v>0</v>
      </c>
      <c r="M1181" s="35"/>
      <c r="N1181" s="87"/>
      <c r="O1181" s="35"/>
      <c r="P1181" s="751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1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845"/>
      <c r="B1182" s="846" t="s">
        <v>180</v>
      </c>
      <c r="C1182" s="88"/>
      <c r="D1182" s="864"/>
      <c r="E1182" s="864"/>
      <c r="F1182" s="865"/>
      <c r="G1182" s="1297">
        <v>0</v>
      </c>
      <c r="H1182" s="1297">
        <f t="shared" ref="H1182:K1182" si="721">SUM(H1174:H1181)</f>
        <v>0</v>
      </c>
      <c r="I1182" s="1297">
        <f t="shared" si="721"/>
        <v>0</v>
      </c>
      <c r="J1182" s="1297">
        <f t="shared" si="721"/>
        <v>0</v>
      </c>
      <c r="K1182" s="1297">
        <f t="shared" si="721"/>
        <v>0</v>
      </c>
      <c r="L1182" s="1534">
        <f t="shared" si="718"/>
        <v>0</v>
      </c>
      <c r="M1182" s="59"/>
      <c r="N1182" s="854" t="e">
        <f>(L1182/M1182)</f>
        <v>#DIV/0!</v>
      </c>
      <c r="O1182" s="59">
        <v>14</v>
      </c>
      <c r="P1182" s="880">
        <f>IFERROR(L1182/O1182,0)</f>
        <v>0</v>
      </c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1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0" t="str">
        <f>IF(L1190=0,"",MAX($A$16:A1182)+1)</f>
        <v/>
      </c>
      <c r="B1183" s="2027" t="s">
        <v>237</v>
      </c>
      <c r="C1183" s="1009" t="s">
        <v>513</v>
      </c>
      <c r="D1183" s="887" t="s">
        <v>10</v>
      </c>
      <c r="E1183" s="888">
        <v>43717</v>
      </c>
      <c r="F1183" s="70">
        <f t="shared" ref="F1183:F1189" si="722">$L$7-E1183</f>
        <v>2544</v>
      </c>
      <c r="G1183" s="12">
        <v>0</v>
      </c>
      <c r="H1183" s="64"/>
      <c r="I1183" s="64"/>
      <c r="J1183" s="1367"/>
      <c r="K1183" s="64"/>
      <c r="L1183" s="1534">
        <f t="shared" si="718"/>
        <v>0</v>
      </c>
      <c r="M1183" s="50"/>
      <c r="N1183" s="167"/>
      <c r="O1183" s="50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1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1"/>
      <c r="B1184" s="2028"/>
      <c r="C1184" s="1009" t="s">
        <v>513</v>
      </c>
      <c r="D1184" s="887" t="s">
        <v>10</v>
      </c>
      <c r="E1184" s="888">
        <v>43729</v>
      </c>
      <c r="F1184" s="70">
        <f t="shared" si="722"/>
        <v>2532</v>
      </c>
      <c r="G1184" s="12">
        <v>0</v>
      </c>
      <c r="H1184" s="64"/>
      <c r="I1184" s="64"/>
      <c r="J1184" s="1367"/>
      <c r="K1184" s="64"/>
      <c r="L1184" s="1534">
        <f t="shared" si="718"/>
        <v>0</v>
      </c>
      <c r="M1184" s="48"/>
      <c r="N1184" s="163"/>
      <c r="O1184" s="48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1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1"/>
      <c r="B1185" s="2028"/>
      <c r="C1185" s="1009" t="s">
        <v>265</v>
      </c>
      <c r="D1185" s="887" t="s">
        <v>10</v>
      </c>
      <c r="E1185" s="888">
        <v>43056</v>
      </c>
      <c r="F1185" s="70">
        <f t="shared" si="722"/>
        <v>3205</v>
      </c>
      <c r="G1185" s="12">
        <v>0</v>
      </c>
      <c r="H1185" s="64"/>
      <c r="I1185" s="64"/>
      <c r="J1185" s="1367"/>
      <c r="K1185" s="64"/>
      <c r="L1185" s="1534">
        <f t="shared" si="718"/>
        <v>0</v>
      </c>
      <c r="M1185" s="48"/>
      <c r="N1185" s="163"/>
      <c r="O1185" s="48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1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1"/>
      <c r="B1186" s="2028"/>
      <c r="C1186" s="1009" t="s">
        <v>265</v>
      </c>
      <c r="D1186" s="887" t="s">
        <v>10</v>
      </c>
      <c r="E1186" s="888">
        <v>43056</v>
      </c>
      <c r="F1186" s="70">
        <f t="shared" si="722"/>
        <v>3205</v>
      </c>
      <c r="G1186" s="12">
        <v>0</v>
      </c>
      <c r="H1186" s="64"/>
      <c r="I1186" s="64"/>
      <c r="J1186" s="1367"/>
      <c r="K1186" s="64"/>
      <c r="L1186" s="1534">
        <f t="shared" si="718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1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265" customFormat="1" ht="30" hidden="1" customHeight="1" x14ac:dyDescent="0.25">
      <c r="A1187" s="2031"/>
      <c r="B1187" s="2028"/>
      <c r="C1187" s="1009" t="s">
        <v>265</v>
      </c>
      <c r="D1187" s="887" t="s">
        <v>10</v>
      </c>
      <c r="E1187" s="888">
        <v>43056</v>
      </c>
      <c r="F1187" s="70">
        <f t="shared" si="722"/>
        <v>3205</v>
      </c>
      <c r="G1187" s="12">
        <v>0</v>
      </c>
      <c r="H1187" s="63"/>
      <c r="I1187" s="63"/>
      <c r="J1187" s="1378"/>
      <c r="K1187" s="64"/>
      <c r="L1187" s="1534">
        <f t="shared" si="718"/>
        <v>0</v>
      </c>
      <c r="M1187" s="45"/>
      <c r="N1187" s="920"/>
      <c r="O1187" s="4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1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2031"/>
      <c r="B1188" s="2028"/>
      <c r="C1188" s="1009" t="s">
        <v>197</v>
      </c>
      <c r="D1188" s="887" t="s">
        <v>10</v>
      </c>
      <c r="E1188" s="888">
        <v>42971</v>
      </c>
      <c r="F1188" s="70">
        <f t="shared" si="722"/>
        <v>3290</v>
      </c>
      <c r="G1188" s="12">
        <v>0</v>
      </c>
      <c r="H1188" s="63"/>
      <c r="I1188" s="63"/>
      <c r="J1188" s="1378"/>
      <c r="K1188" s="64"/>
      <c r="L1188" s="1534">
        <f t="shared" si="718"/>
        <v>0</v>
      </c>
      <c r="M1188" s="45"/>
      <c r="N1188" s="920"/>
      <c r="O1188" s="45"/>
      <c r="P1188" s="857"/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1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418" customFormat="1" ht="30" hidden="1" customHeight="1" x14ac:dyDescent="0.25">
      <c r="A1189" s="2032"/>
      <c r="B1189" s="2029"/>
      <c r="C1189" s="138" t="s">
        <v>76</v>
      </c>
      <c r="D1189" s="863" t="s">
        <v>10</v>
      </c>
      <c r="E1189" s="886">
        <v>43729</v>
      </c>
      <c r="F1189" s="39">
        <f t="shared" si="722"/>
        <v>2532</v>
      </c>
      <c r="G1189" s="37">
        <v>0</v>
      </c>
      <c r="H1189" s="37"/>
      <c r="I1189" s="37">
        <f>+SUM(K1183:K1184)</f>
        <v>0</v>
      </c>
      <c r="J1189" s="1385">
        <f>usage!I147</f>
        <v>0</v>
      </c>
      <c r="K1189" s="64"/>
      <c r="L1189" s="1534">
        <f t="shared" si="718"/>
        <v>0</v>
      </c>
      <c r="M1189" s="35"/>
      <c r="N1189" s="87"/>
      <c r="O1189" s="35"/>
      <c r="P1189" s="857"/>
      <c r="Q1189" s="795"/>
      <c r="R1189" s="785">
        <f>IFERROR(VLOOKUP($Q1189,'391'!$S:$Z,8,0),"")</f>
        <v>0</v>
      </c>
      <c r="S1189" s="796"/>
      <c r="T1189" s="797"/>
      <c r="U1189" s="797"/>
      <c r="V1189" s="797"/>
      <c r="W1189" s="785">
        <f>IFERROR(VLOOKUP($Q1189,'391'!$S:$AG,15,0),0)</f>
        <v>0</v>
      </c>
      <c r="X1189" s="1090">
        <f t="shared" si="711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184"/>
      <c r="B1190" s="184" t="s">
        <v>189</v>
      </c>
      <c r="C1190" s="575"/>
      <c r="D1190" s="900"/>
      <c r="E1190" s="901"/>
      <c r="F1190" s="902"/>
      <c r="G1190" s="1337">
        <v>0</v>
      </c>
      <c r="H1190" s="1337">
        <f t="shared" ref="H1190:K1190" si="723">SUM(H1183:H1189)</f>
        <v>0</v>
      </c>
      <c r="I1190" s="1337">
        <f t="shared" si="723"/>
        <v>0</v>
      </c>
      <c r="J1190" s="1337">
        <f t="shared" si="723"/>
        <v>0</v>
      </c>
      <c r="K1190" s="1337">
        <f t="shared" si="723"/>
        <v>0</v>
      </c>
      <c r="L1190" s="1534">
        <f t="shared" si="718"/>
        <v>0</v>
      </c>
      <c r="M1190" s="59"/>
      <c r="N1190" s="366">
        <f>IFERROR(L1190/M1190,0)</f>
        <v>0</v>
      </c>
      <c r="O1190" s="59"/>
      <c r="P1190" s="880">
        <f>IFERROR(L1190/O1190,0)</f>
        <v>0</v>
      </c>
      <c r="Q1190" s="795"/>
      <c r="R1190" s="785">
        <f>IFERROR(VLOOKUP($Q1190,'391'!$S:$Z,8,0),"")</f>
        <v>0</v>
      </c>
      <c r="S1190" s="796"/>
      <c r="T1190" s="797"/>
      <c r="U1190" s="797"/>
      <c r="V1190" s="797"/>
      <c r="W1190" s="785">
        <f>IFERROR(VLOOKUP($Q1190,'391'!$S:$AG,15,0),0)</f>
        <v>0</v>
      </c>
      <c r="X1190" s="1090">
        <f t="shared" si="711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hidden="1" customHeight="1" x14ac:dyDescent="0.25">
      <c r="A1191" s="2030">
        <f>IF(L1197=0,"",MAX($A$16:A1190)+1)</f>
        <v>78</v>
      </c>
      <c r="B1191" s="2027" t="s">
        <v>210</v>
      </c>
      <c r="C1191" s="114"/>
      <c r="D1191" s="881" t="s">
        <v>10</v>
      </c>
      <c r="E1191" s="888">
        <v>46038</v>
      </c>
      <c r="F1191" s="70">
        <f t="shared" ref="F1191" si="724">$L$7-E1191</f>
        <v>223</v>
      </c>
      <c r="G1191" s="63">
        <v>0</v>
      </c>
      <c r="H1191" s="63"/>
      <c r="I1191" s="63"/>
      <c r="J1191" s="1378"/>
      <c r="K1191" s="63">
        <f>IFERROR(SUMIF(INTAKE!$A:$A,$T1191,INTAKE!$P:$P),0)</f>
        <v>0</v>
      </c>
      <c r="L1191" s="1703">
        <f t="shared" si="718"/>
        <v>0</v>
      </c>
      <c r="M1191" s="50"/>
      <c r="N1191" s="167"/>
      <c r="O1191" s="50"/>
      <c r="P1191" s="857"/>
      <c r="Q1191" s="795"/>
      <c r="R1191" s="785">
        <f>IFERROR(VLOOKUP($Q1191,'391'!$S:$Z,8,0),"")</f>
        <v>0</v>
      </c>
      <c r="S1191" s="796"/>
      <c r="T1191" s="797" t="str">
        <f t="shared" ref="T1191:T1196" si="725">$Q$1197&amp;C1191&amp;E1191</f>
        <v>Flavomycin 8046038</v>
      </c>
      <c r="U1191" s="797"/>
      <c r="V1191" s="797"/>
      <c r="W1191" s="785">
        <f>IFERROR(VLOOKUP($Q1191,'391'!$S:$AG,15,0),0)</f>
        <v>0</v>
      </c>
      <c r="X1191" s="1090">
        <f t="shared" si="711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31"/>
      <c r="B1192" s="2028"/>
      <c r="C1192" s="114" t="s">
        <v>1213</v>
      </c>
      <c r="D1192" s="881" t="s">
        <v>10</v>
      </c>
      <c r="E1192" s="888">
        <v>46233</v>
      </c>
      <c r="F1192" s="70">
        <f t="shared" ref="F1192:F1193" si="726">$L$7-E1192</f>
        <v>28</v>
      </c>
      <c r="G1192" s="63">
        <v>25</v>
      </c>
      <c r="H1192" s="63"/>
      <c r="I1192" s="63"/>
      <c r="J1192" s="1378"/>
      <c r="K1192" s="1348">
        <f>IFERROR(SUMIF(INTAKE!$A:$A,$T1192,INTAKE!$P:$P),0)</f>
        <v>0</v>
      </c>
      <c r="L1192" s="1703">
        <f t="shared" si="718"/>
        <v>25</v>
      </c>
      <c r="M1192" s="48"/>
      <c r="N1192" s="163"/>
      <c r="O1192" s="48"/>
      <c r="P1192" s="924"/>
      <c r="Q1192" s="795"/>
      <c r="R1192" s="785">
        <f>IFERROR(VLOOKUP($Q1192,'391'!$S:$Z,8,0),"")</f>
        <v>0</v>
      </c>
      <c r="S1192" s="796"/>
      <c r="T1192" s="797" t="str">
        <f t="shared" si="725"/>
        <v>Flavomycin 80E346233</v>
      </c>
      <c r="U1192" s="797"/>
      <c r="V1192" s="797"/>
      <c r="W1192" s="785">
        <f>IFERROR(VLOOKUP($Q1192,'391'!$S:$AG,15,0),0)</f>
        <v>0</v>
      </c>
      <c r="X1192" s="1090">
        <f t="shared" si="711"/>
        <v>25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customHeight="1" x14ac:dyDescent="0.25">
      <c r="A1193" s="2031"/>
      <c r="B1193" s="2028"/>
      <c r="C1193" s="114" t="s">
        <v>1213</v>
      </c>
      <c r="D1193" s="881" t="s">
        <v>10</v>
      </c>
      <c r="E1193" s="888">
        <v>46247</v>
      </c>
      <c r="F1193" s="70">
        <f t="shared" si="726"/>
        <v>14</v>
      </c>
      <c r="G1193" s="63">
        <v>50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18"/>
        <v>50</v>
      </c>
      <c r="M1193" s="45"/>
      <c r="N1193" s="162"/>
      <c r="O1193" s="45"/>
      <c r="P1193" s="924"/>
      <c r="Q1193" s="795"/>
      <c r="R1193" s="785">
        <f>IFERROR(VLOOKUP($Q1193,'391'!$S:$Z,8,0),"")</f>
        <v>0</v>
      </c>
      <c r="S1193" s="796"/>
      <c r="T1193" s="797" t="str">
        <f t="shared" si="725"/>
        <v>Flavomycin 80E346247</v>
      </c>
      <c r="U1193" s="797"/>
      <c r="V1193" s="797"/>
      <c r="W1193" s="785">
        <f>IFERROR(VLOOKUP($Q1193,'391'!$S:$AG,15,0),0)</f>
        <v>0</v>
      </c>
      <c r="X1193" s="1090">
        <f t="shared" si="711"/>
        <v>50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265" customFormat="1" ht="30" hidden="1" customHeight="1" x14ac:dyDescent="0.25">
      <c r="A1194" s="2194"/>
      <c r="B1194" s="2111"/>
      <c r="C1194" s="114"/>
      <c r="D1194" s="881" t="s">
        <v>10</v>
      </c>
      <c r="E1194" s="888">
        <v>46247</v>
      </c>
      <c r="F1194" s="70">
        <f t="shared" ref="F1194" si="727">$L$7-E1194</f>
        <v>14</v>
      </c>
      <c r="G1194" s="63">
        <v>0</v>
      </c>
      <c r="H1194" s="63"/>
      <c r="I1194" s="63"/>
      <c r="J1194" s="1378"/>
      <c r="K1194" s="1348">
        <f>IFERROR(SUMIF(INTAKE!$A:$A,$T1194,INTAKE!$P:$P),0)</f>
        <v>0</v>
      </c>
      <c r="L1194" s="1703">
        <f t="shared" ref="L1194" si="728">+G1194+H1194+I1194-J1194-K1194</f>
        <v>0</v>
      </c>
      <c r="M1194" s="45"/>
      <c r="N1194" s="162"/>
      <c r="O1194" s="45"/>
      <c r="P1194" s="857"/>
      <c r="Q1194" s="795"/>
      <c r="R1194" s="785">
        <f>IFERROR(VLOOKUP($Q1194,'391'!$S:$Z,8,0),"")</f>
        <v>0</v>
      </c>
      <c r="S1194" s="796"/>
      <c r="T1194" s="797" t="str">
        <f t="shared" si="725"/>
        <v>Flavomycin 8046247</v>
      </c>
      <c r="U1194" s="797"/>
      <c r="V1194" s="797"/>
      <c r="W1194" s="785">
        <f>IFERROR(VLOOKUP($Q1194,'391'!$S:$AG,15,0),0)</f>
        <v>0</v>
      </c>
      <c r="X1194" s="1090">
        <f t="shared" ref="X1194" si="729">G1194-W1194</f>
        <v>0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hidden="1" customHeight="1" x14ac:dyDescent="0.25">
      <c r="A1195" s="2031"/>
      <c r="B1195" s="2028"/>
      <c r="C1195" s="114"/>
      <c r="D1195" s="881" t="s">
        <v>10</v>
      </c>
      <c r="E1195" s="888">
        <v>46233</v>
      </c>
      <c r="F1195" s="70">
        <f t="shared" ref="F1195:F1196" si="730">$L$7-E1195</f>
        <v>28</v>
      </c>
      <c r="G1195" s="63">
        <v>0</v>
      </c>
      <c r="H1195" s="63"/>
      <c r="I1195" s="63"/>
      <c r="J1195" s="1378"/>
      <c r="K1195" s="1348">
        <f>IFERROR(SUMIF(INTAKE!$A:$A,$T1195,INTAKE!$P:$P),0)</f>
        <v>0</v>
      </c>
      <c r="L1195" s="1703">
        <f t="shared" si="718"/>
        <v>0</v>
      </c>
      <c r="M1195" s="45"/>
      <c r="N1195" s="162"/>
      <c r="O1195" s="45"/>
      <c r="P1195" s="1774"/>
      <c r="Q1195" s="795"/>
      <c r="R1195" s="785">
        <f>IFERROR(VLOOKUP($Q1195,'391'!$S:$Z,8,0),"")</f>
        <v>0</v>
      </c>
      <c r="S1195" s="796"/>
      <c r="T1195" s="797" t="str">
        <f t="shared" si="725"/>
        <v>Flavomycin 8046233</v>
      </c>
      <c r="U1195" s="797"/>
      <c r="V1195" s="797"/>
      <c r="W1195" s="785">
        <f>IFERROR(VLOOKUP($Q1195,'391'!$S:$AG,15,0),0)</f>
        <v>0</v>
      </c>
      <c r="X1195" s="1090">
        <f t="shared" si="711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418" customFormat="1" ht="30" customHeight="1" x14ac:dyDescent="0.25">
      <c r="A1196" s="2032"/>
      <c r="B1196" s="2029"/>
      <c r="C1196" s="108" t="s">
        <v>76</v>
      </c>
      <c r="D1196" s="863" t="s">
        <v>10</v>
      </c>
      <c r="E1196" s="886">
        <v>46233</v>
      </c>
      <c r="F1196" s="39">
        <f t="shared" si="730"/>
        <v>28</v>
      </c>
      <c r="G1196" s="37">
        <v>33.06</v>
      </c>
      <c r="H1196" s="37"/>
      <c r="I1196" s="37">
        <f>SUM(K1191:K1195)</f>
        <v>0</v>
      </c>
      <c r="J1196" s="1385">
        <f>+usage!I113</f>
        <v>0</v>
      </c>
      <c r="K1196" s="63">
        <f>IFERROR(SUMIF(INTAKE!$A:$A,$T1196,INTAKE!$P:$P),0)</f>
        <v>0</v>
      </c>
      <c r="L1196" s="1534">
        <f t="shared" si="718"/>
        <v>33.06</v>
      </c>
      <c r="M1196" s="35"/>
      <c r="N1196" s="87"/>
      <c r="O1196" s="35"/>
      <c r="P1196" s="857"/>
      <c r="Q1196" s="795"/>
      <c r="R1196" s="785">
        <f>IFERROR(VLOOKUP($Q1196,'391'!$S:$Z,8,0),"")</f>
        <v>0</v>
      </c>
      <c r="S1196" s="796"/>
      <c r="T1196" s="797" t="str">
        <f t="shared" si="725"/>
        <v>Flavomycin 80Feedmil46233</v>
      </c>
      <c r="U1196" s="797"/>
      <c r="V1196" s="797"/>
      <c r="W1196" s="785">
        <f>IFERROR(VLOOKUP($Q1196,'391'!$S:$AG,15,0),0)</f>
        <v>0</v>
      </c>
      <c r="X1196" s="1090">
        <f t="shared" si="711"/>
        <v>33.06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184"/>
      <c r="B1197" s="184" t="s">
        <v>211</v>
      </c>
      <c r="C1197" s="575"/>
      <c r="D1197" s="900"/>
      <c r="E1197" s="901"/>
      <c r="F1197" s="902"/>
      <c r="G1197" s="1297">
        <v>108.06</v>
      </c>
      <c r="H1197" s="1344">
        <f t="shared" ref="H1197:L1197" si="731">SUM(H1191:H1196)</f>
        <v>0</v>
      </c>
      <c r="I1197" s="1297">
        <f t="shared" si="731"/>
        <v>0</v>
      </c>
      <c r="J1197" s="1386">
        <f t="shared" si="731"/>
        <v>0</v>
      </c>
      <c r="K1197" s="1386">
        <f t="shared" si="731"/>
        <v>0</v>
      </c>
      <c r="L1197" s="1386">
        <f t="shared" si="731"/>
        <v>108.06</v>
      </c>
      <c r="M1197" s="59">
        <f>IFERROR(R1197/$S$2,"")</f>
        <v>1.5750000000000002</v>
      </c>
      <c r="N1197" s="366">
        <f>IFERROR(L1197/M1197,0)</f>
        <v>68.609523809523807</v>
      </c>
      <c r="O1197" s="59">
        <f>IFERROR(SUMIF(ETM!$A:$A,$Q1197,ETM!$E:$E),"")</f>
        <v>3.3333333333333335</v>
      </c>
      <c r="P1197" s="880">
        <f>IFERROR(L1197/O1197,0)</f>
        <v>32.417999999999999</v>
      </c>
      <c r="Q1197" s="814" t="s">
        <v>210</v>
      </c>
      <c r="R1197" s="785">
        <f>IFERROR(VLOOKUP($Q1197,'391'!$S:$Z,8,0),"")</f>
        <v>9.4500000000000011</v>
      </c>
      <c r="S1197" s="796"/>
      <c r="T1197" s="797"/>
      <c r="U1197" s="797"/>
      <c r="V1197" s="797"/>
      <c r="W1197" s="785">
        <f>IFERROR(VLOOKUP($Q1197,'391'!$S:$AG,15,0),0)</f>
        <v>122.24000000000001</v>
      </c>
      <c r="X1197" s="1090">
        <f t="shared" si="711"/>
        <v>-14.180000000000007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30">
        <f>IF(L1203=0,"",MAX($A$16:A1197)+1)</f>
        <v>79</v>
      </c>
      <c r="B1198" s="2027" t="s">
        <v>2171</v>
      </c>
      <c r="C1198" s="1200" t="s">
        <v>1213</v>
      </c>
      <c r="D1198" s="881" t="s">
        <v>10</v>
      </c>
      <c r="E1198" s="882">
        <v>46254</v>
      </c>
      <c r="F1198" s="71">
        <f>$L$7-E1198</f>
        <v>7</v>
      </c>
      <c r="G1198" s="63">
        <v>275</v>
      </c>
      <c r="H1198" s="63"/>
      <c r="I1198" s="63"/>
      <c r="J1198" s="1378"/>
      <c r="K1198" s="63">
        <f>IFERROR(SUMIF(INTAKE!$A:$A,$T1198,INTAKE!$P:$P),0)</f>
        <v>50</v>
      </c>
      <c r="L1198" s="1703">
        <f t="shared" si="718"/>
        <v>225</v>
      </c>
      <c r="M1198" s="51"/>
      <c r="N1198" s="51"/>
      <c r="O1198" s="51"/>
      <c r="P1198" s="737"/>
      <c r="Q1198" s="795"/>
      <c r="R1198" s="785">
        <f>IFERROR(VLOOKUP($Q1198,'391'!$S:$Z,8,0),"")</f>
        <v>0</v>
      </c>
      <c r="S1198" s="796"/>
      <c r="T1198" s="797" t="str">
        <f>$Q$1203&amp;C1198&amp;E1198</f>
        <v>MAXIBANE346254</v>
      </c>
      <c r="U1198" s="797"/>
      <c r="V1198" s="797"/>
      <c r="W1198" s="785">
        <f>IFERROR(VLOOKUP($Q1198,'391'!$S:$AG,15,0),0)</f>
        <v>0</v>
      </c>
      <c r="X1198" s="1090">
        <f t="shared" si="711"/>
        <v>275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1"/>
      <c r="B1199" s="2028"/>
      <c r="C1199" s="1200"/>
      <c r="D1199" s="881" t="s">
        <v>10</v>
      </c>
      <c r="E1199" s="882">
        <v>46254</v>
      </c>
      <c r="F1199" s="71">
        <f>$L$7-E1199</f>
        <v>7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3">
        <f t="shared" si="718"/>
        <v>0</v>
      </c>
      <c r="M1199" s="48"/>
      <c r="N1199" s="48"/>
      <c r="O1199" s="48"/>
      <c r="P1199" s="738"/>
      <c r="Q1199" s="795"/>
      <c r="R1199" s="785">
        <f>IFERROR(VLOOKUP($Q1199,'391'!$S:$Z,8,0),"")</f>
        <v>0</v>
      </c>
      <c r="S1199" s="796"/>
      <c r="T1199" s="797" t="str">
        <f>$Q$1203&amp;C1199&amp;E1199</f>
        <v>MAXIBAN46254</v>
      </c>
      <c r="U1199" s="797"/>
      <c r="V1199" s="797"/>
      <c r="W1199" s="785">
        <f>IFERROR(VLOOKUP($Q1199,'391'!$S:$AG,15,0),0)</f>
        <v>0</v>
      </c>
      <c r="X1199" s="1090">
        <f t="shared" si="711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265" customFormat="1" ht="30" hidden="1" customHeight="1" x14ac:dyDescent="0.25">
      <c r="A1200" s="2031"/>
      <c r="B1200" s="2028"/>
      <c r="C1200" s="1200"/>
      <c r="D1200" s="881" t="s">
        <v>10</v>
      </c>
      <c r="E1200" s="882">
        <v>46254</v>
      </c>
      <c r="F1200" s="71">
        <f>$L$7-E1200</f>
        <v>7</v>
      </c>
      <c r="G1200" s="63">
        <v>0</v>
      </c>
      <c r="H1200" s="63"/>
      <c r="I1200" s="63"/>
      <c r="J1200" s="1378"/>
      <c r="K1200" s="63">
        <f>IFERROR(SUMIF(INTAKE!$A:$A,$T1200,INTAKE!$P:$P),0)</f>
        <v>0</v>
      </c>
      <c r="L1200" s="1703">
        <f t="shared" si="718"/>
        <v>0</v>
      </c>
      <c r="M1200" s="45"/>
      <c r="N1200" s="45"/>
      <c r="O1200" s="45"/>
      <c r="P1200" s="736"/>
      <c r="Q1200" s="795"/>
      <c r="R1200" s="785">
        <f>IFERROR(VLOOKUP($Q1200,'391'!$S:$Z,8,0),"")</f>
        <v>0</v>
      </c>
      <c r="S1200" s="796"/>
      <c r="T1200" s="797" t="str">
        <f>$Q$1203&amp;C1200&amp;E1200</f>
        <v>MAXIBAN46254</v>
      </c>
      <c r="U1200" s="797"/>
      <c r="V1200" s="797"/>
      <c r="W1200" s="785">
        <f>IFERROR(VLOOKUP($Q1200,'391'!$S:$AG,15,0),0)</f>
        <v>0</v>
      </c>
      <c r="X1200" s="1090">
        <f t="shared" si="711"/>
        <v>0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hidden="1" customHeight="1" x14ac:dyDescent="0.25">
      <c r="A1201" s="2031"/>
      <c r="B1201" s="2028"/>
      <c r="C1201" s="1200"/>
      <c r="D1201" s="881" t="s">
        <v>10</v>
      </c>
      <c r="E1201" s="882">
        <v>46247</v>
      </c>
      <c r="F1201" s="71">
        <f>$L$7-E1201</f>
        <v>14</v>
      </c>
      <c r="G1201" s="63">
        <v>0</v>
      </c>
      <c r="H1201" s="63"/>
      <c r="I1201" s="63"/>
      <c r="J1201" s="1378"/>
      <c r="K1201" s="63">
        <f>IFERROR(SUMIF(INTAKE!$A:$A,$T1201,INTAKE!$P:$P),0)</f>
        <v>0</v>
      </c>
      <c r="L1201" s="1703">
        <f t="shared" si="718"/>
        <v>0</v>
      </c>
      <c r="M1201" s="45"/>
      <c r="N1201" s="45"/>
      <c r="O1201" s="45"/>
      <c r="P1201" s="736"/>
      <c r="Q1201" s="795"/>
      <c r="R1201" s="785">
        <f>IFERROR(VLOOKUP($Q1201,'391'!$S:$Z,8,0),"")</f>
        <v>0</v>
      </c>
      <c r="S1201" s="796"/>
      <c r="T1201" s="797" t="str">
        <f>$Q$1203&amp;C1201&amp;E1201</f>
        <v>MAXIBAN46247</v>
      </c>
      <c r="U1201" s="797"/>
      <c r="V1201" s="797"/>
      <c r="W1201" s="785">
        <f>IFERROR(VLOOKUP($Q1201,'391'!$S:$AG,15,0),0)</f>
        <v>0</v>
      </c>
      <c r="X1201" s="1090">
        <f t="shared" si="711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418" customFormat="1" ht="30" customHeight="1" x14ac:dyDescent="0.25">
      <c r="A1202" s="2032"/>
      <c r="B1202" s="2029"/>
      <c r="C1202" s="108" t="s">
        <v>46</v>
      </c>
      <c r="D1202" s="863" t="s">
        <v>10</v>
      </c>
      <c r="E1202" s="851">
        <v>46254</v>
      </c>
      <c r="F1202" s="39">
        <f>$L$7-E1202</f>
        <v>7</v>
      </c>
      <c r="G1202" s="37">
        <v>23.260000000000005</v>
      </c>
      <c r="H1202" s="37"/>
      <c r="I1202" s="37">
        <f>+SUM(K1198:K1202)</f>
        <v>50</v>
      </c>
      <c r="J1202" s="1385">
        <f>+usage!I116</f>
        <v>60.48</v>
      </c>
      <c r="K1202" s="63">
        <f>IFERROR(SUMIF(INTAKE!$A:$A,$T1202,INTAKE!$P:$P),0)</f>
        <v>0</v>
      </c>
      <c r="L1202" s="1534">
        <f t="shared" si="718"/>
        <v>12.780000000000008</v>
      </c>
      <c r="M1202" s="35"/>
      <c r="N1202" s="35"/>
      <c r="O1202" s="35"/>
      <c r="P1202" s="740"/>
      <c r="Q1202" s="795"/>
      <c r="R1202" s="785">
        <f>IFERROR(VLOOKUP($Q1202,'391'!$S:$Z,8,0),"")</f>
        <v>0</v>
      </c>
      <c r="S1202" s="796"/>
      <c r="T1202" s="797" t="str">
        <f>$Q$1203&amp;C1202&amp;E1202</f>
        <v>MAXIBANFeedmill46254</v>
      </c>
      <c r="U1202" s="797"/>
      <c r="V1202" s="797"/>
      <c r="W1202" s="785">
        <f>IFERROR(VLOOKUP($Q1202,'391'!$S:$AG,15,0),0)</f>
        <v>0</v>
      </c>
      <c r="X1202" s="1090">
        <f t="shared" si="711"/>
        <v>23.260000000000005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184"/>
      <c r="B1203" s="184" t="s">
        <v>184</v>
      </c>
      <c r="C1203" s="575"/>
      <c r="D1203" s="900"/>
      <c r="E1203" s="901"/>
      <c r="F1203" s="902"/>
      <c r="G1203" s="1337">
        <v>298.26</v>
      </c>
      <c r="H1203" s="1344">
        <f>SUM(H1198:H1202)</f>
        <v>0</v>
      </c>
      <c r="I1203" s="1344">
        <f>SUM(I1198:I1202)</f>
        <v>50</v>
      </c>
      <c r="J1203" s="1297">
        <f t="shared" ref="J1203:L1203" si="732">SUM(J1198:J1202)</f>
        <v>60.48</v>
      </c>
      <c r="K1203" s="1297">
        <f t="shared" si="732"/>
        <v>50</v>
      </c>
      <c r="L1203" s="1297">
        <f t="shared" si="732"/>
        <v>237.78</v>
      </c>
      <c r="M1203" s="889">
        <v>20</v>
      </c>
      <c r="N1203" s="366">
        <f>IFERROR(L1203/M1203,0)</f>
        <v>11.888999999999999</v>
      </c>
      <c r="O1203" s="59">
        <f>IFERROR(SUMIF(ETM!$A:$A,$Q1203,ETM!$E:$E),"")</f>
        <v>5.9999999999999991</v>
      </c>
      <c r="P1203" s="880">
        <f>IFERROR(L1203/O1203,0)</f>
        <v>39.630000000000003</v>
      </c>
      <c r="Q1203" s="814" t="s">
        <v>462</v>
      </c>
      <c r="R1203" s="785">
        <f>IFERROR(VLOOKUP($Q1203,'391'!$S:$Z,8,0),"")</f>
        <v>177.66</v>
      </c>
      <c r="S1203" s="796"/>
      <c r="T1203" s="797"/>
      <c r="U1203" s="797"/>
      <c r="V1203" s="797"/>
      <c r="W1203" s="785">
        <f>IFERROR(VLOOKUP($Q1203,'391'!$S:$AG,15,0),0)</f>
        <v>385.2</v>
      </c>
      <c r="X1203" s="1090">
        <f t="shared" si="711"/>
        <v>-86.94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0">
        <f>IF(L1211=0,"",MAX($A$16:A1203)+1)</f>
        <v>80</v>
      </c>
      <c r="B1204" s="2046" t="s">
        <v>207</v>
      </c>
      <c r="C1204" s="127"/>
      <c r="D1204" s="881" t="s">
        <v>10</v>
      </c>
      <c r="E1204" s="888">
        <v>46122</v>
      </c>
      <c r="F1204" s="71">
        <f t="shared" ref="F1204:F1208" si="733">$L$7-E1204</f>
        <v>139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3">
        <f t="shared" ref="L1204:L1210" si="734">+G1204+H1204+I1204-J1204-K1204</f>
        <v>0</v>
      </c>
      <c r="M1204" s="51"/>
      <c r="N1204" s="51"/>
      <c r="O1204" s="51"/>
      <c r="P1204" s="737"/>
      <c r="Q1204" s="795"/>
      <c r="R1204" s="785">
        <f>IFERROR(VLOOKUP($Q1204,'391'!$S:$Z,8,0),"")</f>
        <v>0</v>
      </c>
      <c r="S1204" s="796"/>
      <c r="T1204" s="797" t="str">
        <f t="shared" ref="T1204:T1210" si="735">$Q$1211&amp;C1204&amp;E1204</f>
        <v>Availa-ZN 12046122</v>
      </c>
      <c r="U1204" s="797"/>
      <c r="V1204" s="797"/>
      <c r="W1204" s="785">
        <f>IFERROR(VLOOKUP($Q1204,'391'!$S:$AG,15,0),0)</f>
        <v>0</v>
      </c>
      <c r="X1204" s="1090">
        <f t="shared" si="711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customHeight="1" x14ac:dyDescent="0.25">
      <c r="A1205" s="2031"/>
      <c r="B1205" s="2068"/>
      <c r="C1205" s="127" t="s">
        <v>287</v>
      </c>
      <c r="D1205" s="881" t="s">
        <v>10</v>
      </c>
      <c r="E1205" s="888">
        <v>46225</v>
      </c>
      <c r="F1205" s="71">
        <f t="shared" ref="F1205:F1206" si="736">$L$7-E1205</f>
        <v>36</v>
      </c>
      <c r="G1205" s="63">
        <v>300</v>
      </c>
      <c r="H1205" s="63"/>
      <c r="I1205" s="63"/>
      <c r="J1205" s="1378"/>
      <c r="K1205" s="63">
        <f>IFERROR(SUMIF(INTAKE!$A:$A,$T1205,INTAKE!$P:$P),0)</f>
        <v>175</v>
      </c>
      <c r="L1205" s="1703">
        <f t="shared" si="734"/>
        <v>125</v>
      </c>
      <c r="M1205" s="48"/>
      <c r="N1205" s="48"/>
      <c r="O1205" s="48"/>
      <c r="P1205" s="738"/>
      <c r="Q1205" s="795"/>
      <c r="R1205" s="785">
        <f>IFERROR(VLOOKUP($Q1205,'391'!$S:$Z,8,0),"")</f>
        <v>0</v>
      </c>
      <c r="S1205" s="796"/>
      <c r="T1205" s="797" t="str">
        <f t="shared" si="735"/>
        <v>Availa-ZN 120A19.646225</v>
      </c>
      <c r="U1205" s="797"/>
      <c r="V1205" s="797"/>
      <c r="W1205" s="785">
        <f>IFERROR(VLOOKUP($Q1205,'391'!$S:$AG,15,0),0)</f>
        <v>0</v>
      </c>
      <c r="X1205" s="1090">
        <f t="shared" si="711"/>
        <v>300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customHeight="1" x14ac:dyDescent="0.25">
      <c r="A1206" s="2031"/>
      <c r="B1206" s="2068"/>
      <c r="C1206" s="127" t="s">
        <v>273</v>
      </c>
      <c r="D1206" s="881" t="s">
        <v>10</v>
      </c>
      <c r="E1206" s="888">
        <v>46241</v>
      </c>
      <c r="F1206" s="71">
        <f t="shared" si="736"/>
        <v>20</v>
      </c>
      <c r="G1206" s="63">
        <v>2000</v>
      </c>
      <c r="H1206" s="63"/>
      <c r="I1206" s="63"/>
      <c r="J1206" s="1378"/>
      <c r="K1206" s="63">
        <f>IFERROR(SUMIF(INTAKE!$A:$A,$T1206,INTAKE!$P:$P),0)</f>
        <v>0</v>
      </c>
      <c r="L1206" s="1703">
        <f t="shared" si="734"/>
        <v>2000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5"/>
        <v>Availa-ZN 120A19.546241</v>
      </c>
      <c r="U1206" s="797"/>
      <c r="V1206" s="797"/>
      <c r="W1206" s="785">
        <f>IFERROR(VLOOKUP($Q1206,'391'!$S:$AG,15,0),0)</f>
        <v>0</v>
      </c>
      <c r="X1206" s="1090">
        <f t="shared" si="711"/>
        <v>2000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customHeight="1" x14ac:dyDescent="0.25">
      <c r="A1207" s="2031"/>
      <c r="B1207" s="2068"/>
      <c r="C1207" s="127" t="s">
        <v>273</v>
      </c>
      <c r="D1207" s="881" t="s">
        <v>10</v>
      </c>
      <c r="E1207" s="888">
        <v>46254</v>
      </c>
      <c r="F1207" s="71">
        <f t="shared" ref="F1207" si="737">$L$7-E1207</f>
        <v>7</v>
      </c>
      <c r="G1207" s="63">
        <v>2000</v>
      </c>
      <c r="H1207" s="63"/>
      <c r="I1207" s="63"/>
      <c r="J1207" s="1378"/>
      <c r="K1207" s="63">
        <f>IFERROR(SUMIF(INTAKE!$A:$A,$T1207,INTAKE!$P:$P),0)</f>
        <v>0</v>
      </c>
      <c r="L1207" s="1712">
        <f t="shared" si="734"/>
        <v>2000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5"/>
        <v>Availa-ZN 120A19.546254</v>
      </c>
      <c r="U1207" s="797"/>
      <c r="V1207" s="797"/>
      <c r="W1207" s="785">
        <f>IFERROR(VLOOKUP($Q1207,'391'!$S:$AG,15,0),0)</f>
        <v>0</v>
      </c>
      <c r="X1207" s="1090">
        <f t="shared" si="711"/>
        <v>2000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265" customFormat="1" ht="30" hidden="1" customHeight="1" x14ac:dyDescent="0.25">
      <c r="A1208" s="2194"/>
      <c r="B1208" s="2072"/>
      <c r="C1208" s="127"/>
      <c r="D1208" s="881" t="s">
        <v>10</v>
      </c>
      <c r="E1208" s="888">
        <v>46255</v>
      </c>
      <c r="F1208" s="71">
        <f t="shared" si="733"/>
        <v>6</v>
      </c>
      <c r="G1208" s="63">
        <v>0</v>
      </c>
      <c r="H1208" s="63"/>
      <c r="I1208" s="63"/>
      <c r="J1208" s="1378"/>
      <c r="K1208" s="63">
        <f>IFERROR(SUMIF(INTAKE!$A:$A,$T1208,INTAKE!$P:$P),0)</f>
        <v>0</v>
      </c>
      <c r="L1208" s="1703">
        <f t="shared" si="734"/>
        <v>0</v>
      </c>
      <c r="M1208" s="45"/>
      <c r="N1208" s="45"/>
      <c r="O1208" s="45"/>
      <c r="P1208" s="736"/>
      <c r="Q1208" s="795"/>
      <c r="R1208" s="785">
        <f>IFERROR(VLOOKUP($Q1208,'391'!$S:$Z,8,0),"")</f>
        <v>0</v>
      </c>
      <c r="S1208" s="796"/>
      <c r="T1208" s="797" t="str">
        <f t="shared" si="735"/>
        <v>Availa-ZN 12046255</v>
      </c>
      <c r="U1208" s="797"/>
      <c r="V1208" s="797"/>
      <c r="W1208" s="785">
        <f>IFERROR(VLOOKUP($Q1208,'391'!$S:$AG,15,0),0)</f>
        <v>0</v>
      </c>
      <c r="X1208" s="1090">
        <f t="shared" si="711"/>
        <v>0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hidden="1" customHeight="1" x14ac:dyDescent="0.25">
      <c r="A1209" s="2031"/>
      <c r="B1209" s="2068"/>
      <c r="C1209" s="127"/>
      <c r="D1209" s="881" t="s">
        <v>10</v>
      </c>
      <c r="E1209" s="888">
        <v>46225</v>
      </c>
      <c r="F1209" s="71">
        <f t="shared" ref="F1209:F1210" si="738">$L$7-E1209</f>
        <v>36</v>
      </c>
      <c r="G1209" s="63">
        <v>0</v>
      </c>
      <c r="H1209" s="63"/>
      <c r="I1209" s="63"/>
      <c r="J1209" s="1378"/>
      <c r="K1209" s="63">
        <f>IFERROR(SUMIF(INTAKE!$A:$A,$T1209,INTAKE!$P:$P),0)</f>
        <v>0</v>
      </c>
      <c r="L1209" s="1703">
        <f t="shared" si="734"/>
        <v>0</v>
      </c>
      <c r="M1209" s="45"/>
      <c r="N1209" s="45"/>
      <c r="O1209" s="45"/>
      <c r="P1209" s="736"/>
      <c r="Q1209" s="795"/>
      <c r="R1209" s="785">
        <f>IFERROR(VLOOKUP($Q1209,'391'!$S:$Z,8,0),"")</f>
        <v>0</v>
      </c>
      <c r="S1209" s="796"/>
      <c r="T1209" s="797" t="str">
        <f t="shared" si="735"/>
        <v>Availa-ZN 12046225</v>
      </c>
      <c r="U1209" s="797"/>
      <c r="V1209" s="797"/>
      <c r="W1209" s="785">
        <f>IFERROR(VLOOKUP($Q1209,'391'!$S:$AG,15,0),0)</f>
        <v>0</v>
      </c>
      <c r="X1209" s="1090">
        <f t="shared" si="711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418" customFormat="1" ht="30" customHeight="1" x14ac:dyDescent="0.25">
      <c r="A1210" s="2032"/>
      <c r="B1210" s="2047"/>
      <c r="C1210" s="108" t="s">
        <v>46</v>
      </c>
      <c r="D1210" s="863" t="s">
        <v>10</v>
      </c>
      <c r="E1210" s="886">
        <v>46225</v>
      </c>
      <c r="F1210" s="39">
        <f t="shared" si="738"/>
        <v>36</v>
      </c>
      <c r="G1210" s="37">
        <v>175.83999999999997</v>
      </c>
      <c r="H1210" s="37"/>
      <c r="I1210" s="37">
        <f>+SUM(K1204:K1209)</f>
        <v>175</v>
      </c>
      <c r="J1210" s="1385">
        <f>+usage!I122</f>
        <v>339.26</v>
      </c>
      <c r="K1210" s="63">
        <f>IFERROR(SUMIF(INTAKE!$A:$A,$T1210,INTAKE!$P:$P),0)</f>
        <v>0</v>
      </c>
      <c r="L1210" s="1534">
        <f t="shared" si="734"/>
        <v>11.579999999999984</v>
      </c>
      <c r="M1210" s="35"/>
      <c r="N1210" s="35"/>
      <c r="O1210" s="35"/>
      <c r="P1210" s="740"/>
      <c r="Q1210" s="795"/>
      <c r="R1210" s="785">
        <f>IFERROR(VLOOKUP($Q1210,'391'!$S:$Z,8,0),"")</f>
        <v>0</v>
      </c>
      <c r="S1210" s="796"/>
      <c r="T1210" s="797" t="str">
        <f t="shared" si="735"/>
        <v>Availa-ZN 120Feedmill46225</v>
      </c>
      <c r="U1210" s="797"/>
      <c r="V1210" s="797"/>
      <c r="W1210" s="785">
        <f>IFERROR(VLOOKUP($Q1210,'391'!$S:$AG,15,0),0)</f>
        <v>0</v>
      </c>
      <c r="X1210" s="1090">
        <f t="shared" si="711"/>
        <v>175.83999999999997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customHeight="1" x14ac:dyDescent="0.25">
      <c r="A1211" s="184"/>
      <c r="B1211" s="184" t="s">
        <v>208</v>
      </c>
      <c r="C1211" s="575"/>
      <c r="D1211" s="900"/>
      <c r="E1211" s="901"/>
      <c r="F1211" s="902"/>
      <c r="G1211" s="1337">
        <v>4475.84</v>
      </c>
      <c r="H1211" s="1337">
        <f t="shared" ref="H1211:L1211" si="739">+SUM(H1204:H1210)</f>
        <v>0</v>
      </c>
      <c r="I1211" s="1337">
        <f t="shared" si="739"/>
        <v>175</v>
      </c>
      <c r="J1211" s="1337">
        <f t="shared" si="739"/>
        <v>339.26</v>
      </c>
      <c r="K1211" s="1337">
        <f t="shared" si="739"/>
        <v>175</v>
      </c>
      <c r="L1211" s="1337">
        <f t="shared" si="739"/>
        <v>4136.58</v>
      </c>
      <c r="M1211" s="59">
        <f>IFERROR(R1211/$S$2,"")</f>
        <v>243.90333333333334</v>
      </c>
      <c r="N1211" s="854">
        <f>(L1211/M1211)</f>
        <v>16.959915813642017</v>
      </c>
      <c r="O1211" s="59">
        <f>IFERROR(SUMIF(ETM!$A:$A,$Q1211,ETM!$E:$E),"")</f>
        <v>285.50000000000006</v>
      </c>
      <c r="P1211" s="880">
        <f>IFERROR(L1211/O1211,0)</f>
        <v>14.488896672504374</v>
      </c>
      <c r="Q1211" s="795" t="s">
        <v>839</v>
      </c>
      <c r="R1211" s="785">
        <f>IFERROR(VLOOKUP($Q1211,'391'!$S:$Z,8,0),"")</f>
        <v>1463.42</v>
      </c>
      <c r="S1211" s="796"/>
      <c r="T1211" s="797"/>
      <c r="U1211" s="797"/>
      <c r="V1211" s="797"/>
      <c r="W1211" s="785">
        <f>IFERROR(VLOOKUP($Q1211,'391'!$S:$AG,15,0),0)</f>
        <v>5028.62</v>
      </c>
      <c r="X1211" s="1090">
        <f t="shared" si="711"/>
        <v>-552.77999999999975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0" t="str">
        <f>IF(L1217=0,"",MAX($A$16:A1211)+1)</f>
        <v/>
      </c>
      <c r="B1212" s="2046" t="s">
        <v>591</v>
      </c>
      <c r="C1212" s="1199" t="s">
        <v>601</v>
      </c>
      <c r="D1212" s="881" t="s">
        <v>10</v>
      </c>
      <c r="E1212" s="882">
        <v>45149</v>
      </c>
      <c r="F1212" s="71">
        <f>$L$7-E1212</f>
        <v>1112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ref="L1212:L1223" si="740">+G1212+H1212+I1212-J1212-K1212</f>
        <v>0</v>
      </c>
      <c r="M1212" s="51"/>
      <c r="N1212" s="953"/>
      <c r="O1212" s="51"/>
      <c r="P1212" s="857"/>
      <c r="Q1212" s="795"/>
      <c r="R1212" s="785">
        <f>IFERROR(VLOOKUP($Q1212,'391'!$S:$Z,8,0),"")</f>
        <v>0</v>
      </c>
      <c r="S1212" s="796"/>
      <c r="T1212" s="797" t="str">
        <f>$Q$1217&amp;C1212&amp;E1212</f>
        <v>Rodotium 10% (Bulgaria)Z4.145149</v>
      </c>
      <c r="U1212" s="797"/>
      <c r="V1212" s="797"/>
      <c r="W1212" s="785">
        <f>IFERROR(VLOOKUP($Q1212,'391'!$S:$AG,15,0),0)</f>
        <v>0</v>
      </c>
      <c r="X1212" s="1090">
        <f t="shared" si="711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31"/>
      <c r="B1213" s="2068"/>
      <c r="C1213" s="1199" t="s">
        <v>509</v>
      </c>
      <c r="D1213" s="881" t="s">
        <v>10</v>
      </c>
      <c r="E1213" s="882">
        <v>44693</v>
      </c>
      <c r="F1213" s="71">
        <f>$L$7-E1213</f>
        <v>1568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40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$Q$1217&amp;C1213&amp;E1213</f>
        <v>Rodotium 10% (Bulgaria)A18.544693</v>
      </c>
      <c r="U1213" s="797"/>
      <c r="V1213" s="797"/>
      <c r="W1213" s="785">
        <f>IFERROR(VLOOKUP($Q1213,'391'!$S:$AG,15,0),0)</f>
        <v>0</v>
      </c>
      <c r="X1213" s="1090">
        <f t="shared" si="711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1"/>
      <c r="B1214" s="2068"/>
      <c r="C1214" s="1199"/>
      <c r="D1214" s="881" t="s">
        <v>10</v>
      </c>
      <c r="E1214" s="882">
        <v>44693</v>
      </c>
      <c r="F1214" s="71">
        <f>$L$7-E1214</f>
        <v>1568</v>
      </c>
      <c r="G1214" s="64">
        <v>0</v>
      </c>
      <c r="H1214" s="64"/>
      <c r="I1214" s="64"/>
      <c r="J1214" s="1367"/>
      <c r="K1214" s="63">
        <f>IFERROR(SUMIF(INTAKE!$A:$A,$T1214,INTAKE!$P:$P),0)</f>
        <v>0</v>
      </c>
      <c r="L1214" s="1534">
        <f t="shared" si="740"/>
        <v>0</v>
      </c>
      <c r="M1214" s="48"/>
      <c r="N1214" s="189"/>
      <c r="O1214" s="48"/>
      <c r="P1214" s="924"/>
      <c r="Q1214" s="795"/>
      <c r="R1214" s="785">
        <f>IFERROR(VLOOKUP($Q1214,'391'!$S:$Z,8,0),"")</f>
        <v>0</v>
      </c>
      <c r="S1214" s="796"/>
      <c r="T1214" s="797" t="str">
        <f>$Q$1217&amp;C1214&amp;E1214</f>
        <v>Rodotium 10% (Bulgaria)44693</v>
      </c>
      <c r="U1214" s="797"/>
      <c r="V1214" s="797"/>
      <c r="W1214" s="785">
        <f>IFERROR(VLOOKUP($Q1214,'391'!$S:$AG,15,0),0)</f>
        <v>0</v>
      </c>
      <c r="X1214" s="1090">
        <f t="shared" si="711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2194"/>
      <c r="B1215" s="2072"/>
      <c r="C1215" s="1199"/>
      <c r="D1215" s="881" t="s">
        <v>10</v>
      </c>
      <c r="E1215" s="882">
        <v>44693</v>
      </c>
      <c r="F1215" s="71">
        <f>$L$7-E1215</f>
        <v>1568</v>
      </c>
      <c r="G1215" s="64">
        <v>0</v>
      </c>
      <c r="H1215" s="64"/>
      <c r="I1215" s="64"/>
      <c r="J1215" s="1367"/>
      <c r="K1215" s="63">
        <f>IFERROR(SUMIF(INTAKE!$A:$A,$T1215,INTAKE!$P:$P),0)</f>
        <v>0</v>
      </c>
      <c r="L1215" s="1534">
        <f t="shared" si="740"/>
        <v>0</v>
      </c>
      <c r="M1215" s="48"/>
      <c r="N1215" s="189"/>
      <c r="O1215" s="48"/>
      <c r="P1215" s="924"/>
      <c r="Q1215" s="795"/>
      <c r="R1215" s="785">
        <f>IFERROR(VLOOKUP($Q1215,'391'!$S:$Z,8,0),"")</f>
        <v>0</v>
      </c>
      <c r="S1215" s="796"/>
      <c r="T1215" s="797" t="str">
        <f>$Q$1217&amp;C1215&amp;E1215</f>
        <v>Rodotium 10% (Bulgaria)44693</v>
      </c>
      <c r="U1215" s="797"/>
      <c r="V1215" s="797"/>
      <c r="W1215" s="785">
        <f>IFERROR(VLOOKUP($Q1215,'391'!$S:$AG,15,0),0)</f>
        <v>0</v>
      </c>
      <c r="X1215" s="1090">
        <f t="shared" si="711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hidden="1" customHeight="1" x14ac:dyDescent="0.25">
      <c r="A1216" s="2032"/>
      <c r="B1216" s="2047"/>
      <c r="C1216" s="1010" t="s">
        <v>76</v>
      </c>
      <c r="D1216" s="884" t="s">
        <v>10</v>
      </c>
      <c r="E1216" s="885">
        <v>45149</v>
      </c>
      <c r="F1216" s="293">
        <f>$L$7-E1216</f>
        <v>1112</v>
      </c>
      <c r="G1216" s="1214">
        <v>0</v>
      </c>
      <c r="H1216" s="37"/>
      <c r="I1216" s="37">
        <f>+SUM(K1212:K1214)</f>
        <v>0</v>
      </c>
      <c r="J1216" s="1385">
        <f>usage!I142</f>
        <v>0</v>
      </c>
      <c r="K1216" s="37"/>
      <c r="L1216" s="1534">
        <f t="shared" si="740"/>
        <v>0</v>
      </c>
      <c r="M1216" s="47"/>
      <c r="N1216" s="1472"/>
      <c r="O1216" s="47"/>
      <c r="P1216" s="1011"/>
      <c r="Q1216" s="795"/>
      <c r="R1216" s="785">
        <f>IFERROR(VLOOKUP($Q1216,'391'!$S:$Z,8,0),"")</f>
        <v>0</v>
      </c>
      <c r="S1216" s="796"/>
      <c r="T1216" s="797" t="str">
        <f>$Q$1217&amp;C1216&amp;E1216</f>
        <v>Rodotium 10% (Bulgaria)Feedmil45149</v>
      </c>
      <c r="U1216" s="797"/>
      <c r="V1216" s="797"/>
      <c r="W1216" s="785">
        <f>IFERROR(VLOOKUP($Q1216,'391'!$S:$AG,15,0),0)</f>
        <v>0</v>
      </c>
      <c r="X1216" s="1090">
        <f t="shared" si="711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hidden="1" customHeight="1" x14ac:dyDescent="0.25">
      <c r="A1217" s="184"/>
      <c r="B1217" s="184" t="s">
        <v>586</v>
      </c>
      <c r="C1217" s="575"/>
      <c r="D1217" s="900"/>
      <c r="E1217" s="901"/>
      <c r="F1217" s="902"/>
      <c r="G1217" s="1337">
        <v>0</v>
      </c>
      <c r="H1217" s="1337">
        <f>+SUM(H1212:H1216)</f>
        <v>0</v>
      </c>
      <c r="I1217" s="1337">
        <f>+SUM(I1212:I1216)</f>
        <v>0</v>
      </c>
      <c r="J1217" s="1337">
        <f t="shared" ref="J1217:K1217" si="741">+SUM(J1212:J1216)</f>
        <v>0</v>
      </c>
      <c r="K1217" s="1337">
        <f t="shared" si="741"/>
        <v>0</v>
      </c>
      <c r="L1217" s="1534">
        <f t="shared" si="740"/>
        <v>0</v>
      </c>
      <c r="M1217" s="59" t="str">
        <f>IFERROR(R1217/$S$2,"")</f>
        <v/>
      </c>
      <c r="N1217" s="854" t="e">
        <f>(L1217/M1217)</f>
        <v>#VALUE!</v>
      </c>
      <c r="O1217" s="59">
        <f>O1281</f>
        <v>0</v>
      </c>
      <c r="P1217" s="880">
        <f>IFERROR(L1217/O1217,0)</f>
        <v>0</v>
      </c>
      <c r="Q1217" s="795" t="s">
        <v>1162</v>
      </c>
      <c r="R1217" s="785" t="str">
        <f>IFERROR(VLOOKUP($Q1217,'391'!$S:$Z,8,0),"")</f>
        <v/>
      </c>
      <c r="S1217" s="796"/>
      <c r="T1217" s="797"/>
      <c r="U1217" s="797"/>
      <c r="V1217" s="797"/>
      <c r="W1217" s="785">
        <f>IFERROR(VLOOKUP($Q1217,'391'!$S:$AG,15,0),0)</f>
        <v>0</v>
      </c>
      <c r="X1217" s="1090">
        <f t="shared" si="711"/>
        <v>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0">
        <f>IF(L1224=0,"",MAX($A$16:A1217)+1)</f>
        <v>81</v>
      </c>
      <c r="B1218" s="2027" t="s">
        <v>836</v>
      </c>
      <c r="C1218" s="127" t="s">
        <v>874</v>
      </c>
      <c r="D1218" s="881" t="s">
        <v>10</v>
      </c>
      <c r="E1218" s="882">
        <v>46241</v>
      </c>
      <c r="F1218" s="71">
        <f t="shared" ref="F1218:F1220" si="742">$L$7-E1218</f>
        <v>20</v>
      </c>
      <c r="G1218" s="64">
        <v>500</v>
      </c>
      <c r="H1218" s="64"/>
      <c r="I1218" s="64"/>
      <c r="J1218" s="1367"/>
      <c r="K1218" s="64">
        <f>IFERROR(SUMIF(INTAKE!$A:$A,$T1218,INTAKE!$P:$P),0)</f>
        <v>150</v>
      </c>
      <c r="L1218" s="1703">
        <f t="shared" si="740"/>
        <v>350</v>
      </c>
      <c r="M1218" s="51"/>
      <c r="N1218" s="51"/>
      <c r="O1218" s="51"/>
      <c r="P1218" s="737"/>
      <c r="Q1218" s="795"/>
      <c r="R1218" s="785">
        <f>IFERROR(VLOOKUP($Q1218,'391'!$S:$Z,8,0),"")</f>
        <v>0</v>
      </c>
      <c r="S1218" s="796"/>
      <c r="T1218" s="797" t="str">
        <f t="shared" ref="T1218:T1223" si="743">$Q$1224&amp;C1218&amp;E1218</f>
        <v>Intelli Bond CV6.146241</v>
      </c>
      <c r="U1218" s="797"/>
      <c r="V1218" s="797"/>
      <c r="W1218" s="785">
        <f>IFERROR(VLOOKUP($Q1218,'391'!$S:$AG,15,0),0)</f>
        <v>0</v>
      </c>
      <c r="X1218" s="1090">
        <f t="shared" si="711"/>
        <v>500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customHeight="1" x14ac:dyDescent="0.25">
      <c r="A1219" s="2031"/>
      <c r="B1219" s="2028"/>
      <c r="C1219" s="127" t="s">
        <v>874</v>
      </c>
      <c r="D1219" s="881" t="s">
        <v>10</v>
      </c>
      <c r="E1219" s="882">
        <v>46247</v>
      </c>
      <c r="F1219" s="71">
        <f t="shared" si="742"/>
        <v>14</v>
      </c>
      <c r="G1219" s="64">
        <v>1000</v>
      </c>
      <c r="H1219" s="64"/>
      <c r="I1219" s="64"/>
      <c r="J1219" s="1367"/>
      <c r="K1219" s="64">
        <f>IFERROR(SUMIF(INTAKE!$A:$A,$T1219,INTAKE!$P:$P),0)</f>
        <v>0</v>
      </c>
      <c r="L1219" s="1703">
        <f t="shared" si="740"/>
        <v>1000</v>
      </c>
      <c r="M1219" s="48"/>
      <c r="N1219" s="48"/>
      <c r="O1219" s="48"/>
      <c r="P1219" s="738"/>
      <c r="Q1219" s="795"/>
      <c r="R1219" s="785">
        <f>IFERROR(VLOOKUP($Q1219,'391'!$S:$Z,8,0),"")</f>
        <v>0</v>
      </c>
      <c r="S1219" s="796"/>
      <c r="T1219" s="797" t="str">
        <f t="shared" si="743"/>
        <v>Intelli Bond CV6.146247</v>
      </c>
      <c r="U1219" s="797"/>
      <c r="V1219" s="797"/>
      <c r="W1219" s="785">
        <f>IFERROR(VLOOKUP($Q1219,'391'!$S:$AG,15,0),0)</f>
        <v>0</v>
      </c>
      <c r="X1219" s="1090">
        <f t="shared" si="711"/>
        <v>1000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customHeight="1" x14ac:dyDescent="0.25">
      <c r="A1220" s="2031"/>
      <c r="B1220" s="2028"/>
      <c r="C1220" s="127" t="s">
        <v>874</v>
      </c>
      <c r="D1220" s="881" t="s">
        <v>10</v>
      </c>
      <c r="E1220" s="882">
        <v>46254</v>
      </c>
      <c r="F1220" s="71">
        <f t="shared" si="742"/>
        <v>7</v>
      </c>
      <c r="G1220" s="64">
        <v>2000</v>
      </c>
      <c r="H1220" s="64"/>
      <c r="I1220" s="64"/>
      <c r="J1220" s="1367"/>
      <c r="K1220" s="64">
        <f>IFERROR(SUMIF(INTAKE!$A:$A,$T1220,INTAKE!$P:$P),0)</f>
        <v>0</v>
      </c>
      <c r="L1220" s="1703">
        <f t="shared" si="740"/>
        <v>2000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3"/>
        <v>Intelli Bond CV6.146254</v>
      </c>
      <c r="U1220" s="797"/>
      <c r="V1220" s="797"/>
      <c r="W1220" s="785">
        <f>IFERROR(VLOOKUP($Q1220,'391'!$S:$AG,15,0),0)</f>
        <v>0</v>
      </c>
      <c r="X1220" s="1090">
        <f t="shared" si="711"/>
        <v>2000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265" customFormat="1" ht="30" hidden="1" customHeight="1" x14ac:dyDescent="0.25">
      <c r="A1221" s="2031"/>
      <c r="B1221" s="2028"/>
      <c r="C1221" s="127"/>
      <c r="D1221" s="881" t="s">
        <v>10</v>
      </c>
      <c r="E1221" s="882">
        <v>46254</v>
      </c>
      <c r="F1221" s="71">
        <f t="shared" ref="F1221:F1223" si="744">$L$7-E1221</f>
        <v>7</v>
      </c>
      <c r="G1221" s="64">
        <v>0</v>
      </c>
      <c r="H1221" s="64"/>
      <c r="I1221" s="64"/>
      <c r="J1221" s="1367"/>
      <c r="K1221" s="64">
        <f>IFERROR(SUMIF(INTAKE!$A:$A,$T1221,INTAKE!$P:$P),0)</f>
        <v>0</v>
      </c>
      <c r="L1221" s="1703">
        <f t="shared" si="740"/>
        <v>0</v>
      </c>
      <c r="M1221" s="45"/>
      <c r="N1221" s="45"/>
      <c r="O1221" s="45"/>
      <c r="P1221" s="736"/>
      <c r="Q1221" s="795"/>
      <c r="R1221" s="785">
        <f>IFERROR(VLOOKUP($Q1221,'391'!$S:$Z,8,0),"")</f>
        <v>0</v>
      </c>
      <c r="S1221" s="796"/>
      <c r="T1221" s="797" t="str">
        <f t="shared" si="743"/>
        <v>Intelli Bond C46254</v>
      </c>
      <c r="U1221" s="797"/>
      <c r="V1221" s="797"/>
      <c r="W1221" s="785">
        <f>IFERROR(VLOOKUP($Q1221,'391'!$S:$AG,15,0),0)</f>
        <v>0</v>
      </c>
      <c r="X1221" s="1090">
        <f t="shared" si="711"/>
        <v>0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hidden="1" customHeight="1" x14ac:dyDescent="0.25">
      <c r="A1222" s="2031"/>
      <c r="B1222" s="2028"/>
      <c r="C1222" s="127"/>
      <c r="D1222" s="881" t="s">
        <v>10</v>
      </c>
      <c r="E1222" s="882">
        <v>44707</v>
      </c>
      <c r="F1222" s="71">
        <f t="shared" si="744"/>
        <v>1554</v>
      </c>
      <c r="G1222" s="64">
        <v>0</v>
      </c>
      <c r="H1222" s="64"/>
      <c r="I1222" s="64"/>
      <c r="J1222" s="1367"/>
      <c r="K1222" s="64">
        <f>IFERROR(SUMIF(INTAKE!$A:$A,$T1222,INTAKE!$P:$P),0)</f>
        <v>0</v>
      </c>
      <c r="L1222" s="1534">
        <f t="shared" si="740"/>
        <v>0</v>
      </c>
      <c r="M1222" s="45"/>
      <c r="N1222" s="45"/>
      <c r="O1222" s="45"/>
      <c r="P1222" s="736"/>
      <c r="Q1222" s="795"/>
      <c r="R1222" s="785">
        <f>IFERROR(VLOOKUP($Q1222,'391'!$S:$Z,8,0),"")</f>
        <v>0</v>
      </c>
      <c r="S1222" s="796"/>
      <c r="T1222" s="797" t="str">
        <f t="shared" si="743"/>
        <v>Intelli Bond C44707</v>
      </c>
      <c r="U1222" s="797"/>
      <c r="V1222" s="797"/>
      <c r="W1222" s="785">
        <f>IFERROR(VLOOKUP($Q1222,'391'!$S:$AG,15,0),0)</f>
        <v>0</v>
      </c>
      <c r="X1222" s="1090">
        <f t="shared" si="711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418" customFormat="1" ht="30" customHeight="1" x14ac:dyDescent="0.25">
      <c r="A1223" s="2032"/>
      <c r="B1223" s="2029"/>
      <c r="C1223" s="108" t="s">
        <v>46</v>
      </c>
      <c r="D1223" s="863" t="s">
        <v>10</v>
      </c>
      <c r="E1223" s="886">
        <v>46241</v>
      </c>
      <c r="F1223" s="39">
        <f t="shared" si="744"/>
        <v>20</v>
      </c>
      <c r="G1223" s="37">
        <v>275.19000000000005</v>
      </c>
      <c r="H1223" s="37"/>
      <c r="I1223" s="37">
        <f>SUM(K1218:K1223)</f>
        <v>150</v>
      </c>
      <c r="J1223" s="1385">
        <f>usage!I120</f>
        <v>187.79</v>
      </c>
      <c r="K1223" s="64">
        <f>IFERROR(SUMIF(INTAKE!$A:$A,$T1223,INTAKE!$P:$P),0)</f>
        <v>0</v>
      </c>
      <c r="L1223" s="1534">
        <f t="shared" si="740"/>
        <v>237.40000000000006</v>
      </c>
      <c r="M1223" s="35"/>
      <c r="N1223" s="35"/>
      <c r="O1223" s="35"/>
      <c r="P1223" s="740"/>
      <c r="Q1223" s="795"/>
      <c r="R1223" s="785">
        <f>IFERROR(VLOOKUP($Q1223,'391'!$S:$Z,8,0),"")</f>
        <v>0</v>
      </c>
      <c r="S1223" s="796"/>
      <c r="T1223" s="797" t="str">
        <f t="shared" si="743"/>
        <v>Intelli Bond CFeedmill46241</v>
      </c>
      <c r="U1223" s="797"/>
      <c r="V1223" s="797"/>
      <c r="W1223" s="785">
        <f>IFERROR(VLOOKUP($Q1223,'391'!$S:$AG,15,0),0)</f>
        <v>0</v>
      </c>
      <c r="X1223" s="1090">
        <f t="shared" ref="X1223:X1285" si="745">G1223-W1223</f>
        <v>275.19000000000005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customHeight="1" x14ac:dyDescent="0.25">
      <c r="A1224" s="184"/>
      <c r="B1224" s="184" t="s">
        <v>285</v>
      </c>
      <c r="C1224" s="575"/>
      <c r="D1224" s="900"/>
      <c r="E1224" s="901" t="s">
        <v>35</v>
      </c>
      <c r="F1224" s="902"/>
      <c r="G1224" s="1337">
        <v>3775.19</v>
      </c>
      <c r="H1224" s="1337">
        <f t="shared" ref="H1224:J1224" si="746">SUM(H1218:H1223)</f>
        <v>0</v>
      </c>
      <c r="I1224" s="1337">
        <f t="shared" si="746"/>
        <v>150</v>
      </c>
      <c r="J1224" s="1337">
        <f t="shared" si="746"/>
        <v>187.79</v>
      </c>
      <c r="K1224" s="1337">
        <f>SUM(K1218:K1223)</f>
        <v>150</v>
      </c>
      <c r="L1224" s="1337">
        <f>SUM(L1218:L1223)</f>
        <v>3587.4</v>
      </c>
      <c r="M1224" s="59">
        <f>IFERROR(R1224/$S$2,"")</f>
        <v>187.44166666666669</v>
      </c>
      <c r="N1224" s="366">
        <f>IFERROR(L1224/M1224,0)</f>
        <v>19.138754279109055</v>
      </c>
      <c r="O1224" s="59">
        <f>IFERROR(SUMIF(ETM!$A:$A,$Q1224,ETM!$E:$E),"")</f>
        <v>201.66666666666666</v>
      </c>
      <c r="P1224" s="880">
        <f>IFERROR(L1224/O1224,0)</f>
        <v>17.788760330578512</v>
      </c>
      <c r="Q1224" s="795" t="s">
        <v>836</v>
      </c>
      <c r="R1224" s="785">
        <f>IFERROR(VLOOKUP($Q1224,'391'!$S:$Z,8,0),"")</f>
        <v>1124.6500000000001</v>
      </c>
      <c r="S1224" s="796"/>
      <c r="T1224" s="797"/>
      <c r="U1224" s="797"/>
      <c r="V1224" s="797"/>
      <c r="W1224" s="785">
        <f>IFERROR(VLOOKUP($Q1224,'391'!$S:$AG,15,0),0)</f>
        <v>4328.17</v>
      </c>
      <c r="X1224" s="1090">
        <f t="shared" si="745"/>
        <v>-552.98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0" t="str">
        <f>IF(L1231=0,"",MAX($A$16:A1224)+1)</f>
        <v/>
      </c>
      <c r="B1225" s="2061" t="s">
        <v>1143</v>
      </c>
      <c r="C1225" s="127"/>
      <c r="D1225" s="881" t="s">
        <v>10</v>
      </c>
      <c r="E1225" s="882">
        <v>44853</v>
      </c>
      <c r="F1225" s="71">
        <f t="shared" ref="F1225:F1230" si="747">$L$7-E1225</f>
        <v>1408</v>
      </c>
      <c r="G1225" s="63">
        <v>0</v>
      </c>
      <c r="H1225" s="64"/>
      <c r="I1225" s="64"/>
      <c r="J1225" s="1367"/>
      <c r="K1225" s="64">
        <f>IFERROR(SUMIF(INTAKE!$A:$A,$T1225,INTAKE!$P:$P),0)</f>
        <v>0</v>
      </c>
      <c r="L1225" s="1534">
        <f t="shared" ref="L1225:L1230" si="748">+G1225+H1225+I1225-J1225-K1225</f>
        <v>0</v>
      </c>
      <c r="M1225" s="50"/>
      <c r="N1225" s="50"/>
      <c r="O1225" s="50"/>
      <c r="P1225" s="744"/>
      <c r="Q1225" s="795"/>
      <c r="R1225" s="785">
        <f>IFERROR(VLOOKUP($Q1225,'391'!$S:$Z,8,0),"")</f>
        <v>0</v>
      </c>
      <c r="S1225" s="796"/>
      <c r="T1225" s="797" t="str">
        <f t="shared" ref="T1225:T1230" si="749">$Q$1230&amp;C1225&amp;E1225</f>
        <v>LignoBond DD (NORWAY)44853</v>
      </c>
      <c r="U1225" s="797"/>
      <c r="V1225" s="797"/>
      <c r="W1225" s="785">
        <f>IFERROR(VLOOKUP($Q1225,'391'!$S:$AG,15,0),0)</f>
        <v>0</v>
      </c>
      <c r="X1225" s="1090">
        <f t="shared" si="745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31"/>
      <c r="B1226" s="2063"/>
      <c r="C1226" s="127"/>
      <c r="D1226" s="881" t="s">
        <v>10</v>
      </c>
      <c r="E1226" s="882">
        <v>45801</v>
      </c>
      <c r="F1226" s="71">
        <f t="shared" si="747"/>
        <v>460</v>
      </c>
      <c r="G1226" s="63">
        <v>0</v>
      </c>
      <c r="H1226" s="64"/>
      <c r="I1226" s="64"/>
      <c r="J1226" s="1367"/>
      <c r="K1226" s="1348">
        <f>IFERROR(SUMIF(INTAKE!$A:$A,$T1226,INTAKE!$P:$P),0)</f>
        <v>0</v>
      </c>
      <c r="L1226" s="1703">
        <f t="shared" si="748"/>
        <v>0</v>
      </c>
      <c r="M1226" s="48"/>
      <c r="N1226" s="48"/>
      <c r="O1226" s="48"/>
      <c r="P1226" s="738"/>
      <c r="Q1226" s="795" t="s">
        <v>1145</v>
      </c>
      <c r="R1226" s="785" t="str">
        <f>IFERROR(VLOOKUP($Q1226,'391'!$S:$Z,8,0),"0")</f>
        <v>0</v>
      </c>
      <c r="S1226" s="796"/>
      <c r="T1226" s="797" t="str">
        <f t="shared" si="749"/>
        <v>LignoBond DD (NORWAY)45801</v>
      </c>
      <c r="U1226" s="797"/>
      <c r="V1226" s="797"/>
      <c r="W1226" s="785">
        <f>IFERROR(VLOOKUP($Q1226,'391'!$S:$AG,15,0),0)</f>
        <v>0</v>
      </c>
      <c r="X1226" s="1090">
        <f t="shared" si="745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1"/>
      <c r="B1227" s="2063"/>
      <c r="C1227" s="127" t="s">
        <v>581</v>
      </c>
      <c r="D1227" s="881" t="s">
        <v>10</v>
      </c>
      <c r="E1227" s="882">
        <v>45862</v>
      </c>
      <c r="F1227" s="71">
        <f t="shared" ref="F1227" si="750">$L$7-E1227</f>
        <v>399</v>
      </c>
      <c r="G1227" s="63">
        <v>0</v>
      </c>
      <c r="H1227" s="64"/>
      <c r="I1227" s="64"/>
      <c r="J1227" s="1367"/>
      <c r="K1227" s="1348">
        <f>IFERROR(SUMIF(INTAKE!$A:$A,$T1227,INTAKE!$P:$P),0)</f>
        <v>0</v>
      </c>
      <c r="L1227" s="1703">
        <f t="shared" si="748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49"/>
        <v>LignoBond DD (NORWAY)V5.145862</v>
      </c>
      <c r="U1227" s="797"/>
      <c r="V1227" s="797"/>
      <c r="W1227" s="785">
        <f>IFERROR(VLOOKUP($Q1227,'391'!$S:$AG,15,0),0)</f>
        <v>0</v>
      </c>
      <c r="X1227" s="1090">
        <f t="shared" si="745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265" customFormat="1" ht="30" hidden="1" customHeight="1" x14ac:dyDescent="0.25">
      <c r="A1228" s="2194"/>
      <c r="B1228" s="2062"/>
      <c r="C1228" s="127"/>
      <c r="D1228" s="881" t="s">
        <v>10</v>
      </c>
      <c r="E1228" s="882">
        <v>45862</v>
      </c>
      <c r="F1228" s="71">
        <f t="shared" si="747"/>
        <v>399</v>
      </c>
      <c r="G1228" s="63">
        <v>0</v>
      </c>
      <c r="H1228" s="64"/>
      <c r="I1228" s="64"/>
      <c r="J1228" s="1367"/>
      <c r="K1228" s="64">
        <f>IFERROR(SUMIF(INTAKE!$A:$A,$T1228,INTAKE!$P:$P),0)</f>
        <v>0</v>
      </c>
      <c r="L1228" s="1703">
        <f t="shared" si="748"/>
        <v>0</v>
      </c>
      <c r="M1228" s="45"/>
      <c r="N1228" s="45"/>
      <c r="O1228" s="45"/>
      <c r="P1228" s="736"/>
      <c r="Q1228" s="795"/>
      <c r="R1228" s="785">
        <f>IFERROR(VLOOKUP($Q1228,'391'!$S:$Z,8,0),"")</f>
        <v>0</v>
      </c>
      <c r="S1228" s="796"/>
      <c r="T1228" s="797" t="str">
        <f t="shared" si="749"/>
        <v>LignoBond DD (NORWAY)45862</v>
      </c>
      <c r="U1228" s="797"/>
      <c r="V1228" s="797"/>
      <c r="W1228" s="785">
        <f>IFERROR(VLOOKUP($Q1228,'391'!$S:$AG,15,0),0)</f>
        <v>0</v>
      </c>
      <c r="X1228" s="1090">
        <f t="shared" si="745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2031"/>
      <c r="B1229" s="2063"/>
      <c r="C1229" s="127"/>
      <c r="D1229" s="881" t="s">
        <v>10</v>
      </c>
      <c r="E1229" s="882">
        <v>44755</v>
      </c>
      <c r="F1229" s="71">
        <f t="shared" si="747"/>
        <v>1506</v>
      </c>
      <c r="G1229" s="63">
        <v>0</v>
      </c>
      <c r="H1229" s="64"/>
      <c r="I1229" s="64"/>
      <c r="J1229" s="1367"/>
      <c r="K1229" s="64">
        <f>IFERROR(SUMIF(INTAKE!$A:$A,$T1229,INTAKE!$P:$P),0)</f>
        <v>0</v>
      </c>
      <c r="L1229" s="1534">
        <f t="shared" si="748"/>
        <v>0</v>
      </c>
      <c r="M1229" s="45"/>
      <c r="N1229" s="45"/>
      <c r="O1229" s="45"/>
      <c r="P1229" s="736"/>
      <c r="Q1229" s="795"/>
      <c r="R1229" s="785">
        <f>IFERROR(VLOOKUP($Q1229,'391'!$S:$Z,8,0),"")</f>
        <v>0</v>
      </c>
      <c r="S1229" s="796"/>
      <c r="T1229" s="797" t="str">
        <f t="shared" si="749"/>
        <v>LignoBond DD (NORWAY)44755</v>
      </c>
      <c r="U1229" s="797"/>
      <c r="V1229" s="797"/>
      <c r="W1229" s="785">
        <f>IFERROR(VLOOKUP($Q1229,'391'!$S:$AG,15,0),0)</f>
        <v>0</v>
      </c>
      <c r="X1229" s="1090">
        <f t="shared" si="745"/>
        <v>0</v>
      </c>
      <c r="Y1229" s="785"/>
      <c r="Z1229" s="785"/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418" customFormat="1" ht="30" hidden="1" customHeight="1" x14ac:dyDescent="0.25">
      <c r="A1230" s="2032"/>
      <c r="B1230" s="2064"/>
      <c r="C1230" s="108" t="s">
        <v>46</v>
      </c>
      <c r="D1230" s="863" t="s">
        <v>10</v>
      </c>
      <c r="E1230" s="886">
        <v>45862</v>
      </c>
      <c r="F1230" s="39">
        <f t="shared" si="747"/>
        <v>399</v>
      </c>
      <c r="G1230" s="37">
        <v>0</v>
      </c>
      <c r="H1230" s="37"/>
      <c r="I1230" s="37">
        <f>+SUM(K1225:K1229)</f>
        <v>0</v>
      </c>
      <c r="J1230" s="1385">
        <f>+usage!I117</f>
        <v>0</v>
      </c>
      <c r="K1230" s="64">
        <f>IFERROR(SUMIF(INTAKE!$A:$A,$T1230,INTAKE!$P:$P),0)</f>
        <v>0</v>
      </c>
      <c r="L1230" s="1534">
        <f t="shared" si="748"/>
        <v>0</v>
      </c>
      <c r="M1230" s="35"/>
      <c r="N1230" s="35"/>
      <c r="O1230" s="35"/>
      <c r="P1230" s="740"/>
      <c r="Q1230" s="795" t="s">
        <v>881</v>
      </c>
      <c r="R1230" s="785" t="str">
        <f>IFERROR(VLOOKUP($Q1230,'391'!$S:$Z,8,0),"0")</f>
        <v>0</v>
      </c>
      <c r="S1230" s="796"/>
      <c r="T1230" s="797" t="str">
        <f t="shared" si="749"/>
        <v>LignoBond DD (NORWAY)Feedmill45862</v>
      </c>
      <c r="U1230" s="797"/>
      <c r="V1230" s="797"/>
      <c r="W1230" s="785">
        <f>IFERROR(VLOOKUP($Q1230,'391'!$S:$AG,15,0),0)</f>
        <v>0</v>
      </c>
      <c r="X1230" s="1090">
        <f t="shared" si="745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184"/>
      <c r="B1231" s="184" t="s">
        <v>229</v>
      </c>
      <c r="C1231" s="575"/>
      <c r="D1231" s="900"/>
      <c r="E1231" s="901"/>
      <c r="F1231" s="902"/>
      <c r="G1231" s="1337">
        <v>0</v>
      </c>
      <c r="H1231" s="1337">
        <f t="shared" ref="H1231:I1231" si="751">SUM(H1225:H1230)</f>
        <v>0</v>
      </c>
      <c r="I1231" s="1337">
        <f t="shared" si="751"/>
        <v>0</v>
      </c>
      <c r="J1231" s="1337">
        <f t="shared" ref="J1231:L1231" si="752">SUM(J1225:J1230)</f>
        <v>0</v>
      </c>
      <c r="K1231" s="1337">
        <f t="shared" si="752"/>
        <v>0</v>
      </c>
      <c r="L1231" s="1337">
        <f t="shared" si="752"/>
        <v>0</v>
      </c>
      <c r="M1231" s="59">
        <f>IFERROR(S1231/$S$2,"")</f>
        <v>0</v>
      </c>
      <c r="N1231" s="854">
        <f>IFERROR(L1231/M1231,0)</f>
        <v>0</v>
      </c>
      <c r="O1231" s="59">
        <f>IFERROR(SUMIF(ETM!$A:$A,$Q1231,ETM!$E:$E),"")</f>
        <v>0</v>
      </c>
      <c r="P1231" s="880">
        <f>IFERROR(L1231/O1231,0)</f>
        <v>0</v>
      </c>
      <c r="Q1231" s="795" t="s">
        <v>228</v>
      </c>
      <c r="R1231" s="785" t="str">
        <f>IFERROR(VLOOKUP($Q1231,'391'!$S:$Z,8,0),"0")</f>
        <v>0</v>
      </c>
      <c r="S1231" s="819">
        <f>+R1231+R1230+R1226</f>
        <v>0</v>
      </c>
      <c r="T1231" s="797"/>
      <c r="U1231" s="797"/>
      <c r="V1231" s="797"/>
      <c r="W1231" s="785">
        <f>IFERROR(VLOOKUP($Q1231,'391'!$S:$AG,15,0),0)</f>
        <v>0</v>
      </c>
      <c r="X1231" s="1090">
        <f t="shared" si="745"/>
        <v>0</v>
      </c>
      <c r="Y1231" s="1088">
        <f>+W1230+W1231+W1226</f>
        <v>0</v>
      </c>
      <c r="Z1231" s="1091">
        <f>G1231-Y1231</f>
        <v>0</v>
      </c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hidden="1" customHeight="1" x14ac:dyDescent="0.25">
      <c r="A1232" s="2030">
        <f>IF(L1239=0,"",MAX($A$16:A1231)+1)</f>
        <v>82</v>
      </c>
      <c r="B1232" s="2027" t="s">
        <v>1515</v>
      </c>
      <c r="C1232" s="127"/>
      <c r="D1232" s="881" t="s">
        <v>10</v>
      </c>
      <c r="E1232" s="888">
        <v>46031</v>
      </c>
      <c r="F1232" s="70">
        <f t="shared" ref="F1232:F1234" si="753">$L$7-E1232</f>
        <v>230</v>
      </c>
      <c r="G1232" s="63">
        <v>0</v>
      </c>
      <c r="H1232" s="63"/>
      <c r="I1232" s="63"/>
      <c r="J1232" s="1378"/>
      <c r="K1232" s="63">
        <f>IFERROR(SUMIF(INTAKE!$A:$A,$T1232,INTAKE!$P:$P),0)</f>
        <v>0</v>
      </c>
      <c r="L1232" s="1703">
        <f t="shared" ref="L1232:L1238" si="754">+G1232+H1232+I1232-J1232-K1232</f>
        <v>0</v>
      </c>
      <c r="M1232" s="50"/>
      <c r="N1232" s="167"/>
      <c r="O1232" s="50"/>
      <c r="P1232" s="857"/>
      <c r="Q1232" s="795"/>
      <c r="R1232" s="785">
        <f>IFERROR(VLOOKUP($Q1232,'391'!$S:$Z,8,0),"")</f>
        <v>0</v>
      </c>
      <c r="S1232" s="796"/>
      <c r="T1232" s="797" t="str">
        <f t="shared" ref="T1232:T1238" si="755">$Q$1239&amp;C1232&amp;E1232</f>
        <v>Microplex 1000ppm(USA)46031</v>
      </c>
      <c r="U1232" s="797"/>
      <c r="V1232" s="797"/>
      <c r="W1232" s="785">
        <f>IFERROR(VLOOKUP($Q1232,'391'!$S:$AG,15,0),0)</f>
        <v>0</v>
      </c>
      <c r="X1232" s="1090">
        <f t="shared" si="745"/>
        <v>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hidden="1" customHeight="1" x14ac:dyDescent="0.25">
      <c r="A1233" s="2031"/>
      <c r="B1233" s="2028"/>
      <c r="C1233" s="127"/>
      <c r="D1233" s="881" t="s">
        <v>10</v>
      </c>
      <c r="E1233" s="888">
        <v>46141</v>
      </c>
      <c r="F1233" s="70">
        <f t="shared" si="753"/>
        <v>120</v>
      </c>
      <c r="G1233" s="63">
        <v>0</v>
      </c>
      <c r="H1233" s="63"/>
      <c r="I1233" s="63"/>
      <c r="J1233" s="1378"/>
      <c r="K1233" s="63">
        <f>IFERROR(SUMIF(INTAKE!$A:$A,$T1233,INTAKE!$P:$P),0)</f>
        <v>0</v>
      </c>
      <c r="L1233" s="1703">
        <f t="shared" si="754"/>
        <v>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5"/>
        <v>Microplex 1000ppm(USA)46141</v>
      </c>
      <c r="U1233" s="797"/>
      <c r="V1233" s="797"/>
      <c r="W1233" s="785">
        <f>IFERROR(VLOOKUP($Q1233,'391'!$S:$AG,15,0),0)</f>
        <v>0</v>
      </c>
      <c r="X1233" s="1090">
        <f t="shared" si="745"/>
        <v>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1"/>
      <c r="B1234" s="2028"/>
      <c r="C1234" s="127" t="s">
        <v>138</v>
      </c>
      <c r="D1234" s="881" t="s">
        <v>10</v>
      </c>
      <c r="E1234" s="888">
        <v>46220</v>
      </c>
      <c r="F1234" s="70">
        <f t="shared" si="753"/>
        <v>41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703">
        <f t="shared" si="754"/>
        <v>0</v>
      </c>
      <c r="M1234" s="48"/>
      <c r="N1234" s="48"/>
      <c r="O1234" s="48"/>
      <c r="P1234" s="738"/>
      <c r="Q1234" s="795"/>
      <c r="R1234" s="785">
        <f>IFERROR(VLOOKUP($Q1234,'391'!$S:$Z,8,0),"")</f>
        <v>0</v>
      </c>
      <c r="S1234" s="796"/>
      <c r="T1234" s="797" t="str">
        <f t="shared" si="755"/>
        <v>Microplex 1000ppm(USA)Z5.146220</v>
      </c>
      <c r="U1234" s="797"/>
      <c r="V1234" s="797"/>
      <c r="W1234" s="785">
        <f>IFERROR(VLOOKUP($Q1234,'391'!$S:$AG,15,0),0)</f>
        <v>0</v>
      </c>
      <c r="X1234" s="1090">
        <f t="shared" si="745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customHeight="1" x14ac:dyDescent="0.25">
      <c r="A1235" s="2031"/>
      <c r="B1235" s="2028"/>
      <c r="C1235" s="127" t="s">
        <v>138</v>
      </c>
      <c r="D1235" s="881" t="s">
        <v>10</v>
      </c>
      <c r="E1235" s="888">
        <v>46247</v>
      </c>
      <c r="F1235" s="70">
        <f t="shared" ref="F1235:F1238" si="756">$L$7-E1235</f>
        <v>14</v>
      </c>
      <c r="G1235" s="63">
        <v>500</v>
      </c>
      <c r="H1235" s="63"/>
      <c r="I1235" s="63"/>
      <c r="J1235" s="1378"/>
      <c r="K1235" s="63">
        <f>IFERROR(SUMIF(INTAKE!$A:$A,$T1235,INTAKE!$P:$P),0)</f>
        <v>50</v>
      </c>
      <c r="L1235" s="1534">
        <f t="shared" si="754"/>
        <v>450</v>
      </c>
      <c r="M1235" s="48"/>
      <c r="N1235" s="48"/>
      <c r="O1235" s="48"/>
      <c r="P1235" s="738"/>
      <c r="Q1235" s="795"/>
      <c r="R1235" s="785">
        <f>IFERROR(VLOOKUP($Q1235,'391'!$S:$Z,8,0),"")</f>
        <v>0</v>
      </c>
      <c r="S1235" s="796"/>
      <c r="T1235" s="797" t="str">
        <f t="shared" si="755"/>
        <v>Microplex 1000ppm(USA)Z5.146247</v>
      </c>
      <c r="U1235" s="797"/>
      <c r="V1235" s="797"/>
      <c r="W1235" s="785">
        <f>IFERROR(VLOOKUP($Q1235,'391'!$S:$AG,15,0),0)</f>
        <v>0</v>
      </c>
      <c r="X1235" s="1090">
        <f t="shared" si="745"/>
        <v>500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265" customFormat="1" ht="30" hidden="1" customHeight="1" x14ac:dyDescent="0.25">
      <c r="A1236" s="2031"/>
      <c r="B1236" s="2028"/>
      <c r="C1236" s="127"/>
      <c r="D1236" s="881" t="s">
        <v>10</v>
      </c>
      <c r="E1236" s="888">
        <v>44547</v>
      </c>
      <c r="F1236" s="70">
        <f t="shared" si="756"/>
        <v>1714</v>
      </c>
      <c r="G1236" s="63">
        <v>0</v>
      </c>
      <c r="H1236" s="63"/>
      <c r="I1236" s="63"/>
      <c r="J1236" s="1378"/>
      <c r="K1236" s="63">
        <f>IFERROR(SUMIF(INTAKE!$A:$A,$T1236,INTAKE!$P:$P),0)</f>
        <v>0</v>
      </c>
      <c r="L1236" s="1534">
        <f t="shared" si="754"/>
        <v>0</v>
      </c>
      <c r="M1236" s="45"/>
      <c r="N1236" s="45"/>
      <c r="O1236" s="45"/>
      <c r="P1236" s="736"/>
      <c r="Q1236" s="795"/>
      <c r="R1236" s="785">
        <f>IFERROR(VLOOKUP($Q1236,'391'!$S:$Z,8,0),"")</f>
        <v>0</v>
      </c>
      <c r="S1236" s="796"/>
      <c r="T1236" s="797" t="str">
        <f t="shared" si="755"/>
        <v>Microplex 1000ppm(USA)44547</v>
      </c>
      <c r="U1236" s="797"/>
      <c r="V1236" s="797"/>
      <c r="W1236" s="785">
        <f>IFERROR(VLOOKUP($Q1236,'391'!$S:$AG,15,0),0)</f>
        <v>0</v>
      </c>
      <c r="X1236" s="1090">
        <f t="shared" si="745"/>
        <v>0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hidden="1" customHeight="1" x14ac:dyDescent="0.25">
      <c r="A1237" s="2031"/>
      <c r="B1237" s="2028"/>
      <c r="C1237" s="127"/>
      <c r="D1237" s="881" t="s">
        <v>10</v>
      </c>
      <c r="E1237" s="888">
        <v>44309</v>
      </c>
      <c r="F1237" s="70">
        <f t="shared" si="756"/>
        <v>1952</v>
      </c>
      <c r="G1237" s="63">
        <v>0</v>
      </c>
      <c r="H1237" s="63"/>
      <c r="I1237" s="63"/>
      <c r="J1237" s="1378"/>
      <c r="K1237" s="63">
        <f>IFERROR(SUMIF(INTAKE!$A:$A,$T1237,INTAKE!$P:$P),0)</f>
        <v>0</v>
      </c>
      <c r="L1237" s="1534">
        <f t="shared" si="754"/>
        <v>0</v>
      </c>
      <c r="M1237" s="45"/>
      <c r="N1237" s="45"/>
      <c r="O1237" s="45"/>
      <c r="P1237" s="736"/>
      <c r="Q1237" s="795"/>
      <c r="R1237" s="785">
        <f>IFERROR(VLOOKUP($Q1237,'391'!$S:$Z,8,0),"")</f>
        <v>0</v>
      </c>
      <c r="S1237" s="796"/>
      <c r="T1237" s="797" t="str">
        <f t="shared" si="755"/>
        <v>Microplex 1000ppm(USA)44309</v>
      </c>
      <c r="U1237" s="797"/>
      <c r="V1237" s="797"/>
      <c r="W1237" s="785">
        <f>IFERROR(VLOOKUP($Q1237,'391'!$S:$AG,15,0),0)</f>
        <v>0</v>
      </c>
      <c r="X1237" s="1090">
        <f t="shared" si="745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418" customFormat="1" ht="30" customHeight="1" x14ac:dyDescent="0.25">
      <c r="A1238" s="2032"/>
      <c r="B1238" s="2029"/>
      <c r="C1238" s="108" t="s">
        <v>46</v>
      </c>
      <c r="D1238" s="863" t="s">
        <v>10</v>
      </c>
      <c r="E1238" s="886">
        <v>46247</v>
      </c>
      <c r="F1238" s="39">
        <f t="shared" si="756"/>
        <v>14</v>
      </c>
      <c r="G1238" s="37">
        <v>46.400000000000027</v>
      </c>
      <c r="H1238" s="37"/>
      <c r="I1238" s="37">
        <f>+SUM(K1232:K1237)</f>
        <v>50</v>
      </c>
      <c r="J1238" s="1385">
        <f>+usage!I127</f>
        <v>0</v>
      </c>
      <c r="K1238" s="63">
        <f>IFERROR(SUMIF(INTAKE!$A:$A,$T1238,INTAKE!$P:$P),0)</f>
        <v>0</v>
      </c>
      <c r="L1238" s="1534">
        <f t="shared" si="754"/>
        <v>96.400000000000034</v>
      </c>
      <c r="M1238" s="35"/>
      <c r="N1238" s="35"/>
      <c r="O1238" s="35"/>
      <c r="P1238" s="740"/>
      <c r="Q1238" s="795"/>
      <c r="R1238" s="785">
        <f>IFERROR(VLOOKUP($Q1238,'391'!$S:$Z,8,0),"")</f>
        <v>0</v>
      </c>
      <c r="S1238" s="796"/>
      <c r="T1238" s="797" t="str">
        <f t="shared" si="755"/>
        <v>Microplex 1000ppm(USA)Feedmill46247</v>
      </c>
      <c r="U1238" s="797"/>
      <c r="V1238" s="797"/>
      <c r="W1238" s="785">
        <f>IFERROR(VLOOKUP($Q1238,'391'!$S:$AG,15,0),0)</f>
        <v>0</v>
      </c>
      <c r="X1238" s="1090">
        <f t="shared" si="745"/>
        <v>46.400000000000027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customHeight="1" x14ac:dyDescent="0.25">
      <c r="A1239" s="184"/>
      <c r="B1239" s="184" t="s">
        <v>231</v>
      </c>
      <c r="C1239" s="575"/>
      <c r="D1239" s="900"/>
      <c r="E1239" s="901"/>
      <c r="F1239" s="902"/>
      <c r="G1239" s="1337">
        <v>546.4</v>
      </c>
      <c r="H1239" s="1337">
        <f t="shared" ref="H1239:I1239" si="757">+SUM(H1232:H1238)</f>
        <v>0</v>
      </c>
      <c r="I1239" s="1337">
        <f t="shared" si="757"/>
        <v>50</v>
      </c>
      <c r="J1239" s="1337">
        <f t="shared" ref="J1239:L1239" si="758">+SUM(J1232:J1238)</f>
        <v>0</v>
      </c>
      <c r="K1239" s="1337">
        <f t="shared" si="758"/>
        <v>50</v>
      </c>
      <c r="L1239" s="1337">
        <f t="shared" si="758"/>
        <v>546.40000000000009</v>
      </c>
      <c r="M1239" s="59">
        <f>IFERROR(R1239/$S$2,"")</f>
        <v>22.283333333333331</v>
      </c>
      <c r="N1239" s="366">
        <f>IFERROR((L1239/M1239),"")</f>
        <v>24.520568436798808</v>
      </c>
      <c r="O1239" s="59">
        <f>IFERROR(SUMIF(ETM!$A:$A,$Q1239,ETM!$E:$E),"")</f>
        <v>25.333333333333332</v>
      </c>
      <c r="P1239" s="880">
        <f>IFERROR(L1239/O1239,0)</f>
        <v>21.568421052631585</v>
      </c>
      <c r="Q1239" s="795" t="s">
        <v>838</v>
      </c>
      <c r="R1239" s="785">
        <f>IFERROR(VLOOKUP($Q1239,'391'!$S:$Z,8,0),"")</f>
        <v>133.69999999999999</v>
      </c>
      <c r="S1239" s="796"/>
      <c r="T1239" s="797"/>
      <c r="U1239" s="797"/>
      <c r="V1239" s="797"/>
      <c r="W1239" s="785">
        <f>IFERROR(VLOOKUP($Q1239,'391'!$S:$AG,15,0),0)</f>
        <v>596.30000000000007</v>
      </c>
      <c r="X1239" s="1090">
        <f t="shared" si="745"/>
        <v>-49.900000000000091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265" customFormat="1" ht="30" hidden="1" customHeight="1" x14ac:dyDescent="0.25">
      <c r="A1240" s="2030" t="str">
        <f>IF(L1243=0,"",MAX($A$16:A1239)+1)</f>
        <v/>
      </c>
      <c r="B1240" s="2046" t="s">
        <v>1628</v>
      </c>
      <c r="C1240" s="160"/>
      <c r="D1240" s="936" t="s">
        <v>10</v>
      </c>
      <c r="E1240" s="882">
        <v>44148</v>
      </c>
      <c r="F1240" s="71">
        <f>$L$7-E1240</f>
        <v>2113</v>
      </c>
      <c r="G1240" s="64">
        <v>0</v>
      </c>
      <c r="H1240" s="1332"/>
      <c r="I1240" s="1332"/>
      <c r="J1240" s="1418"/>
      <c r="K1240" s="1410"/>
      <c r="L1240" s="1534">
        <f t="shared" ref="L1240:L1250" si="759">+G1240+H1240+I1240-J1240-K1240</f>
        <v>0</v>
      </c>
      <c r="M1240" s="50"/>
      <c r="N1240" s="167"/>
      <c r="O1240" s="1452"/>
      <c r="P1240" s="1479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5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2031"/>
      <c r="B1241" s="2068"/>
      <c r="C1241" s="160"/>
      <c r="D1241" s="936" t="s">
        <v>10</v>
      </c>
      <c r="E1241" s="882">
        <v>45870</v>
      </c>
      <c r="F1241" s="71">
        <f>$L$7-E1241</f>
        <v>391</v>
      </c>
      <c r="G1241" s="64">
        <v>0</v>
      </c>
      <c r="H1241" s="64"/>
      <c r="I1241" s="64"/>
      <c r="J1241" s="1367"/>
      <c r="K1241" s="1410"/>
      <c r="L1241" s="1534">
        <f t="shared" si="759"/>
        <v>0</v>
      </c>
      <c r="M1241" s="1453"/>
      <c r="N1241" s="1460"/>
      <c r="O1241" s="1453"/>
      <c r="P1241" s="1480"/>
      <c r="Q1241" s="795"/>
      <c r="R1241" s="785">
        <f>IFERROR(VLOOKUP($Q1241,'391'!$S:$Z,8,0),"")</f>
        <v>0</v>
      </c>
      <c r="S1241" s="796"/>
      <c r="T1241" s="797" t="str">
        <f>$Q$1243&amp;C1241&amp;E1241</f>
        <v>Rovimix E-50 Adsorbate(Switzerland)45870</v>
      </c>
      <c r="U1241" s="797"/>
      <c r="V1241" s="797"/>
      <c r="W1241" s="785">
        <f>IFERROR(VLOOKUP($Q1241,'391'!$S:$AG,15,0),0)</f>
        <v>0</v>
      </c>
      <c r="X1241" s="1090">
        <f t="shared" si="745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418" customFormat="1" ht="30" hidden="1" customHeight="1" x14ac:dyDescent="0.25">
      <c r="A1242" s="2032"/>
      <c r="B1242" s="2047"/>
      <c r="C1242" s="108" t="s">
        <v>76</v>
      </c>
      <c r="D1242" s="863" t="s">
        <v>10</v>
      </c>
      <c r="E1242" s="886">
        <v>45870</v>
      </c>
      <c r="F1242" s="39">
        <f>$L$7-E1242</f>
        <v>391</v>
      </c>
      <c r="G1242" s="37">
        <v>0</v>
      </c>
      <c r="H1242" s="37"/>
      <c r="I1242" s="56">
        <f>SUM(K1240:K1241)</f>
        <v>0</v>
      </c>
      <c r="J1242" s="1369"/>
      <c r="K1242" s="56"/>
      <c r="L1242" s="1534">
        <f t="shared" si="759"/>
        <v>0</v>
      </c>
      <c r="M1242" s="1453"/>
      <c r="N1242" s="1460"/>
      <c r="O1242" s="1453"/>
      <c r="P1242" s="1480"/>
      <c r="Q1242" s="795"/>
      <c r="R1242" s="785">
        <f>IFERROR(VLOOKUP($Q1242,'391'!$S:$Z,8,0),"")</f>
        <v>0</v>
      </c>
      <c r="S1242" s="796"/>
      <c r="T1242" s="797"/>
      <c r="U1242" s="797"/>
      <c r="V1242" s="797"/>
      <c r="W1242" s="785">
        <f>IFERROR(VLOOKUP($Q1242,'391'!$S:$AG,15,0),0)</f>
        <v>0</v>
      </c>
      <c r="X1242" s="1090">
        <f t="shared" si="745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184"/>
      <c r="B1243" s="184" t="s">
        <v>1629</v>
      </c>
      <c r="C1243" s="575"/>
      <c r="D1243" s="900"/>
      <c r="E1243" s="901"/>
      <c r="F1243" s="902"/>
      <c r="G1243" s="1337">
        <v>0</v>
      </c>
      <c r="H1243" s="1337">
        <f t="shared" ref="H1243:L1243" si="760">+SUM(H1240:H1242)</f>
        <v>0</v>
      </c>
      <c r="I1243" s="1337">
        <f t="shared" si="760"/>
        <v>0</v>
      </c>
      <c r="J1243" s="1337">
        <f>+SUM(J1240:J1242)</f>
        <v>0</v>
      </c>
      <c r="K1243" s="1337">
        <f t="shared" si="760"/>
        <v>0</v>
      </c>
      <c r="L1243" s="1337">
        <f t="shared" si="760"/>
        <v>0</v>
      </c>
      <c r="M1243" s="59" t="str">
        <f>IFERROR(R1243/$S$2,"")</f>
        <v/>
      </c>
      <c r="N1243" s="366">
        <f>IFERROR(L1243/M1243,0)</f>
        <v>0</v>
      </c>
      <c r="O1243" s="59">
        <f>IFERROR(SUMIF(ETM!$A:$A,$Q1243,ETM!$E:$E),"")</f>
        <v>0</v>
      </c>
      <c r="P1243" s="880">
        <f>IFERROR(L1243/O1243,0)</f>
        <v>0</v>
      </c>
      <c r="Q1243" s="795" t="s">
        <v>1630</v>
      </c>
      <c r="R1243" s="785" t="str">
        <f>IFERROR(VLOOKUP($Q1243,'391'!$S:$Z,8,0),"")</f>
        <v/>
      </c>
      <c r="S1243" s="796"/>
      <c r="T1243" s="797"/>
      <c r="U1243" s="797"/>
      <c r="V1243" s="797"/>
      <c r="W1243" s="785">
        <f>IFERROR(VLOOKUP($Q1243,'391'!$S:$AG,15,0),0)</f>
        <v>0</v>
      </c>
      <c r="X1243" s="1090">
        <f t="shared" si="745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0">
        <f>IF(L1251=0,"",MAX($A$16:A1243)+1)</f>
        <v>83</v>
      </c>
      <c r="B1244" s="2046" t="s">
        <v>1595</v>
      </c>
      <c r="C1244" s="127"/>
      <c r="D1244" s="881" t="s">
        <v>10</v>
      </c>
      <c r="E1244" s="882">
        <v>44764</v>
      </c>
      <c r="F1244" s="71">
        <f t="shared" ref="F1244:F1250" si="761">$L$7-E1244</f>
        <v>1497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59"/>
        <v>0</v>
      </c>
      <c r="M1244" s="50"/>
      <c r="N1244" s="50"/>
      <c r="O1244" s="50"/>
      <c r="P1244" s="744"/>
      <c r="Q1244" s="795"/>
      <c r="R1244" s="785">
        <f>IFERROR(VLOOKUP($Q1244,'391'!$S:$Z,8,0),"")</f>
        <v>0</v>
      </c>
      <c r="S1244" s="796"/>
      <c r="T1244" s="797" t="str">
        <f t="shared" ref="T1244:T1250" si="762">$Q$1251&amp;C1244&amp;E1244</f>
        <v>Zambac (Viet Nam)44764</v>
      </c>
      <c r="U1244" s="797"/>
      <c r="V1244" s="797"/>
      <c r="W1244" s="785">
        <f>IFERROR(VLOOKUP($Q1244,'391'!$S:$AG,15,0),0)</f>
        <v>0</v>
      </c>
      <c r="X1244" s="1090">
        <f t="shared" si="745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1"/>
      <c r="B1245" s="2068"/>
      <c r="C1245" s="127"/>
      <c r="D1245" s="881" t="s">
        <v>10</v>
      </c>
      <c r="E1245" s="882">
        <v>44837</v>
      </c>
      <c r="F1245" s="71">
        <f t="shared" si="761"/>
        <v>1424</v>
      </c>
      <c r="G1245" s="64">
        <v>0</v>
      </c>
      <c r="H1245" s="64"/>
      <c r="I1245" s="64"/>
      <c r="J1245" s="1367"/>
      <c r="K1245" s="64">
        <f>IFERROR(SUMIF(INTAKE!$A:$A,$T1245,INTAKE!$P:$P),0)</f>
        <v>0</v>
      </c>
      <c r="L1245" s="1534">
        <f t="shared" si="759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2"/>
        <v>Zambac (Viet Nam)44837</v>
      </c>
      <c r="U1245" s="797"/>
      <c r="V1245" s="797"/>
      <c r="W1245" s="785">
        <f>IFERROR(VLOOKUP($Q1245,'391'!$S:$AG,15,0),0)</f>
        <v>0</v>
      </c>
      <c r="X1245" s="1090">
        <f t="shared" si="745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hidden="1" customHeight="1" x14ac:dyDescent="0.25">
      <c r="A1246" s="2031"/>
      <c r="B1246" s="2068"/>
      <c r="C1246" s="127"/>
      <c r="D1246" s="881" t="s">
        <v>10</v>
      </c>
      <c r="E1246" s="882">
        <v>45444</v>
      </c>
      <c r="F1246" s="71">
        <f t="shared" si="761"/>
        <v>817</v>
      </c>
      <c r="G1246" s="64">
        <v>0</v>
      </c>
      <c r="H1246" s="64"/>
      <c r="I1246" s="64"/>
      <c r="J1246" s="1367"/>
      <c r="K1246" s="64">
        <f>IFERROR(SUMIF(INTAKE!$A:$A,$T1246,INTAKE!$P:$P),0)</f>
        <v>0</v>
      </c>
      <c r="L1246" s="1534">
        <f t="shared" si="759"/>
        <v>0</v>
      </c>
      <c r="M1246" s="48"/>
      <c r="N1246" s="48"/>
      <c r="O1246" s="48"/>
      <c r="P1246" s="738"/>
      <c r="Q1246" s="795"/>
      <c r="R1246" s="785">
        <f>IFERROR(VLOOKUP($Q1246,'391'!$S:$Z,8,0),"")</f>
        <v>0</v>
      </c>
      <c r="S1246" s="796"/>
      <c r="T1246" s="797" t="str">
        <f t="shared" si="762"/>
        <v>Zambac (Viet Nam)45444</v>
      </c>
      <c r="U1246" s="797"/>
      <c r="V1246" s="797"/>
      <c r="W1246" s="785">
        <f>IFERROR(VLOOKUP($Q1246,'391'!$S:$AG,15,0),0)</f>
        <v>0</v>
      </c>
      <c r="X1246" s="1090">
        <f t="shared" si="745"/>
        <v>0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30" hidden="1" customHeight="1" x14ac:dyDescent="0.25">
      <c r="A1247" s="2031"/>
      <c r="B1247" s="2068"/>
      <c r="C1247" s="127"/>
      <c r="D1247" s="881" t="s">
        <v>10</v>
      </c>
      <c r="E1247" s="882">
        <v>45801</v>
      </c>
      <c r="F1247" s="71">
        <f t="shared" ref="F1247:F1248" si="763">$L$7-E1247</f>
        <v>460</v>
      </c>
      <c r="G1247" s="64">
        <v>0</v>
      </c>
      <c r="H1247" s="64"/>
      <c r="I1247" s="64"/>
      <c r="J1247" s="1367"/>
      <c r="K1247" s="1348">
        <f>IFERROR(SUMIF(INTAKE!$A:$A,$T1247,INTAKE!$P:$P),0)</f>
        <v>0</v>
      </c>
      <c r="L1247" s="1703">
        <f t="shared" si="759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2"/>
        <v>Zambac (Viet Nam)45801</v>
      </c>
      <c r="U1247" s="797"/>
      <c r="V1247" s="797"/>
      <c r="W1247" s="785">
        <f>IFERROR(VLOOKUP($Q1247,'391'!$S:$AG,15,0),0)</f>
        <v>0</v>
      </c>
      <c r="X1247" s="1090">
        <f t="shared" si="745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1"/>
      <c r="B1248" s="2068"/>
      <c r="C1248" s="127" t="s">
        <v>1313</v>
      </c>
      <c r="D1248" s="881" t="s">
        <v>10</v>
      </c>
      <c r="E1248" s="882">
        <v>46127</v>
      </c>
      <c r="F1248" s="71">
        <f t="shared" si="763"/>
        <v>134</v>
      </c>
      <c r="G1248" s="64">
        <v>125</v>
      </c>
      <c r="H1248" s="64"/>
      <c r="I1248" s="64"/>
      <c r="J1248" s="1367"/>
      <c r="K1248" s="1348">
        <f>IFERROR(SUMIF(INTAKE!$A:$A,$T1248,INTAKE!$P:$P),0)</f>
        <v>0</v>
      </c>
      <c r="L1248" s="1703">
        <f t="shared" si="759"/>
        <v>125</v>
      </c>
      <c r="M1248" s="48"/>
      <c r="N1248" s="48"/>
      <c r="O1248" s="48"/>
      <c r="P1248" s="738"/>
      <c r="Q1248" s="666" t="s">
        <v>862</v>
      </c>
      <c r="R1248" s="785" t="str">
        <f>IFERROR(VLOOKUP($Q1248,'391'!$S:$Z,8,0),"")</f>
        <v/>
      </c>
      <c r="S1248" s="796"/>
      <c r="T1248" s="797" t="str">
        <f>$Q$1251&amp;C1248&amp;E1248</f>
        <v>Zambac (Viet Nam)E246127</v>
      </c>
      <c r="U1248" s="797"/>
      <c r="V1248" s="797"/>
      <c r="W1248" s="785">
        <f>IFERROR(VLOOKUP($Q1248,'391'!$S:$AG,15,0),0)</f>
        <v>0</v>
      </c>
      <c r="X1248" s="1090">
        <f t="shared" si="745"/>
        <v>125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29.25" hidden="1" customHeight="1" x14ac:dyDescent="0.25">
      <c r="A1249" s="2031"/>
      <c r="B1249" s="2068"/>
      <c r="C1249" s="127"/>
      <c r="D1249" s="881" t="s">
        <v>10</v>
      </c>
      <c r="E1249" s="882">
        <v>46127</v>
      </c>
      <c r="F1249" s="71">
        <f t="shared" si="761"/>
        <v>134</v>
      </c>
      <c r="G1249" s="64">
        <v>0</v>
      </c>
      <c r="H1249" s="64"/>
      <c r="I1249" s="64"/>
      <c r="J1249" s="1367"/>
      <c r="K1249" s="64">
        <f>IFERROR(SUMIF(INTAKE!$A:$A,$T1249,INTAKE!$P:$P),0)</f>
        <v>0</v>
      </c>
      <c r="L1249" s="1703">
        <f t="shared" si="759"/>
        <v>0</v>
      </c>
      <c r="M1249" s="48"/>
      <c r="N1249" s="48"/>
      <c r="O1249" s="48"/>
      <c r="P1249" s="738"/>
      <c r="Q1249" s="795"/>
      <c r="R1249" s="785">
        <f>IFERROR(VLOOKUP($Q1249,'391'!$S:$Z,8,0),"")</f>
        <v>0</v>
      </c>
      <c r="S1249" s="796"/>
      <c r="T1249" s="797" t="str">
        <f t="shared" si="762"/>
        <v>Zambac (Viet Nam)46127</v>
      </c>
      <c r="U1249" s="797"/>
      <c r="V1249" s="797"/>
      <c r="W1249" s="785">
        <f>IFERROR(VLOOKUP($Q1249,'391'!$S:$AG,15,0),0)</f>
        <v>0</v>
      </c>
      <c r="X1249" s="1090">
        <f t="shared" si="745"/>
        <v>0</v>
      </c>
      <c r="Y1249" s="785"/>
      <c r="Z1249" s="785"/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customHeight="1" x14ac:dyDescent="0.25">
      <c r="A1250" s="2032"/>
      <c r="B1250" s="2047"/>
      <c r="C1250" s="108" t="s">
        <v>46</v>
      </c>
      <c r="D1250" s="863" t="s">
        <v>10</v>
      </c>
      <c r="E1250" s="886">
        <v>46127</v>
      </c>
      <c r="F1250" s="39">
        <f t="shared" si="761"/>
        <v>134</v>
      </c>
      <c r="G1250" s="37">
        <v>18.3</v>
      </c>
      <c r="H1250" s="37"/>
      <c r="I1250" s="37">
        <f>+SUM(K1244:K1249)</f>
        <v>0</v>
      </c>
      <c r="J1250" s="1385">
        <f>+usage!I133</f>
        <v>0</v>
      </c>
      <c r="K1250" s="64">
        <f>IFERROR(SUMIF(INTAKE!$A:$A,$T1250,INTAKE!$P:$P),0)</f>
        <v>0</v>
      </c>
      <c r="L1250" s="1534">
        <f t="shared" si="759"/>
        <v>18.3</v>
      </c>
      <c r="M1250" s="35"/>
      <c r="N1250" s="35"/>
      <c r="O1250" s="35"/>
      <c r="P1250" s="740"/>
      <c r="Q1250" s="666" t="s">
        <v>922</v>
      </c>
      <c r="R1250" s="785" t="str">
        <f>IFERROR(VLOOKUP($Q1250,'391'!$S:$Z,8,0),"0")</f>
        <v>0</v>
      </c>
      <c r="S1250" s="796"/>
      <c r="T1250" s="797" t="str">
        <f t="shared" si="762"/>
        <v>Zambac (Viet Nam)Feedmill46127</v>
      </c>
      <c r="U1250" s="797"/>
      <c r="V1250" s="797"/>
      <c r="W1250" s="785">
        <f>IFERROR(VLOOKUP($Q1250,'391'!$S:$AG,15,0),0)</f>
        <v>0</v>
      </c>
      <c r="X1250" s="1090">
        <f t="shared" si="745"/>
        <v>18.3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184"/>
      <c r="B1251" s="184" t="s">
        <v>260</v>
      </c>
      <c r="C1251" s="575"/>
      <c r="D1251" s="900"/>
      <c r="E1251" s="901"/>
      <c r="F1251" s="902"/>
      <c r="G1251" s="1337">
        <v>143.30000000000001</v>
      </c>
      <c r="H1251" s="1337">
        <f t="shared" ref="H1251:J1251" si="764">+SUM(H1244:H1250)</f>
        <v>0</v>
      </c>
      <c r="I1251" s="1337">
        <f t="shared" si="764"/>
        <v>0</v>
      </c>
      <c r="J1251" s="1337">
        <f t="shared" si="764"/>
        <v>0</v>
      </c>
      <c r="K1251" s="1337">
        <f>+SUM(K1244:K1250)</f>
        <v>0</v>
      </c>
      <c r="L1251" s="1337">
        <f>+SUM(L1244:L1250)</f>
        <v>143.30000000000001</v>
      </c>
      <c r="M1251" s="59">
        <f>IFERROR(S1251/$S$2,"")</f>
        <v>0</v>
      </c>
      <c r="N1251" s="366">
        <f>IFERROR(L1251/M1251,0)</f>
        <v>0</v>
      </c>
      <c r="O1251" s="59">
        <f>IFERROR(SUMIF(ETM!$A:$A,$Q1251,ETM!$E:$E),"")</f>
        <v>0</v>
      </c>
      <c r="P1251" s="880">
        <f>IFERROR(L1251/O1251,0)</f>
        <v>0</v>
      </c>
      <c r="Q1251" s="795" t="s">
        <v>1594</v>
      </c>
      <c r="R1251" s="785">
        <f>IFERROR(VLOOKUP($Q1251,'391'!$S:$Z,8,0),"0")</f>
        <v>0</v>
      </c>
      <c r="S1251" s="796">
        <f>+R1250+R1251</f>
        <v>0</v>
      </c>
      <c r="T1251" s="797"/>
      <c r="U1251" s="797"/>
      <c r="V1251" s="797"/>
      <c r="W1251" s="785">
        <f>IFERROR(VLOOKUP($Q1251,'391'!$S:$AG,15,0),0)</f>
        <v>143.30000000000001</v>
      </c>
      <c r="X1251" s="1090">
        <f t="shared" si="745"/>
        <v>0</v>
      </c>
      <c r="Y1251" s="1088">
        <f>+W1250+W1251+W1248</f>
        <v>143.30000000000001</v>
      </c>
      <c r="Z1251" s="1101">
        <f>+G1251-Y1251</f>
        <v>0</v>
      </c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0">
        <f>IF(L1256=0,"",MAX($A$16:A1251)+1)</f>
        <v>84</v>
      </c>
      <c r="B1252" s="2046" t="s">
        <v>1593</v>
      </c>
      <c r="C1252" s="114"/>
      <c r="D1252" s="866" t="s">
        <v>10</v>
      </c>
      <c r="E1252" s="867">
        <v>45859</v>
      </c>
      <c r="F1252" s="75">
        <f>$L$7-E1252</f>
        <v>402</v>
      </c>
      <c r="G1252" s="64">
        <v>0</v>
      </c>
      <c r="H1252" s="1358"/>
      <c r="I1252" s="1358"/>
      <c r="J1252" s="1411"/>
      <c r="K1252" s="1348">
        <f>IFERROR(SUMIF(INTAKE!$A:$A,$T1252,INTAKE!$P:$P),0)</f>
        <v>0</v>
      </c>
      <c r="L1252" s="1703">
        <f t="shared" ref="L1252:L1285" si="765">+G1252+H1252+I1252-J1252-K1252</f>
        <v>0</v>
      </c>
      <c r="M1252" s="253"/>
      <c r="N1252" s="336"/>
      <c r="O1252" s="48"/>
      <c r="P1252" s="738"/>
      <c r="Q1252" s="795"/>
      <c r="R1252" s="785">
        <f>IFERROR(VLOOKUP($Q1252,'391'!$S:$Z,8,0),"")</f>
        <v>0</v>
      </c>
      <c r="S1252" s="796"/>
      <c r="T1252" s="797" t="str">
        <f>Q1256&amp;C1252&amp;E1252</f>
        <v>GalliPro Tect (Czech Republic)45859</v>
      </c>
      <c r="U1252" s="797"/>
      <c r="V1252" s="797"/>
      <c r="W1252" s="785">
        <f>IFERROR(VLOOKUP($Q1252,'391'!$S:$AG,15,0),0)</f>
        <v>0</v>
      </c>
      <c r="X1252" s="1090">
        <f t="shared" si="745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1"/>
      <c r="B1253" s="2068"/>
      <c r="C1253" s="114" t="s">
        <v>2110</v>
      </c>
      <c r="D1253" s="866" t="s">
        <v>10</v>
      </c>
      <c r="E1253" s="867">
        <v>46261</v>
      </c>
      <c r="F1253" s="75">
        <f>$L$7-E1253</f>
        <v>0</v>
      </c>
      <c r="G1253" s="64">
        <v>0</v>
      </c>
      <c r="H1253" s="64">
        <v>4000</v>
      </c>
      <c r="I1253" s="64"/>
      <c r="J1253" s="1367"/>
      <c r="K1253" s="64">
        <f>IFERROR(SUMIF(INTAKE!$A:$A,$T1253,INTAKE!$P:$P),0)</f>
        <v>0</v>
      </c>
      <c r="L1253" s="1703">
        <f t="shared" si="765"/>
        <v>4000</v>
      </c>
      <c r="M1253" s="1453"/>
      <c r="N1253" s="1460"/>
      <c r="O1253" s="48"/>
      <c r="P1253" s="738"/>
      <c r="Q1253" s="795"/>
      <c r="R1253" s="785">
        <f>IFERROR(VLOOKUP($Q1253,'391'!$S:$Z,8,0),"")</f>
        <v>0</v>
      </c>
      <c r="S1253" s="796"/>
      <c r="T1253" s="797" t="str">
        <f>$Q$1256&amp;C1253&amp;E1253</f>
        <v>GalliPro Tect (Czech Republic)D246261</v>
      </c>
      <c r="U1253" s="797"/>
      <c r="V1253" s="797"/>
      <c r="W1253" s="785">
        <f>IFERROR(VLOOKUP($Q1253,'391'!$S:$AG,15,0),0)</f>
        <v>0</v>
      </c>
      <c r="X1253" s="1090">
        <f t="shared" si="745"/>
        <v>0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hidden="1" customHeight="1" x14ac:dyDescent="0.25">
      <c r="A1254" s="2031"/>
      <c r="B1254" s="2068"/>
      <c r="C1254" s="114"/>
      <c r="D1254" s="866" t="s">
        <v>10</v>
      </c>
      <c r="E1254" s="867">
        <v>46225</v>
      </c>
      <c r="F1254" s="75">
        <f>$L$7-E1254</f>
        <v>36</v>
      </c>
      <c r="G1254" s="64">
        <v>0</v>
      </c>
      <c r="H1254" s="64"/>
      <c r="I1254" s="64"/>
      <c r="J1254" s="1367"/>
      <c r="K1254" s="64">
        <f>IFERROR(SUMIF(INTAKE!$A:$A,$T1254,INTAKE!$P:$P),0)</f>
        <v>0</v>
      </c>
      <c r="L1254" s="1703">
        <f t="shared" si="765"/>
        <v>0</v>
      </c>
      <c r="M1254" s="1453"/>
      <c r="N1254" s="1460"/>
      <c r="O1254" s="1860"/>
      <c r="P1254" s="1861"/>
      <c r="Q1254" s="795"/>
      <c r="R1254" s="785">
        <f>IFERROR(VLOOKUP($Q1254,'391'!$S:$Z,8,0),"")</f>
        <v>0</v>
      </c>
      <c r="S1254" s="796"/>
      <c r="T1254" s="797" t="str">
        <f>$Q$1256&amp;C1254&amp;E1254</f>
        <v>GalliPro Tect (Czech Republic)46225</v>
      </c>
      <c r="U1254" s="797"/>
      <c r="V1254" s="797"/>
      <c r="W1254" s="785">
        <f>IFERROR(VLOOKUP($Q1254,'391'!$S:$AG,15,0),0)</f>
        <v>0</v>
      </c>
      <c r="X1254" s="1090">
        <f t="shared" si="745"/>
        <v>0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customHeight="1" x14ac:dyDescent="0.25">
      <c r="A1255" s="2032"/>
      <c r="B1255" s="2047"/>
      <c r="C1255" s="108" t="s">
        <v>76</v>
      </c>
      <c r="D1255" s="863" t="s">
        <v>10</v>
      </c>
      <c r="E1255" s="886">
        <v>46225</v>
      </c>
      <c r="F1255" s="39">
        <f>$L$7-E1255</f>
        <v>36</v>
      </c>
      <c r="G1255" s="37">
        <v>970.2800000000002</v>
      </c>
      <c r="H1255" s="37"/>
      <c r="I1255" s="37">
        <f>+SUM(K1252:K1254)</f>
        <v>0</v>
      </c>
      <c r="J1255" s="1385">
        <f>usage!I70</f>
        <v>237.98</v>
      </c>
      <c r="K1255" s="37"/>
      <c r="L1255" s="1534">
        <f t="shared" si="765"/>
        <v>732.30000000000018</v>
      </c>
      <c r="M1255" s="1451"/>
      <c r="N1255" s="48"/>
      <c r="O1255" s="46"/>
      <c r="P1255" s="734"/>
      <c r="Q1255" s="795"/>
      <c r="R1255" s="785">
        <f>IFERROR(VLOOKUP($Q1255,'391'!$S:$Z,8,0),"")</f>
        <v>0</v>
      </c>
      <c r="S1255" s="796"/>
      <c r="T1255" s="797" t="str">
        <f t="shared" ref="T1255" si="766">Q1259&amp;C1255&amp;E1255</f>
        <v>Feedmil46225</v>
      </c>
      <c r="U1255" s="797"/>
      <c r="V1255" s="797"/>
      <c r="W1255" s="785">
        <f>IFERROR(VLOOKUP($Q1255,'391'!$S:$AG,15,0),0)</f>
        <v>0</v>
      </c>
      <c r="X1255" s="1090">
        <f t="shared" si="745"/>
        <v>970.2800000000002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customHeight="1" x14ac:dyDescent="0.25">
      <c r="A1256" s="184"/>
      <c r="B1256" s="184" t="s">
        <v>288</v>
      </c>
      <c r="C1256" s="1012"/>
      <c r="D1256" s="900"/>
      <c r="E1256" s="901"/>
      <c r="F1256" s="902"/>
      <c r="G1256" s="1337">
        <v>970.2800000000002</v>
      </c>
      <c r="H1256" s="1337">
        <f t="shared" ref="H1256:L1256" si="767">+SUM(H1252:H1255)</f>
        <v>4000</v>
      </c>
      <c r="I1256" s="1337">
        <f t="shared" si="767"/>
        <v>0</v>
      </c>
      <c r="J1256" s="1337">
        <f t="shared" si="767"/>
        <v>237.98</v>
      </c>
      <c r="K1256" s="1337">
        <f t="shared" si="767"/>
        <v>0</v>
      </c>
      <c r="L1256" s="1337">
        <f t="shared" si="767"/>
        <v>4732.3</v>
      </c>
      <c r="M1256" s="59">
        <f>IFERROR(R1256/$S$2,"")</f>
        <v>143.94333333333333</v>
      </c>
      <c r="N1256" s="366">
        <f>IFERROR(L1256/M1256,0)</f>
        <v>32.876131811129383</v>
      </c>
      <c r="O1256" s="59">
        <f>IFERROR(SUMIF(ETM!$A:$A,$Q1256,ETM!$E:$E),"")</f>
        <v>150.16666666666666</v>
      </c>
      <c r="P1256" s="880">
        <f>IFERROR(L1256/O1256,0)</f>
        <v>31.513651498335186</v>
      </c>
      <c r="Q1256" s="666" t="s">
        <v>1596</v>
      </c>
      <c r="R1256" s="785">
        <f>IFERROR(VLOOKUP($Q1256,'391'!$S:$Z,8,0),"")</f>
        <v>863.66</v>
      </c>
      <c r="S1256" s="796"/>
      <c r="T1256" s="797"/>
      <c r="U1256" s="797"/>
      <c r="V1256" s="797"/>
      <c r="W1256" s="785">
        <f>IFERROR(VLOOKUP($Q1256,'391'!$S:$AG,15,0),0)</f>
        <v>1353.3</v>
      </c>
      <c r="X1256" s="1090">
        <f>G1256-W1256</f>
        <v>-383.01999999999975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86" t="str">
        <f>IF(L1262=0,"",MAX($A$16:A1256)+1)</f>
        <v/>
      </c>
      <c r="B1257" s="2011" t="s">
        <v>529</v>
      </c>
      <c r="C1257" s="143" t="s">
        <v>1313</v>
      </c>
      <c r="D1257" s="881" t="s">
        <v>10</v>
      </c>
      <c r="E1257" s="882">
        <v>45295</v>
      </c>
      <c r="F1257" s="71">
        <f>$L$7-E1257</f>
        <v>966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65"/>
        <v>0</v>
      </c>
      <c r="M1257" s="51"/>
      <c r="N1257" s="953"/>
      <c r="O1257" s="51"/>
      <c r="P1257" s="737"/>
      <c r="Q1257" s="795"/>
      <c r="R1257" s="785">
        <f>IFERROR(VLOOKUP($Q1257,'391'!$S:$Z,8,0),"")</f>
        <v>0</v>
      </c>
      <c r="S1257" s="796"/>
      <c r="T1257" s="797" t="str">
        <f>$Q$1262&amp;C1257&amp;E1257</f>
        <v>BioPlus YC (Czech Republic)E245295</v>
      </c>
      <c r="U1257" s="797"/>
      <c r="V1257" s="797"/>
      <c r="W1257" s="785">
        <f>IFERROR(VLOOKUP($Q1257,'391'!$S:$AG,15,0),0)</f>
        <v>0</v>
      </c>
      <c r="X1257" s="1090">
        <f t="shared" si="745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87"/>
      <c r="B1258" s="2012"/>
      <c r="C1258" s="143"/>
      <c r="D1258" s="881" t="s">
        <v>10</v>
      </c>
      <c r="E1258" s="882">
        <v>45295</v>
      </c>
      <c r="F1258" s="71">
        <f>$L$7-E1258</f>
        <v>966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65"/>
        <v>0</v>
      </c>
      <c r="M1258" s="48"/>
      <c r="N1258" s="163"/>
      <c r="O1258" s="48"/>
      <c r="P1258" s="738"/>
      <c r="Q1258" s="795"/>
      <c r="R1258" s="785">
        <f>IFERROR(VLOOKUP($Q1258,'391'!$S:$Z,8,0),"")</f>
        <v>0</v>
      </c>
      <c r="S1258" s="796"/>
      <c r="T1258" s="797" t="str">
        <f>$Q$1262&amp;C1258&amp;E1258</f>
        <v>BioPlus YC (Czech Republic)45295</v>
      </c>
      <c r="U1258" s="797"/>
      <c r="V1258" s="797"/>
      <c r="W1258" s="785">
        <f>IFERROR(VLOOKUP($Q1258,'391'!$S:$AG,15,0),0)</f>
        <v>0</v>
      </c>
      <c r="X1258" s="1090">
        <f t="shared" si="745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87"/>
      <c r="B1259" s="2012"/>
      <c r="C1259" s="143"/>
      <c r="D1259" s="881" t="s">
        <v>10</v>
      </c>
      <c r="E1259" s="882">
        <v>45140</v>
      </c>
      <c r="F1259" s="71">
        <f>$L$7-E1259</f>
        <v>1121</v>
      </c>
      <c r="G1259" s="64">
        <v>0</v>
      </c>
      <c r="H1259" s="64"/>
      <c r="I1259" s="64"/>
      <c r="J1259" s="1367"/>
      <c r="K1259" s="64">
        <f>IFERROR(SUMIF(INTAKE!$A:$A,$T1259,INTAKE!$P:$P),0)</f>
        <v>0</v>
      </c>
      <c r="L1259" s="1534">
        <f t="shared" si="765"/>
        <v>0</v>
      </c>
      <c r="M1259" s="48"/>
      <c r="N1259" s="163"/>
      <c r="O1259" s="48"/>
      <c r="P1259" s="738"/>
      <c r="Q1259" s="795"/>
      <c r="R1259" s="785">
        <f>IFERROR(VLOOKUP($Q1259,'391'!$S:$Z,8,0),"")</f>
        <v>0</v>
      </c>
      <c r="S1259" s="796"/>
      <c r="T1259" s="797" t="str">
        <f>$Q$1262&amp;C1259&amp;E1259</f>
        <v>BioPlus YC (Czech Republic)45140</v>
      </c>
      <c r="U1259" s="797"/>
      <c r="V1259" s="797"/>
      <c r="W1259" s="785">
        <f>IFERROR(VLOOKUP($Q1259,'391'!$S:$AG,15,0),0)</f>
        <v>0</v>
      </c>
      <c r="X1259" s="1090">
        <f t="shared" si="745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2087"/>
      <c r="B1260" s="2012"/>
      <c r="C1260" s="143"/>
      <c r="D1260" s="881" t="s">
        <v>10</v>
      </c>
      <c r="E1260" s="882">
        <v>43167</v>
      </c>
      <c r="F1260" s="71">
        <f>$L$7-E1260</f>
        <v>3094</v>
      </c>
      <c r="G1260" s="64">
        <v>0</v>
      </c>
      <c r="H1260" s="64"/>
      <c r="I1260" s="64"/>
      <c r="J1260" s="1367"/>
      <c r="K1260" s="64">
        <f>IFERROR(SUMIF(INTAKE!$A:$A,$T1260,INTAKE!$P:$P),0)</f>
        <v>0</v>
      </c>
      <c r="L1260" s="1534">
        <f t="shared" si="765"/>
        <v>0</v>
      </c>
      <c r="M1260" s="44"/>
      <c r="N1260" s="163"/>
      <c r="O1260" s="44"/>
      <c r="P1260" s="735"/>
      <c r="Q1260" s="795"/>
      <c r="R1260" s="785">
        <f>IFERROR(VLOOKUP($Q1260,'391'!$S:$Z,8,0),"")</f>
        <v>0</v>
      </c>
      <c r="S1260" s="796"/>
      <c r="T1260" s="797" t="str">
        <f>$Q$1262&amp;C1260&amp;E1260</f>
        <v>BioPlus YC (Czech Republic)43167</v>
      </c>
      <c r="U1260" s="797"/>
      <c r="V1260" s="797"/>
      <c r="W1260" s="785">
        <f>IFERROR(VLOOKUP($Q1260,'391'!$S:$AG,15,0),0)</f>
        <v>0</v>
      </c>
      <c r="X1260" s="1090">
        <f t="shared" si="745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88"/>
      <c r="B1261" s="2193"/>
      <c r="C1261" s="138" t="s">
        <v>76</v>
      </c>
      <c r="D1261" s="863" t="s">
        <v>10</v>
      </c>
      <c r="E1261" s="886">
        <v>45295</v>
      </c>
      <c r="F1261" s="39">
        <f>$L$7-E1261</f>
        <v>966</v>
      </c>
      <c r="G1261" s="37">
        <v>0</v>
      </c>
      <c r="H1261" s="37"/>
      <c r="I1261" s="37">
        <f>K1258+K1257+K1259</f>
        <v>0</v>
      </c>
      <c r="J1261" s="1385">
        <f>+usage!I109</f>
        <v>0</v>
      </c>
      <c r="K1261" s="64">
        <f>IFERROR(SUMIF(INTAKE!$A:$A,$T1261,INTAKE!$P:$P),0)</f>
        <v>0</v>
      </c>
      <c r="L1261" s="1534">
        <f t="shared" si="765"/>
        <v>0</v>
      </c>
      <c r="M1261" s="35"/>
      <c r="N1261" s="163"/>
      <c r="O1261" s="35"/>
      <c r="P1261" s="740"/>
      <c r="Q1261" s="795"/>
      <c r="R1261" s="785">
        <f>IFERROR(VLOOKUP($Q1261,'391'!$S:$Z,8,0),"")</f>
        <v>0</v>
      </c>
      <c r="S1261" s="796"/>
      <c r="T1261" s="797" t="str">
        <f>$Q$1262&amp;C1261&amp;E1261</f>
        <v>BioPlus YC (Czech Republic)Feedmil45295</v>
      </c>
      <c r="U1261" s="797"/>
      <c r="V1261" s="797"/>
      <c r="W1261" s="785">
        <f>IFERROR(VLOOKUP($Q1261,'391'!$S:$AG,15,0),0)</f>
        <v>0</v>
      </c>
      <c r="X1261" s="1090">
        <f t="shared" si="745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184"/>
      <c r="B1262" s="184" t="s">
        <v>528</v>
      </c>
      <c r="C1262" s="575"/>
      <c r="D1262" s="900"/>
      <c r="E1262" s="901"/>
      <c r="F1262" s="902"/>
      <c r="G1262" s="1337">
        <v>0</v>
      </c>
      <c r="H1262" s="1337">
        <f t="shared" ref="H1262:K1262" si="768">+SUM(H1257:H1261)</f>
        <v>0</v>
      </c>
      <c r="I1262" s="1337">
        <f t="shared" si="768"/>
        <v>0</v>
      </c>
      <c r="J1262" s="1337">
        <f t="shared" si="768"/>
        <v>0</v>
      </c>
      <c r="K1262" s="1337">
        <f t="shared" si="768"/>
        <v>0</v>
      </c>
      <c r="L1262" s="1534">
        <f t="shared" si="765"/>
        <v>0</v>
      </c>
      <c r="M1262" s="59" t="str">
        <f>IFERROR(R1262/$S$2,"")</f>
        <v/>
      </c>
      <c r="N1262" s="366">
        <f>IFERROR(L1262/M1262,0)</f>
        <v>0</v>
      </c>
      <c r="O1262" s="59">
        <f>IFERROR(SUMIF(ETM!$A:$A,$Q1262,ETM!$E:$E),"")</f>
        <v>0</v>
      </c>
      <c r="P1262" s="880">
        <f>IFERROR(L1262/O1262,0)</f>
        <v>0</v>
      </c>
      <c r="Q1262" s="809" t="s">
        <v>837</v>
      </c>
      <c r="R1262" s="785" t="str">
        <f>IFERROR(VLOOKUP($Q1262,'391'!$S:$Z,8,0),"")</f>
        <v/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5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86" t="str">
        <f>IF(L1268=0,"",MAX($A$16:A1262)+1)</f>
        <v/>
      </c>
      <c r="B1263" s="2018" t="s">
        <v>297</v>
      </c>
      <c r="C1263" s="574" t="s">
        <v>246</v>
      </c>
      <c r="D1263" s="881" t="s">
        <v>10</v>
      </c>
      <c r="E1263" s="882">
        <v>44168</v>
      </c>
      <c r="F1263" s="71">
        <f>$L$7-E1263</f>
        <v>2093</v>
      </c>
      <c r="G1263" s="64">
        <v>0</v>
      </c>
      <c r="H1263" s="1358"/>
      <c r="I1263" s="1358"/>
      <c r="J1263" s="1411"/>
      <c r="K1263" s="1358"/>
      <c r="L1263" s="1534">
        <f t="shared" si="765"/>
        <v>0</v>
      </c>
      <c r="M1263" s="50"/>
      <c r="N1263" s="167"/>
      <c r="O1263" s="50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5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87"/>
      <c r="B1264" s="2019"/>
      <c r="C1264" s="143" t="s">
        <v>197</v>
      </c>
      <c r="D1264" s="881" t="s">
        <v>10</v>
      </c>
      <c r="E1264" s="882">
        <v>42733</v>
      </c>
      <c r="F1264" s="71">
        <f>$L$7-E1264</f>
        <v>3528</v>
      </c>
      <c r="G1264" s="64">
        <v>0</v>
      </c>
      <c r="H1264" s="64"/>
      <c r="I1264" s="64"/>
      <c r="J1264" s="1367"/>
      <c r="K1264" s="64"/>
      <c r="L1264" s="1534">
        <f t="shared" si="765"/>
        <v>0</v>
      </c>
      <c r="M1264" s="48"/>
      <c r="N1264" s="163"/>
      <c r="O1264" s="48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5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87"/>
      <c r="B1265" s="2019"/>
      <c r="C1265" s="143" t="s">
        <v>197</v>
      </c>
      <c r="D1265" s="881" t="s">
        <v>10</v>
      </c>
      <c r="E1265" s="882">
        <v>42746</v>
      </c>
      <c r="F1265" s="71">
        <f>$L$7-E1265</f>
        <v>3515</v>
      </c>
      <c r="G1265" s="64">
        <v>0</v>
      </c>
      <c r="H1265" s="63"/>
      <c r="I1265" s="63"/>
      <c r="J1265" s="1378"/>
      <c r="K1265" s="63"/>
      <c r="L1265" s="1534">
        <f t="shared" si="765"/>
        <v>0</v>
      </c>
      <c r="M1265" s="44"/>
      <c r="N1265" s="95"/>
      <c r="O1265" s="44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5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2087"/>
      <c r="B1266" s="2019"/>
      <c r="C1266" s="143" t="s">
        <v>197</v>
      </c>
      <c r="D1266" s="881" t="s">
        <v>10</v>
      </c>
      <c r="E1266" s="882">
        <v>42755</v>
      </c>
      <c r="F1266" s="71">
        <f>$L$7-E1266</f>
        <v>3506</v>
      </c>
      <c r="G1266" s="64">
        <v>0</v>
      </c>
      <c r="H1266" s="63"/>
      <c r="I1266" s="63"/>
      <c r="J1266" s="1378"/>
      <c r="K1266" s="63"/>
      <c r="L1266" s="1534">
        <f t="shared" si="765"/>
        <v>0</v>
      </c>
      <c r="M1266" s="44"/>
      <c r="N1266" s="95"/>
      <c r="O1266" s="44"/>
      <c r="P1266" s="857"/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5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88"/>
      <c r="B1267" s="2199"/>
      <c r="C1267" s="138" t="s">
        <v>76</v>
      </c>
      <c r="D1267" s="863" t="s">
        <v>10</v>
      </c>
      <c r="E1267" s="886">
        <v>43252</v>
      </c>
      <c r="F1267" s="39">
        <f>$L$7-E1267</f>
        <v>3009</v>
      </c>
      <c r="G1267" s="1308">
        <v>0</v>
      </c>
      <c r="H1267" s="1308"/>
      <c r="I1267" s="1308"/>
      <c r="J1267" s="1417">
        <f>usage!I139</f>
        <v>0</v>
      </c>
      <c r="K1267" s="1308"/>
      <c r="L1267" s="1534">
        <f t="shared" si="765"/>
        <v>0</v>
      </c>
      <c r="M1267" s="35"/>
      <c r="N1267" s="920"/>
      <c r="O1267" s="35"/>
      <c r="P1267" s="857"/>
      <c r="Q1267" s="795"/>
      <c r="R1267" s="785">
        <f>IFERROR(VLOOKUP($Q1267,'391'!$S:$Z,8,0),"")</f>
        <v>0</v>
      </c>
      <c r="S1267" s="796"/>
      <c r="T1267" s="797"/>
      <c r="U1267" s="797"/>
      <c r="V1267" s="797"/>
      <c r="W1267" s="785">
        <f>IFERROR(VLOOKUP($Q1267,'391'!$S:$AG,15,0),0)</f>
        <v>0</v>
      </c>
      <c r="X1267" s="1090">
        <f t="shared" si="745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hidden="1" customHeight="1" x14ac:dyDescent="0.25">
      <c r="A1268" s="184"/>
      <c r="B1268" s="184" t="s">
        <v>300</v>
      </c>
      <c r="C1268" s="575"/>
      <c r="D1268" s="900"/>
      <c r="E1268" s="901"/>
      <c r="F1268" s="902"/>
      <c r="G1268" s="1353">
        <v>0</v>
      </c>
      <c r="H1268" s="1337">
        <f t="shared" ref="H1268:J1268" si="769">+SUM(H1263:H1267)</f>
        <v>0</v>
      </c>
      <c r="I1268" s="1337">
        <f t="shared" si="769"/>
        <v>0</v>
      </c>
      <c r="J1268" s="1337">
        <f t="shared" si="769"/>
        <v>0</v>
      </c>
      <c r="K1268" s="1337">
        <f>+SUM(K1263:K1267)</f>
        <v>0</v>
      </c>
      <c r="L1268" s="1534">
        <f t="shared" si="765"/>
        <v>0</v>
      </c>
      <c r="M1268" s="59"/>
      <c r="N1268" s="920">
        <f>IFERROR(L1268/M1268,0)</f>
        <v>0</v>
      </c>
      <c r="O1268" s="59"/>
      <c r="P1268" s="857">
        <f>IFERROR(L1268/O1268,0)</f>
        <v>0</v>
      </c>
      <c r="Q1268" s="795"/>
      <c r="R1268" s="785">
        <f>IFERROR(VLOOKUP($Q1268,'391'!$S:$Z,8,0),"")</f>
        <v>0</v>
      </c>
      <c r="S1268" s="796"/>
      <c r="T1268" s="797"/>
      <c r="U1268" s="797"/>
      <c r="V1268" s="797"/>
      <c r="W1268" s="785">
        <f>IFERROR(VLOOKUP($Q1268,'391'!$S:$AG,15,0),0)</f>
        <v>0</v>
      </c>
      <c r="X1268" s="1090">
        <f t="shared" si="745"/>
        <v>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86">
        <f>IF(L1274=0,"",MAX($A$16:A1268)+1)</f>
        <v>85</v>
      </c>
      <c r="B1269" s="2069" t="s">
        <v>1514</v>
      </c>
      <c r="C1269" s="120"/>
      <c r="D1269" s="881" t="s">
        <v>10</v>
      </c>
      <c r="E1269" s="882">
        <v>46052</v>
      </c>
      <c r="F1269" s="71">
        <f t="shared" ref="F1269" si="770">$L$7-E1269</f>
        <v>209</v>
      </c>
      <c r="G1269" s="1381">
        <v>0</v>
      </c>
      <c r="H1269" s="64"/>
      <c r="I1269" s="64"/>
      <c r="J1269" s="1367"/>
      <c r="K1269" s="1348">
        <f>IFERROR(SUMIF(INTAKE!$A:$A,$T1269,INTAKE!$P:$P),0)</f>
        <v>0</v>
      </c>
      <c r="L1269" s="1703">
        <f t="shared" si="765"/>
        <v>0</v>
      </c>
      <c r="M1269" s="50"/>
      <c r="N1269" s="167"/>
      <c r="O1269" s="50"/>
      <c r="P1269" s="1741"/>
      <c r="Q1269" s="795"/>
      <c r="R1269" s="785">
        <f>IFERROR(VLOOKUP($Q1269,'391'!$S:$Z,8,0),"")</f>
        <v>0</v>
      </c>
      <c r="S1269" s="796"/>
      <c r="T1269" s="797" t="str">
        <f>$Q$1274&amp;C1269&amp;E1269</f>
        <v>Elancoban 200 Premix (Monensin)46052</v>
      </c>
      <c r="U1269" s="797"/>
      <c r="V1269" s="797"/>
      <c r="W1269" s="785">
        <f>IFERROR(VLOOKUP($Q1269,'391'!$S:$AG,15,0),0)</f>
        <v>0</v>
      </c>
      <c r="X1269" s="1090">
        <f t="shared" si="745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87"/>
      <c r="B1270" s="2070"/>
      <c r="C1270" s="120"/>
      <c r="D1270" s="881" t="s">
        <v>10</v>
      </c>
      <c r="E1270" s="882">
        <v>46141</v>
      </c>
      <c r="F1270" s="71">
        <f t="shared" ref="F1270:F1271" si="771">$L$7-E1270</f>
        <v>120</v>
      </c>
      <c r="G1270" s="1381">
        <v>0</v>
      </c>
      <c r="H1270" s="1381"/>
      <c r="I1270" s="1381"/>
      <c r="J1270" s="1900"/>
      <c r="K1270" s="1348">
        <f>IFERROR(SUMIF(INTAKE!$A:$A,$T1270,INTAKE!$P:$P),0)</f>
        <v>0</v>
      </c>
      <c r="L1270" s="1703">
        <f t="shared" si="765"/>
        <v>0</v>
      </c>
      <c r="M1270" s="48"/>
      <c r="N1270" s="163"/>
      <c r="O1270" s="48"/>
      <c r="P1270" s="1741"/>
      <c r="Q1270" s="795"/>
      <c r="R1270" s="785">
        <f>IFERROR(VLOOKUP($Q1270,'391'!$S:$Z,8,0),"")</f>
        <v>0</v>
      </c>
      <c r="S1270" s="796"/>
      <c r="T1270" s="797" t="str">
        <f>$Q$1274&amp;C1270&amp;E1270</f>
        <v>Elancoban 200 Premix (Monensin)46141</v>
      </c>
      <c r="U1270" s="797"/>
      <c r="V1270" s="797"/>
      <c r="W1270" s="785">
        <f>IFERROR(VLOOKUP($Q1270,'391'!$S:$AG,15,0),0)</f>
        <v>0</v>
      </c>
      <c r="X1270" s="1090">
        <f t="shared" si="745"/>
        <v>0</v>
      </c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hidden="1" customHeight="1" x14ac:dyDescent="0.25">
      <c r="A1271" s="2087"/>
      <c r="B1271" s="2070"/>
      <c r="C1271" s="120"/>
      <c r="D1271" s="881" t="s">
        <v>10</v>
      </c>
      <c r="E1271" s="882">
        <v>46225</v>
      </c>
      <c r="F1271" s="71">
        <f t="shared" si="771"/>
        <v>36</v>
      </c>
      <c r="G1271" s="1381">
        <v>0</v>
      </c>
      <c r="H1271" s="1381"/>
      <c r="I1271" s="1381"/>
      <c r="J1271" s="1900"/>
      <c r="K1271" s="1348">
        <f>IFERROR(SUMIF(INTAKE!$A:$A,$T1271,INTAKE!$P:$P),0)</f>
        <v>0</v>
      </c>
      <c r="L1271" s="1703">
        <f t="shared" si="765"/>
        <v>0</v>
      </c>
      <c r="M1271" s="48"/>
      <c r="N1271" s="163"/>
      <c r="O1271" s="48"/>
      <c r="P1271" s="1741"/>
      <c r="Q1271" s="795"/>
      <c r="R1271" s="785">
        <f>IFERROR(VLOOKUP($Q1271,'391'!$S:$Z,8,0),"")</f>
        <v>0</v>
      </c>
      <c r="S1271" s="796"/>
      <c r="T1271" s="797" t="str">
        <f>$Q$1274&amp;C1271&amp;E1271</f>
        <v>Elancoban 200 Premix (Monensin)46225</v>
      </c>
      <c r="U1271" s="797"/>
      <c r="V1271" s="797"/>
      <c r="W1271" s="785">
        <f>IFERROR(VLOOKUP($Q1271,'391'!$S:$AG,15,0),0)</f>
        <v>0</v>
      </c>
      <c r="X1271" s="1090">
        <f t="shared" si="745"/>
        <v>0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2124"/>
      <c r="B1272" s="2075"/>
      <c r="C1272" s="120" t="s">
        <v>1213</v>
      </c>
      <c r="D1272" s="881" t="s">
        <v>10</v>
      </c>
      <c r="E1272" s="882">
        <v>46247</v>
      </c>
      <c r="F1272" s="71">
        <f t="shared" ref="F1272:F1273" si="772">$L$7-E1272</f>
        <v>14</v>
      </c>
      <c r="G1272" s="1381">
        <v>100</v>
      </c>
      <c r="H1272" s="1381"/>
      <c r="I1272" s="1381"/>
      <c r="J1272" s="1900"/>
      <c r="K1272" s="1348">
        <f>IFERROR(SUMIF(INTAKE!$A:$A,$T1272,INTAKE!$P:$P),0)</f>
        <v>0</v>
      </c>
      <c r="L1272" s="1703">
        <f t="shared" si="765"/>
        <v>100</v>
      </c>
      <c r="M1272" s="1487"/>
      <c r="N1272" s="1904"/>
      <c r="O1272" s="1487"/>
      <c r="P1272" s="1901"/>
      <c r="Q1272" s="1819"/>
      <c r="R1272" s="785"/>
      <c r="S1272" s="796"/>
      <c r="T1272" s="797" t="str">
        <f>$Q$1274&amp;C1272&amp;E1272</f>
        <v>Elancoban 200 Premix (Monensin)E346247</v>
      </c>
      <c r="U1272" s="797"/>
      <c r="V1272" s="797"/>
      <c r="W1272" s="785"/>
      <c r="X1272" s="1090"/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customHeight="1" x14ac:dyDescent="0.25">
      <c r="A1273" s="2088"/>
      <c r="B1273" s="2071"/>
      <c r="C1273" s="108" t="s">
        <v>76</v>
      </c>
      <c r="D1273" s="863" t="s">
        <v>10</v>
      </c>
      <c r="E1273" s="886">
        <v>46225</v>
      </c>
      <c r="F1273" s="39">
        <f t="shared" si="772"/>
        <v>36</v>
      </c>
      <c r="G1273" s="37">
        <v>10.85</v>
      </c>
      <c r="H1273" s="37"/>
      <c r="I1273" s="37">
        <f>+SUM(K1269:K1271)</f>
        <v>0</v>
      </c>
      <c r="J1273" s="1385">
        <f>usage!I190</f>
        <v>0</v>
      </c>
      <c r="K1273" s="37"/>
      <c r="L1273" s="1534">
        <f t="shared" si="765"/>
        <v>10.85</v>
      </c>
      <c r="M1273" s="35"/>
      <c r="N1273" s="920"/>
      <c r="O1273" s="35"/>
      <c r="P1273" s="1965"/>
      <c r="Q1273" s="795"/>
      <c r="R1273" s="785">
        <f>IFERROR(VLOOKUP($Q1273,'391'!$S:$Z,8,0),"")</f>
        <v>0</v>
      </c>
      <c r="S1273" s="796"/>
      <c r="T1273" s="797" t="str">
        <f>$Q$1274&amp;C1273&amp;E1273</f>
        <v>Elancoban 200 Premix (Monensin)Feedmil46225</v>
      </c>
      <c r="U1273" s="797"/>
      <c r="V1273" s="797"/>
      <c r="W1273" s="785">
        <f>IFERROR(VLOOKUP($Q1273,'391'!$S:$AG,15,0),0)</f>
        <v>0</v>
      </c>
      <c r="X1273" s="1090">
        <f t="shared" si="745"/>
        <v>10.85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customHeight="1" x14ac:dyDescent="0.25">
      <c r="A1274" s="184"/>
      <c r="B1274" s="184" t="s">
        <v>299</v>
      </c>
      <c r="C1274" s="575"/>
      <c r="D1274" s="900"/>
      <c r="E1274" s="901"/>
      <c r="F1274" s="902"/>
      <c r="G1274" s="1337">
        <v>110.85</v>
      </c>
      <c r="H1274" s="1337">
        <f t="shared" ref="H1274:L1274" si="773">+SUM(H1269:H1273)</f>
        <v>0</v>
      </c>
      <c r="I1274" s="1337">
        <f t="shared" si="773"/>
        <v>0</v>
      </c>
      <c r="J1274" s="1337">
        <f t="shared" si="773"/>
        <v>0</v>
      </c>
      <c r="K1274" s="1337">
        <f t="shared" si="773"/>
        <v>0</v>
      </c>
      <c r="L1274" s="1337">
        <f t="shared" si="773"/>
        <v>110.85</v>
      </c>
      <c r="M1274" s="59">
        <f>IFERROR(R1274/$S$2,"")</f>
        <v>3.78</v>
      </c>
      <c r="N1274" s="366">
        <f>IFERROR(L1274/M1274,0)</f>
        <v>29.325396825396826</v>
      </c>
      <c r="O1274" s="59">
        <f>IFERROR(SUMIF(ETM!$A:$A,$Q1274,ETM!$E:$E),"")</f>
        <v>4.166666666666667</v>
      </c>
      <c r="P1274" s="880">
        <f>IFERROR(L1274/O1274,0)</f>
        <v>26.603999999999996</v>
      </c>
      <c r="Q1274" s="795" t="s">
        <v>1513</v>
      </c>
      <c r="R1274" s="785">
        <f>IFERROR(VLOOKUP($Q1274,'391'!$S:$Z,8,0),"")</f>
        <v>22.68</v>
      </c>
      <c r="S1274" s="796"/>
      <c r="T1274" s="797"/>
      <c r="U1274" s="797"/>
      <c r="V1274" s="797"/>
      <c r="W1274" s="785">
        <f>IFERROR(VLOOKUP($Q1274,'391'!$S:$AG,15,0),0)</f>
        <v>121.67</v>
      </c>
      <c r="X1274" s="1090">
        <f t="shared" si="745"/>
        <v>-10.820000000000007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86" t="str">
        <f>IF(L1281=0,"",MAX($A$16:A1274)+1)</f>
        <v/>
      </c>
      <c r="B1275" s="2018" t="s">
        <v>346</v>
      </c>
      <c r="C1275" s="574"/>
      <c r="D1275" s="881" t="s">
        <v>10</v>
      </c>
      <c r="E1275" s="882">
        <v>44736</v>
      </c>
      <c r="F1275" s="71">
        <f t="shared" ref="F1275:F1280" si="774">$L$7-E1275</f>
        <v>1525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65"/>
        <v>0</v>
      </c>
      <c r="M1275" s="50"/>
      <c r="N1275" s="167"/>
      <c r="O1275" s="50"/>
      <c r="P1275" s="747"/>
      <c r="Q1275" s="795"/>
      <c r="R1275" s="785">
        <f>IFERROR(VLOOKUP($Q1275,'391'!$S:$Z,8,0),"")</f>
        <v>0</v>
      </c>
      <c r="S1275" s="796"/>
      <c r="T1275" s="799" t="str">
        <f t="shared" ref="T1275:T1280" si="775">$Q$1281&amp;C1275&amp;E1275</f>
        <v>Tiamvet 100 (Italy)44736</v>
      </c>
      <c r="U1275" s="797"/>
      <c r="V1275" s="797"/>
      <c r="W1275" s="785">
        <f>IFERROR(VLOOKUP($Q1275,'391'!$S:$AG,15,0),0)</f>
        <v>0</v>
      </c>
      <c r="X1275" s="1090">
        <f t="shared" si="745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87"/>
      <c r="B1276" s="2019"/>
      <c r="C1276" s="574" t="s">
        <v>283</v>
      </c>
      <c r="D1276" s="881" t="s">
        <v>10</v>
      </c>
      <c r="E1276" s="882">
        <v>44935</v>
      </c>
      <c r="F1276" s="71">
        <f t="shared" si="774"/>
        <v>1326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65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5"/>
        <v>Tiamvet 100 (Italy)A19.344935</v>
      </c>
      <c r="U1276" s="797"/>
      <c r="V1276" s="797"/>
      <c r="W1276" s="785">
        <f>IFERROR(VLOOKUP($Q1276,'391'!$S:$AG,15,0),0)</f>
        <v>0</v>
      </c>
      <c r="X1276" s="1090">
        <f t="shared" si="745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87"/>
      <c r="B1277" s="2019"/>
      <c r="C1277" s="574"/>
      <c r="D1277" s="881" t="s">
        <v>10</v>
      </c>
      <c r="E1277" s="882">
        <v>44935</v>
      </c>
      <c r="F1277" s="71">
        <f t="shared" si="774"/>
        <v>1326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65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5"/>
        <v>Tiamvet 100 (Italy)44935</v>
      </c>
      <c r="U1277" s="797"/>
      <c r="V1277" s="797"/>
      <c r="W1277" s="785">
        <f>IFERROR(VLOOKUP($Q1277,'391'!$S:$AG,15,0),0)</f>
        <v>0</v>
      </c>
      <c r="X1277" s="1090">
        <f t="shared" si="745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87"/>
      <c r="B1278" s="2019"/>
      <c r="C1278" s="574"/>
      <c r="D1278" s="881" t="s">
        <v>10</v>
      </c>
      <c r="E1278" s="882">
        <v>44736</v>
      </c>
      <c r="F1278" s="71">
        <f t="shared" si="774"/>
        <v>1525</v>
      </c>
      <c r="G1278" s="64">
        <v>0</v>
      </c>
      <c r="H1278" s="64"/>
      <c r="I1278" s="64"/>
      <c r="J1278" s="1367"/>
      <c r="K1278" s="64">
        <f>IFERROR(SUMIF(INTAKE!$A:$A,$T1278,INTAKE!$P:$P),0)</f>
        <v>0</v>
      </c>
      <c r="L1278" s="1534">
        <f t="shared" si="765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5"/>
        <v>Tiamvet 100 (Italy)44736</v>
      </c>
      <c r="U1278" s="797"/>
      <c r="V1278" s="797"/>
      <c r="W1278" s="785">
        <f>IFERROR(VLOOKUP($Q1278,'391'!$S:$AG,15,0),0)</f>
        <v>0</v>
      </c>
      <c r="X1278" s="1090">
        <f t="shared" si="745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2087"/>
      <c r="B1279" s="2019"/>
      <c r="C1279" s="574"/>
      <c r="D1279" s="881" t="s">
        <v>10</v>
      </c>
      <c r="E1279" s="882">
        <v>44610</v>
      </c>
      <c r="F1279" s="71">
        <f t="shared" si="774"/>
        <v>1651</v>
      </c>
      <c r="G1279" s="64">
        <v>0</v>
      </c>
      <c r="H1279" s="64"/>
      <c r="I1279" s="64"/>
      <c r="J1279" s="1367"/>
      <c r="K1279" s="64">
        <f>IFERROR(SUMIF(INTAKE!$A:$A,$T1279,INTAKE!$P:$P),0)</f>
        <v>0</v>
      </c>
      <c r="L1279" s="1534">
        <f t="shared" si="765"/>
        <v>0</v>
      </c>
      <c r="M1279" s="48"/>
      <c r="N1279" s="163"/>
      <c r="O1279" s="48"/>
      <c r="P1279" s="750"/>
      <c r="Q1279" s="795"/>
      <c r="R1279" s="785">
        <f>IFERROR(VLOOKUP($Q1279,'391'!$S:$Z,8,0),"")</f>
        <v>0</v>
      </c>
      <c r="S1279" s="796"/>
      <c r="T1279" s="799" t="str">
        <f t="shared" si="775"/>
        <v>Tiamvet 100 (Italy)44610</v>
      </c>
      <c r="U1279" s="797"/>
      <c r="V1279" s="797"/>
      <c r="W1279" s="785">
        <f>IFERROR(VLOOKUP($Q1279,'391'!$S:$AG,15,0),0)</f>
        <v>0</v>
      </c>
      <c r="X1279" s="1090">
        <f t="shared" si="745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87"/>
      <c r="B1280" s="2019"/>
      <c r="C1280" s="108" t="s">
        <v>76</v>
      </c>
      <c r="D1280" s="852" t="s">
        <v>10</v>
      </c>
      <c r="E1280" s="853">
        <v>44935</v>
      </c>
      <c r="F1280" s="73">
        <f t="shared" si="774"/>
        <v>1326</v>
      </c>
      <c r="G1280" s="58">
        <v>0</v>
      </c>
      <c r="H1280" s="58"/>
      <c r="I1280" s="58">
        <f>SUM(K1275:K1280)</f>
        <v>0</v>
      </c>
      <c r="J1280" s="1365">
        <f>+usage!I141</f>
        <v>0</v>
      </c>
      <c r="K1280" s="58"/>
      <c r="L1280" s="1534">
        <f t="shared" si="765"/>
        <v>0</v>
      </c>
      <c r="M1280" s="48"/>
      <c r="N1280" s="163"/>
      <c r="O1280" s="48"/>
      <c r="P1280" s="750"/>
      <c r="Q1280" s="795"/>
      <c r="R1280" s="785">
        <f>IFERROR(VLOOKUP($Q1280,'391'!$S:$Z,8,0),"")</f>
        <v>0</v>
      </c>
      <c r="S1280" s="796"/>
      <c r="T1280" s="799" t="str">
        <f t="shared" si="775"/>
        <v>Tiamvet 100 (Italy)Feedmil44935</v>
      </c>
      <c r="U1280" s="797"/>
      <c r="V1280" s="797"/>
      <c r="W1280" s="785">
        <f>IFERROR(VLOOKUP($Q1280,'391'!$S:$AG,15,0),0)</f>
        <v>0</v>
      </c>
      <c r="X1280" s="1090">
        <f t="shared" si="745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184"/>
      <c r="B1281" s="184" t="s">
        <v>301</v>
      </c>
      <c r="C1281" s="575"/>
      <c r="D1281" s="900"/>
      <c r="E1281" s="901"/>
      <c r="F1281" s="902"/>
      <c r="G1281" s="1337">
        <v>0</v>
      </c>
      <c r="H1281" s="1337">
        <f t="shared" ref="H1281:I1281" si="776">+SUM(H1275:H1280)</f>
        <v>0</v>
      </c>
      <c r="I1281" s="1337">
        <f t="shared" si="776"/>
        <v>0</v>
      </c>
      <c r="J1281" s="1337">
        <f t="shared" ref="J1281:K1281" si="777">+SUM(J1275:J1280)</f>
        <v>0</v>
      </c>
      <c r="K1281" s="1337">
        <f t="shared" si="777"/>
        <v>0</v>
      </c>
      <c r="L1281" s="1534">
        <f t="shared" si="765"/>
        <v>0</v>
      </c>
      <c r="M1281" s="59">
        <f>IFERROR(R1281/$S$2,"")</f>
        <v>0</v>
      </c>
      <c r="N1281" s="854">
        <f>IFERROR((L1281/M1281),0)</f>
        <v>0</v>
      </c>
      <c r="O1281" s="59">
        <f>IFERROR(SUMIF(ETM!$A:$A,$Q1281,ETM!$E:$E),"")</f>
        <v>0</v>
      </c>
      <c r="P1281" s="880">
        <f>IFERROR(L1281/O1281,0)</f>
        <v>0</v>
      </c>
      <c r="Q1281" s="795" t="s">
        <v>832</v>
      </c>
      <c r="R1281" s="785" t="str">
        <f>IFERROR(VLOOKUP($Q1281,'391'!$S:$Z,8,0),"0")</f>
        <v>0</v>
      </c>
      <c r="S1281" s="796"/>
      <c r="T1281" s="797"/>
      <c r="U1281" s="797"/>
      <c r="V1281" s="797"/>
      <c r="W1281" s="785">
        <f>IFERROR(VLOOKUP($Q1281,'391'!$S:$AG,15,0),0)</f>
        <v>0</v>
      </c>
      <c r="X1281" s="1090">
        <f t="shared" si="745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86" t="str">
        <f>IF(L1286=0,"",MAX($A$16:A1281)+1)</f>
        <v/>
      </c>
      <c r="B1282" s="2018" t="s">
        <v>342</v>
      </c>
      <c r="C1282" s="127"/>
      <c r="D1282" s="866" t="s">
        <v>10</v>
      </c>
      <c r="E1282" s="867">
        <v>45926</v>
      </c>
      <c r="F1282" s="75">
        <f>$L$7-E1282</f>
        <v>335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703">
        <f t="shared" si="765"/>
        <v>0</v>
      </c>
      <c r="M1282" s="50"/>
      <c r="N1282" s="167"/>
      <c r="O1282" s="1452"/>
      <c r="P1282" s="1479"/>
      <c r="Q1282" s="795"/>
      <c r="R1282" s="785">
        <f>IFERROR(VLOOKUP($Q1282,'391'!$S:$Z,8,0),"")</f>
        <v>0</v>
      </c>
      <c r="S1282" s="796"/>
      <c r="T1282" s="797" t="str">
        <f>$Q$1286&amp;C1282&amp;E1282</f>
        <v>Covotek (France)45926</v>
      </c>
      <c r="U1282" s="797"/>
      <c r="V1282" s="797"/>
      <c r="W1282" s="785">
        <f>IFERROR(VLOOKUP($Q1282,'391'!$S:$AG,15,0),0)</f>
        <v>0</v>
      </c>
      <c r="X1282" s="1090">
        <f t="shared" si="745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87"/>
      <c r="B1283" s="2019"/>
      <c r="C1283" s="127" t="s">
        <v>596</v>
      </c>
      <c r="D1283" s="866" t="s">
        <v>10</v>
      </c>
      <c r="E1283" s="867">
        <v>46129</v>
      </c>
      <c r="F1283" s="75">
        <f>$L$7-E1283</f>
        <v>132</v>
      </c>
      <c r="G1283" s="64">
        <v>0</v>
      </c>
      <c r="H1283" s="64"/>
      <c r="I1283" s="64"/>
      <c r="J1283" s="1367"/>
      <c r="K1283" s="64">
        <f>IFERROR(SUMIF(INTAKE!$A:$A,$T1283,INTAKE!$P:$P),0)</f>
        <v>0</v>
      </c>
      <c r="L1283" s="1703">
        <f t="shared" si="765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$Q$1286&amp;C1283&amp;E1283</f>
        <v>Covotek (France)V2.146129</v>
      </c>
      <c r="U1283" s="797"/>
      <c r="V1283" s="797"/>
      <c r="W1283" s="785">
        <f>IFERROR(VLOOKUP($Q1283,'391'!$S:$AG,15,0),0)</f>
        <v>0</v>
      </c>
      <c r="X1283" s="1090">
        <f t="shared" si="745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2087"/>
      <c r="B1284" s="2019"/>
      <c r="C1284" s="127"/>
      <c r="D1284" s="866" t="s">
        <v>10</v>
      </c>
      <c r="E1284" s="867">
        <v>46084</v>
      </c>
      <c r="F1284" s="75">
        <f>$L$7-E1284</f>
        <v>177</v>
      </c>
      <c r="G1284" s="64">
        <v>0</v>
      </c>
      <c r="H1284" s="64"/>
      <c r="I1284" s="64"/>
      <c r="J1284" s="1367"/>
      <c r="K1284" s="64">
        <f>IFERROR(SUMIF(INTAKE!$A:$A,$T1284,INTAKE!$P:$P),0)</f>
        <v>0</v>
      </c>
      <c r="L1284" s="1534">
        <f t="shared" si="765"/>
        <v>0</v>
      </c>
      <c r="M1284" s="1453"/>
      <c r="N1284" s="1460"/>
      <c r="O1284" s="1453"/>
      <c r="P1284" s="1480"/>
      <c r="Q1284" s="795"/>
      <c r="R1284" s="785">
        <f>IFERROR(VLOOKUP($Q1284,'391'!$S:$Z,8,0),"")</f>
        <v>0</v>
      </c>
      <c r="S1284" s="796"/>
      <c r="T1284" s="797" t="str">
        <f>$Q$1286&amp;C1284&amp;E1284</f>
        <v>Covotek (France)46084</v>
      </c>
      <c r="U1284" s="797"/>
      <c r="V1284" s="797"/>
      <c r="W1284" s="785">
        <f>IFERROR(VLOOKUP($Q1284,'391'!$S:$AG,15,0),0)</f>
        <v>0</v>
      </c>
      <c r="X1284" s="1090">
        <f t="shared" si="745"/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88"/>
      <c r="B1285" s="2199"/>
      <c r="C1285" s="108" t="s">
        <v>46</v>
      </c>
      <c r="D1285" s="884" t="s">
        <v>10</v>
      </c>
      <c r="E1285" s="885">
        <v>46129</v>
      </c>
      <c r="F1285" s="293">
        <f>$L$7-E1285</f>
        <v>132</v>
      </c>
      <c r="G1285" s="1214">
        <v>0</v>
      </c>
      <c r="H1285" s="1214"/>
      <c r="I1285" s="1214">
        <f>+SUM(K1282:K1284)</f>
        <v>0</v>
      </c>
      <c r="J1285" s="1390">
        <f>+usage!I93</f>
        <v>0</v>
      </c>
      <c r="K1285" s="64">
        <f>IFERROR(SUMIF(INTAKE!$A:$A,$T1285,INTAKE!$P:$P),0)</f>
        <v>0</v>
      </c>
      <c r="L1285" s="1534">
        <f t="shared" si="765"/>
        <v>0</v>
      </c>
      <c r="M1285" s="1453"/>
      <c r="N1285" s="1460"/>
      <c r="O1285" s="1453"/>
      <c r="P1285" s="1480"/>
      <c r="Q1285" s="795"/>
      <c r="R1285" s="785">
        <f>IFERROR(VLOOKUP($Q1285,'391'!$S:$Z,8,0),"")</f>
        <v>0</v>
      </c>
      <c r="S1285" s="796"/>
      <c r="T1285" s="797" t="str">
        <f>$Q$1286&amp;C1285&amp;E1285</f>
        <v>Covotek (France)Feedmill46129</v>
      </c>
      <c r="U1285" s="797"/>
      <c r="V1285" s="797"/>
      <c r="W1285" s="785">
        <f>IFERROR(VLOOKUP($Q1285,'391'!$S:$AG,15,0),0)</f>
        <v>0</v>
      </c>
      <c r="X1285" s="1090">
        <f t="shared" si="745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0" hidden="1" customHeight="1" x14ac:dyDescent="0.25">
      <c r="A1286" s="184"/>
      <c r="B1286" s="184" t="s">
        <v>568</v>
      </c>
      <c r="C1286" s="575"/>
      <c r="D1286" s="900"/>
      <c r="E1286" s="901"/>
      <c r="F1286" s="902"/>
      <c r="G1286" s="1337">
        <v>0</v>
      </c>
      <c r="H1286" s="1337">
        <f t="shared" ref="H1286:L1286" si="778">+SUM(H1282:H1285)</f>
        <v>0</v>
      </c>
      <c r="I1286" s="1337">
        <f t="shared" si="778"/>
        <v>0</v>
      </c>
      <c r="J1286" s="1337">
        <f t="shared" si="778"/>
        <v>0</v>
      </c>
      <c r="K1286" s="1337">
        <f t="shared" si="778"/>
        <v>0</v>
      </c>
      <c r="L1286" s="1337">
        <f t="shared" si="778"/>
        <v>0</v>
      </c>
      <c r="M1286" s="59" t="str">
        <f>IFERROR(R1286/$S$2,"")</f>
        <v/>
      </c>
      <c r="N1286" s="854">
        <f>IFERROR((L1286/M1286),0)</f>
        <v>0</v>
      </c>
      <c r="O1286" s="59">
        <f>IFERROR(SUMIF(ETM!$A:$A,$Q1286,ETM!$E:$E),"")</f>
        <v>0</v>
      </c>
      <c r="P1286" s="880">
        <f>IFERROR(L1286/O1286,0)</f>
        <v>0</v>
      </c>
      <c r="Q1286" s="795" t="s">
        <v>342</v>
      </c>
      <c r="R1286" s="785" t="str">
        <f>IFERROR(VLOOKUP($Q1286,'391'!$S:$Z,8,0),"")</f>
        <v/>
      </c>
      <c r="S1286" s="796"/>
      <c r="T1286" s="797"/>
      <c r="U1286" s="797"/>
      <c r="V1286" s="797"/>
      <c r="W1286" s="785">
        <f>IFERROR(VLOOKUP($Q1286,'391'!$S:$AG,15,0),0)</f>
        <v>0</v>
      </c>
      <c r="X1286" s="1090">
        <f t="shared" ref="X1286:X1354" si="779">G1286-W1286</f>
        <v>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hidden="1" customHeight="1" x14ac:dyDescent="0.25">
      <c r="A1287" s="2086">
        <f>IF(L1292=0,"",MAX($A$16:A1286)+1)</f>
        <v>86</v>
      </c>
      <c r="B1287" s="2078" t="s">
        <v>1749</v>
      </c>
      <c r="C1287" s="574"/>
      <c r="D1287" s="881" t="s">
        <v>10</v>
      </c>
      <c r="E1287" s="882">
        <v>45758</v>
      </c>
      <c r="F1287" s="71">
        <f t="shared" ref="F1287:F1289" si="780">$L$7-E1287</f>
        <v>503</v>
      </c>
      <c r="G1287" s="64">
        <v>0</v>
      </c>
      <c r="H1287" s="64"/>
      <c r="I1287" s="64"/>
      <c r="J1287" s="1367"/>
      <c r="K1287" s="64">
        <f>IFERROR(SUMIF(INTAKE!$A:$A,$T1287,INTAKE!$P:$P),0)</f>
        <v>0</v>
      </c>
      <c r="L1287" s="1703">
        <f t="shared" ref="L1287:L1291" si="781">+G1287+H1287+I1287-J1287-K1287</f>
        <v>0</v>
      </c>
      <c r="M1287" s="50"/>
      <c r="N1287" s="50"/>
      <c r="O1287" s="50"/>
      <c r="P1287" s="744"/>
      <c r="Q1287" s="795"/>
      <c r="R1287" s="785">
        <f>IFERROR(VLOOKUP($Q1287,'391'!$S:$Z,8,0),"")</f>
        <v>0</v>
      </c>
      <c r="S1287" s="796"/>
      <c r="T1287" s="797" t="str">
        <f>$Q$1292&amp;C1287&amp;E1287</f>
        <v>Sucram (Switzerland)45758</v>
      </c>
      <c r="U1287" s="797"/>
      <c r="V1287" s="797"/>
      <c r="W1287" s="785">
        <f>IFERROR(VLOOKUP($Q1287,'391'!$S:$AG,15,0),0)</f>
        <v>0</v>
      </c>
      <c r="X1287" s="1090">
        <f t="shared" si="779"/>
        <v>0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1.5" customHeight="1" x14ac:dyDescent="0.25">
      <c r="A1288" s="2087"/>
      <c r="B1288" s="2079"/>
      <c r="C1288" s="574" t="s">
        <v>1310</v>
      </c>
      <c r="D1288" s="881" t="s">
        <v>10</v>
      </c>
      <c r="E1288" s="882">
        <v>46233</v>
      </c>
      <c r="F1288" s="71">
        <f t="shared" si="780"/>
        <v>28</v>
      </c>
      <c r="G1288" s="64">
        <v>325</v>
      </c>
      <c r="H1288" s="64"/>
      <c r="I1288" s="64"/>
      <c r="J1288" s="1367"/>
      <c r="K1288" s="64">
        <f>IFERROR(SUMIF(INTAKE!$A:$A,$T1288,INTAKE!$P:$P),0)</f>
        <v>50</v>
      </c>
      <c r="L1288" s="1703">
        <f t="shared" si="781"/>
        <v>275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$Q$1289&amp;C1288&amp;E1288</f>
        <v>SUCRAM 5S HYDRO (SWITZERLAND)V7.146233</v>
      </c>
      <c r="U1288" s="797"/>
      <c r="V1288" s="797"/>
      <c r="W1288" s="785">
        <f>IFERROR(VLOOKUP($Q1288,'391'!$S:$AG,15,0),0)</f>
        <v>0</v>
      </c>
      <c r="X1288" s="1090">
        <f t="shared" si="779"/>
        <v>325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87"/>
      <c r="B1289" s="2079"/>
      <c r="C1289" s="574" t="s">
        <v>1310</v>
      </c>
      <c r="D1289" s="881" t="s">
        <v>10</v>
      </c>
      <c r="E1289" s="882">
        <v>46247</v>
      </c>
      <c r="F1289" s="71">
        <f t="shared" si="780"/>
        <v>14</v>
      </c>
      <c r="G1289" s="64">
        <v>500</v>
      </c>
      <c r="H1289" s="64"/>
      <c r="I1289" s="64"/>
      <c r="J1289" s="1367"/>
      <c r="K1289" s="64">
        <f>IFERROR(SUMIF(INTAKE!$A:$A,$T1289,INTAKE!$P:$P),0)</f>
        <v>0</v>
      </c>
      <c r="L1289" s="1703">
        <f t="shared" si="781"/>
        <v>500</v>
      </c>
      <c r="M1289" s="48"/>
      <c r="N1289" s="48"/>
      <c r="O1289" s="48"/>
      <c r="P1289" s="738"/>
      <c r="Q1289" s="666" t="s">
        <v>1721</v>
      </c>
      <c r="R1289" s="785">
        <f>IFERROR(VLOOKUP($Q1289,'391'!$S:$Z,8,0),"")</f>
        <v>189.4</v>
      </c>
      <c r="S1289" s="796"/>
      <c r="T1289" s="797" t="str">
        <f>$Q$1289&amp;C1289&amp;E1289</f>
        <v>SUCRAM 5S HYDRO (SWITZERLAND)V7.146247</v>
      </c>
      <c r="U1289" s="797"/>
      <c r="V1289" s="797"/>
      <c r="W1289" s="785">
        <f>IFERROR(VLOOKUP($Q1289,'391'!$S:$AG,15,0),0)</f>
        <v>928.16</v>
      </c>
      <c r="X1289" s="1090">
        <f t="shared" si="779"/>
        <v>-428.15999999999997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hidden="1" customHeight="1" x14ac:dyDescent="0.25">
      <c r="A1290" s="2087"/>
      <c r="B1290" s="2079"/>
      <c r="C1290" s="574"/>
      <c r="D1290" s="881" t="s">
        <v>10</v>
      </c>
      <c r="E1290" s="882">
        <v>46247</v>
      </c>
      <c r="F1290" s="71">
        <f t="shared" ref="F1290:F1291" si="782">$L$7-E1290</f>
        <v>14</v>
      </c>
      <c r="G1290" s="64">
        <v>0</v>
      </c>
      <c r="H1290" s="64"/>
      <c r="I1290" s="64"/>
      <c r="J1290" s="1367"/>
      <c r="K1290" s="64">
        <f>IFERROR(SUMIF(INTAKE!$A:$A,$T1290,INTAKE!$P:$P),0)</f>
        <v>0</v>
      </c>
      <c r="L1290" s="1703">
        <f t="shared" si="781"/>
        <v>0</v>
      </c>
      <c r="M1290" s="48"/>
      <c r="N1290" s="48"/>
      <c r="O1290" s="48"/>
      <c r="P1290" s="738"/>
      <c r="Q1290" s="795"/>
      <c r="R1290" s="785">
        <f>IFERROR(VLOOKUP($Q1290,'391'!$S:$Z,8,0),"")</f>
        <v>0</v>
      </c>
      <c r="S1290" s="796"/>
      <c r="T1290" s="797" t="str">
        <f>$Q$1292&amp;C1290&amp;E1290</f>
        <v>Sucram (Switzerland)46247</v>
      </c>
      <c r="U1290" s="797"/>
      <c r="V1290" s="797"/>
      <c r="W1290" s="785">
        <f>IFERROR(VLOOKUP($Q1290,'391'!$S:$AG,15,0),0)</f>
        <v>0</v>
      </c>
      <c r="X1290" s="1090">
        <f t="shared" si="779"/>
        <v>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customHeight="1" x14ac:dyDescent="0.25">
      <c r="A1291" s="2088"/>
      <c r="B1291" s="2195"/>
      <c r="C1291" s="138" t="s">
        <v>76</v>
      </c>
      <c r="D1291" s="884" t="s">
        <v>10</v>
      </c>
      <c r="E1291" s="885">
        <v>46233</v>
      </c>
      <c r="F1291" s="293">
        <f t="shared" si="782"/>
        <v>28</v>
      </c>
      <c r="G1291" s="1214">
        <v>0</v>
      </c>
      <c r="H1291" s="37"/>
      <c r="I1291" s="37">
        <f>SUM(K1287:K1290)</f>
        <v>50</v>
      </c>
      <c r="J1291" s="1385">
        <f>+usage!I92</f>
        <v>9.4</v>
      </c>
      <c r="K1291" s="64">
        <f>IFERROR(SUMIF(INTAKE!$A:$A,$T1291,INTAKE!$P:$P),0)</f>
        <v>0</v>
      </c>
      <c r="L1291" s="1534">
        <f t="shared" si="781"/>
        <v>40.6</v>
      </c>
      <c r="M1291" s="35"/>
      <c r="N1291" s="35"/>
      <c r="O1291" s="35"/>
      <c r="P1291" s="740"/>
      <c r="Q1291" s="795"/>
      <c r="R1291" s="785">
        <f>IFERROR(VLOOKUP($Q1291,'391'!$S:$Z,8,0),"")</f>
        <v>0</v>
      </c>
      <c r="S1291" s="796"/>
      <c r="T1291" s="797" t="str">
        <f>$Q$1292&amp;C1291&amp;E1291</f>
        <v>Sucram (Switzerland)Feedmil46233</v>
      </c>
      <c r="U1291" s="797"/>
      <c r="V1291" s="797"/>
      <c r="W1291" s="785">
        <f>IFERROR(VLOOKUP($Q1291,'391'!$S:$AG,15,0),0)</f>
        <v>0</v>
      </c>
      <c r="X1291" s="1090">
        <f t="shared" si="779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184"/>
      <c r="B1292" s="184" t="s">
        <v>323</v>
      </c>
      <c r="C1292" s="575"/>
      <c r="D1292" s="900"/>
      <c r="E1292" s="901"/>
      <c r="F1292" s="902"/>
      <c r="G1292" s="1337">
        <v>825</v>
      </c>
      <c r="H1292" s="1337">
        <f t="shared" ref="H1292:L1292" si="783">+SUM(H1287:H1291)</f>
        <v>0</v>
      </c>
      <c r="I1292" s="1337">
        <f t="shared" si="783"/>
        <v>50</v>
      </c>
      <c r="J1292" s="1337">
        <f t="shared" si="783"/>
        <v>9.4</v>
      </c>
      <c r="K1292" s="1337">
        <f t="shared" si="783"/>
        <v>50</v>
      </c>
      <c r="L1292" s="1337">
        <f t="shared" si="783"/>
        <v>815.6</v>
      </c>
      <c r="M1292" s="59">
        <f>IFERROR(S1292/$S$2,"")</f>
        <v>31.566666666666666</v>
      </c>
      <c r="N1292" s="854">
        <f>IFERROR((L1292/M1292),0)</f>
        <v>25.837381203801478</v>
      </c>
      <c r="O1292" s="59">
        <f>IFERROR(SUMIF(ETM!$A:$A,$Q1292,ETM!$E:$E),"")</f>
        <v>31.166666666666664</v>
      </c>
      <c r="P1292" s="880">
        <f>IFERROR(L1292/O1292,0)</f>
        <v>26.168983957219254</v>
      </c>
      <c r="Q1292" s="795" t="s">
        <v>323</v>
      </c>
      <c r="R1292" s="785" t="str">
        <f>IFERROR(VLOOKUP($Q1292,'391'!$S:$Z,8,0),"0")</f>
        <v>0</v>
      </c>
      <c r="S1292" s="819">
        <f>+R1289+R1292</f>
        <v>189.4</v>
      </c>
      <c r="T1292" s="797"/>
      <c r="U1292" s="797"/>
      <c r="V1292" s="797"/>
      <c r="W1292" s="785">
        <f>IFERROR(VLOOKUP($Q1292,'391'!$S:$AG,15,0),0)</f>
        <v>0</v>
      </c>
      <c r="X1292" s="1090">
        <f>G1292-W1292-W1289</f>
        <v>-103.15999999999997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86">
        <f>IF(L1297=0,"",MAX($A$16:A1292)+1)</f>
        <v>87</v>
      </c>
      <c r="B1293" s="2027" t="s">
        <v>471</v>
      </c>
      <c r="C1293" s="114"/>
      <c r="D1293" s="881" t="s">
        <v>10</v>
      </c>
      <c r="E1293" s="935">
        <v>46016</v>
      </c>
      <c r="F1293" s="71">
        <f>$L$7-E1293</f>
        <v>245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8"/>
      <c r="N1293" s="163"/>
      <c r="O1293" s="48"/>
      <c r="P1293" s="738"/>
      <c r="Q1293" s="795"/>
      <c r="R1293" s="785">
        <f>IFERROR(VLOOKUP($Q1293,'391'!$S:$Z,8,0),"")</f>
        <v>0</v>
      </c>
      <c r="S1293" s="796"/>
      <c r="T1293" s="797" t="str">
        <f>$Q$1297&amp;C1293&amp;E1293</f>
        <v>Hizox (France)46016</v>
      </c>
      <c r="U1293" s="797"/>
      <c r="V1293" s="797"/>
      <c r="W1293" s="785">
        <f>IFERROR(VLOOKUP($Q1293,'391'!$S:$AG,15,0),0)</f>
        <v>0</v>
      </c>
      <c r="X1293" s="1090">
        <f t="shared" si="779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87"/>
      <c r="B1294" s="2028"/>
      <c r="C1294" s="114" t="s">
        <v>2110</v>
      </c>
      <c r="D1294" s="881" t="s">
        <v>10</v>
      </c>
      <c r="E1294" s="935">
        <v>46247</v>
      </c>
      <c r="F1294" s="71">
        <f>$L$7-E1294</f>
        <v>14</v>
      </c>
      <c r="G1294" s="64">
        <v>900</v>
      </c>
      <c r="H1294" s="64"/>
      <c r="I1294" s="64"/>
      <c r="J1294" s="1367"/>
      <c r="K1294" s="64">
        <f>IFERROR(SUMIF(INTAKE!$A:$A,$T1294,INTAKE!$P:$P),0)</f>
        <v>0</v>
      </c>
      <c r="L1294" s="1703">
        <f>+G1294+H1294+I1294-J1294-K1294</f>
        <v>900</v>
      </c>
      <c r="M1294" s="45"/>
      <c r="N1294" s="163"/>
      <c r="O1294" s="45"/>
      <c r="P1294" s="738"/>
      <c r="Q1294" s="795"/>
      <c r="R1294" s="785">
        <f>IFERROR(VLOOKUP($Q1294,'391'!$S:$Z,8,0),"")</f>
        <v>0</v>
      </c>
      <c r="S1294" s="796"/>
      <c r="T1294" s="797" t="str">
        <f>$Q$1297&amp;C1294&amp;E1294</f>
        <v>Hizox (France)D246247</v>
      </c>
      <c r="U1294" s="797"/>
      <c r="V1294" s="797"/>
      <c r="W1294" s="785">
        <f>IFERROR(VLOOKUP($Q1294,'391'!$S:$AG,15,0),0)</f>
        <v>0</v>
      </c>
      <c r="X1294" s="1090">
        <f t="shared" si="779"/>
        <v>900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hidden="1" customHeight="1" x14ac:dyDescent="0.25">
      <c r="A1295" s="2087"/>
      <c r="B1295" s="2028"/>
      <c r="C1295" s="114"/>
      <c r="D1295" s="881" t="s">
        <v>10</v>
      </c>
      <c r="E1295" s="935">
        <v>46247</v>
      </c>
      <c r="F1295" s="71">
        <f>$L$7-E1295</f>
        <v>14</v>
      </c>
      <c r="G1295" s="64">
        <v>0</v>
      </c>
      <c r="H1295" s="64"/>
      <c r="I1295" s="64"/>
      <c r="J1295" s="1367"/>
      <c r="K1295" s="64">
        <f>IFERROR(SUMIF(INTAKE!$A:$A,$T1295,INTAKE!$P:$P),0)</f>
        <v>0</v>
      </c>
      <c r="L1295" s="1703">
        <f>+G1295+H1295+I1295-J1295-K1295</f>
        <v>0</v>
      </c>
      <c r="M1295" s="45"/>
      <c r="N1295" s="163"/>
      <c r="O1295" s="45"/>
      <c r="P1295" s="738"/>
      <c r="Q1295" s="795"/>
      <c r="R1295" s="785">
        <f>IFERROR(VLOOKUP($Q1295,'391'!$S:$Z,8,0),"")</f>
        <v>0</v>
      </c>
      <c r="S1295" s="796"/>
      <c r="T1295" s="797" t="str">
        <f>$Q$1297&amp;C1295&amp;E1295</f>
        <v>Hizox (France)46247</v>
      </c>
      <c r="U1295" s="797"/>
      <c r="V1295" s="797"/>
      <c r="W1295" s="785">
        <f>IFERROR(VLOOKUP($Q1295,'391'!$S:$AG,15,0),0)</f>
        <v>0</v>
      </c>
      <c r="X1295" s="1090">
        <f t="shared" si="779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88"/>
      <c r="B1296" s="2029"/>
      <c r="C1296" s="108" t="s">
        <v>46</v>
      </c>
      <c r="D1296" s="884" t="s">
        <v>10</v>
      </c>
      <c r="E1296" s="885">
        <v>46219</v>
      </c>
      <c r="F1296" s="293">
        <f>$L$7-E1296</f>
        <v>42</v>
      </c>
      <c r="G1296" s="1214">
        <v>109.14000000000004</v>
      </c>
      <c r="H1296" s="37"/>
      <c r="I1296" s="37">
        <f>SUM(K1293:K1295)</f>
        <v>0</v>
      </c>
      <c r="J1296" s="1385">
        <f>+usage!I129</f>
        <v>12.85</v>
      </c>
      <c r="K1296" s="64">
        <f>IFERROR(SUMIF(INTAKE!$A:$A,$T1296,INTAKE!$P:$P),0)</f>
        <v>0</v>
      </c>
      <c r="L1296" s="1534">
        <f>+G1296+H1296+I1296-J1296-K1296</f>
        <v>96.290000000000049</v>
      </c>
      <c r="M1296" s="35"/>
      <c r="N1296" s="920"/>
      <c r="O1296" s="35"/>
      <c r="P1296" s="738"/>
      <c r="Q1296" s="795"/>
      <c r="R1296" s="785">
        <f>IFERROR(VLOOKUP($Q1296,'391'!$S:$Z,8,0),"")</f>
        <v>0</v>
      </c>
      <c r="S1296" s="796"/>
      <c r="T1296" s="797" t="str">
        <f>$Q$1297&amp;C1296&amp;E1296</f>
        <v>Hizox (France)Feedmill46219</v>
      </c>
      <c r="U1296" s="797"/>
      <c r="V1296" s="797"/>
      <c r="W1296" s="785">
        <f>IFERROR(VLOOKUP($Q1296,'391'!$S:$AG,15,0),0)</f>
        <v>0</v>
      </c>
      <c r="X1296" s="1090">
        <f t="shared" si="779"/>
        <v>109.14000000000004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184"/>
      <c r="B1297" s="184" t="s">
        <v>567</v>
      </c>
      <c r="C1297" s="575"/>
      <c r="D1297" s="900"/>
      <c r="E1297" s="901"/>
      <c r="F1297" s="902"/>
      <c r="G1297" s="1337">
        <v>1009.1400000000001</v>
      </c>
      <c r="H1297" s="1337">
        <f>+SUM(H1293:H1296)</f>
        <v>0</v>
      </c>
      <c r="I1297" s="1337">
        <f>+SUM(I1293:I1296)</f>
        <v>0</v>
      </c>
      <c r="J1297" s="1337">
        <f t="shared" ref="J1297" si="784">+SUM(J1293:J1296)</f>
        <v>12.85</v>
      </c>
      <c r="K1297" s="1337">
        <f t="shared" ref="K1297:L1297" si="785">+SUM(K1293:K1296)</f>
        <v>0</v>
      </c>
      <c r="L1297" s="1337">
        <f t="shared" si="785"/>
        <v>996.29000000000008</v>
      </c>
      <c r="M1297" s="59">
        <f>IFERROR(R1297/$S$2,"")</f>
        <v>24.614999999999998</v>
      </c>
      <c r="N1297" s="366">
        <f>IFERROR(L1297/M1297,0)</f>
        <v>40.474913670526107</v>
      </c>
      <c r="O1297" s="59">
        <f>IFERROR(SUMIF(ETM!$A:$A,$Q1297,ETM!$E:$E),"")</f>
        <v>23.333333333333336</v>
      </c>
      <c r="P1297" s="880">
        <f>IFERROR(L1297/O1297,0)</f>
        <v>42.698142857142855</v>
      </c>
      <c r="Q1297" s="795" t="s">
        <v>471</v>
      </c>
      <c r="R1297" s="785">
        <f>IFERROR(VLOOKUP($Q1297,'391'!$S:$Z,8,0),"")</f>
        <v>147.69</v>
      </c>
      <c r="S1297" s="796"/>
      <c r="T1297" s="797"/>
      <c r="U1297" s="797"/>
      <c r="V1297" s="797"/>
      <c r="W1297" s="785">
        <f>IFERROR(VLOOKUP($Q1297,'391'!$S:$AG,15,0),0)</f>
        <v>1078.3600000000001</v>
      </c>
      <c r="X1297" s="1090">
        <f t="shared" si="779"/>
        <v>-69.220000000000027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customHeight="1" x14ac:dyDescent="0.25">
      <c r="A1298" s="2086">
        <f>IF(L1302=0,"",MAX($A$16:A1297)+1)</f>
        <v>88</v>
      </c>
      <c r="B1298" s="2015" t="s">
        <v>516</v>
      </c>
      <c r="C1298" s="574" t="s">
        <v>1717</v>
      </c>
      <c r="D1298" s="881" t="s">
        <v>10</v>
      </c>
      <c r="E1298" s="882">
        <v>46178</v>
      </c>
      <c r="F1298" s="71">
        <f>$L$7-E1298</f>
        <v>83</v>
      </c>
      <c r="G1298" s="64">
        <v>8000</v>
      </c>
      <c r="H1298" s="64"/>
      <c r="I1298" s="64"/>
      <c r="J1298" s="1404"/>
      <c r="K1298" s="1348">
        <f>IFERROR(SUMIF(INTAKE!$A:$A,$T1298,INTAKE!$P:$P),0)</f>
        <v>0</v>
      </c>
      <c r="L1298" s="1703">
        <f>+G1298+H1298+I1298-J1298-K1298</f>
        <v>8000</v>
      </c>
      <c r="M1298" s="48"/>
      <c r="N1298" s="163"/>
      <c r="O1298" s="48"/>
      <c r="P1298" s="737"/>
      <c r="Q1298" s="795"/>
      <c r="R1298" s="785">
        <f>IFERROR(VLOOKUP($Q1298,'391'!$S:$Z,8,0),"")</f>
        <v>0</v>
      </c>
      <c r="S1298" s="796"/>
      <c r="T1298" s="797" t="str">
        <f>$Q$1302&amp;C1298&amp;E1298</f>
        <v xml:space="preserve"> Salcurb RME Liquid (Singapore)A15.246178</v>
      </c>
      <c r="U1298" s="797"/>
      <c r="V1298" s="797"/>
      <c r="W1298" s="785">
        <f>IFERROR(VLOOKUP($Q1298,'391'!$S:$AG,15,0),0)</f>
        <v>0</v>
      </c>
      <c r="X1298" s="1090">
        <f t="shared" si="779"/>
        <v>8000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87"/>
      <c r="B1299" s="2016"/>
      <c r="C1299" s="574" t="s">
        <v>1717</v>
      </c>
      <c r="D1299" s="881" t="s">
        <v>10</v>
      </c>
      <c r="E1299" s="882">
        <v>46241</v>
      </c>
      <c r="F1299" s="71">
        <f>$L$7-E1299</f>
        <v>20</v>
      </c>
      <c r="G1299" s="64">
        <v>10000</v>
      </c>
      <c r="H1299" s="63"/>
      <c r="I1299" s="63"/>
      <c r="J1299" s="1419"/>
      <c r="K1299" s="1348">
        <f>IFERROR(SUMIF(INTAKE!$A:$A,$T1299,INTAKE!$P:$P),0)</f>
        <v>0</v>
      </c>
      <c r="L1299" s="1703">
        <f>+G1299+H1299+I1299-J1299-K1299</f>
        <v>10000</v>
      </c>
      <c r="M1299" s="48"/>
      <c r="N1299" s="163"/>
      <c r="O1299" s="48"/>
      <c r="P1299" s="738"/>
      <c r="Q1299" s="795"/>
      <c r="R1299" s="785">
        <f>IFERROR(VLOOKUP($Q1299,'391'!$S:$Z,8,0),"")</f>
        <v>0</v>
      </c>
      <c r="S1299" s="796"/>
      <c r="T1299" s="797" t="str">
        <f>$Q$1302&amp;C1299&amp;E1299</f>
        <v xml:space="preserve"> Salcurb RME Liquid (Singapore)A15.246241</v>
      </c>
      <c r="U1299" s="797"/>
      <c r="V1299" s="797"/>
      <c r="W1299" s="785">
        <f>IFERROR(VLOOKUP($Q1299,'391'!$S:$AG,15,0),0)</f>
        <v>0</v>
      </c>
      <c r="X1299" s="1090">
        <f t="shared" si="779"/>
        <v>10000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hidden="1" customHeight="1" x14ac:dyDescent="0.25">
      <c r="A1300" s="2087"/>
      <c r="B1300" s="2016"/>
      <c r="C1300" s="574"/>
      <c r="D1300" s="881" t="s">
        <v>10</v>
      </c>
      <c r="E1300" s="882">
        <v>45839</v>
      </c>
      <c r="F1300" s="71">
        <f>$L$7-E1300</f>
        <v>422</v>
      </c>
      <c r="G1300" s="64">
        <v>0</v>
      </c>
      <c r="H1300" s="63"/>
      <c r="I1300" s="63"/>
      <c r="J1300" s="1419"/>
      <c r="K1300" s="1348">
        <f>IFERROR(SUMIF(INTAKE!$A:$A,$T1300,INTAKE!$P:$P),0)</f>
        <v>0</v>
      </c>
      <c r="L1300" s="1703">
        <f>+G1300+H1300+I1300-J1300-K1300</f>
        <v>0</v>
      </c>
      <c r="M1300" s="45"/>
      <c r="N1300" s="1060"/>
      <c r="O1300" s="45"/>
      <c r="P1300" s="736"/>
      <c r="Q1300" s="795"/>
      <c r="R1300" s="785">
        <f>IFERROR(VLOOKUP($Q1300,'391'!$S:$Z,8,0),"")</f>
        <v>0</v>
      </c>
      <c r="S1300" s="796"/>
      <c r="T1300" s="797" t="str">
        <f>$Q$1302&amp;C1300&amp;E1300</f>
        <v xml:space="preserve"> Salcurb RME Liquid (Singapore)45839</v>
      </c>
      <c r="U1300" s="797"/>
      <c r="V1300" s="797"/>
      <c r="W1300" s="785">
        <f>IFERROR(VLOOKUP($Q1300,'391'!$S:$AG,15,0),0)</f>
        <v>0</v>
      </c>
      <c r="X1300" s="1090">
        <f t="shared" si="779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customHeight="1" x14ac:dyDescent="0.25">
      <c r="A1301" s="2088"/>
      <c r="B1301" s="2197"/>
      <c r="C1301" s="138" t="s">
        <v>868</v>
      </c>
      <c r="D1301" s="884" t="s">
        <v>10</v>
      </c>
      <c r="E1301" s="885">
        <v>46178</v>
      </c>
      <c r="F1301" s="293">
        <f>$L$7-E1301</f>
        <v>83</v>
      </c>
      <c r="G1301" s="1214">
        <v>1670.7800000000002</v>
      </c>
      <c r="H1301" s="37"/>
      <c r="I1301" s="37">
        <f>K1298+K1299</f>
        <v>0</v>
      </c>
      <c r="J1301" s="1420">
        <f>usage!I152</f>
        <v>24.3</v>
      </c>
      <c r="K1301" s="1348"/>
      <c r="L1301" s="1534">
        <f>+G1301+H1301+I1301-J1301-K1301</f>
        <v>1646.4800000000002</v>
      </c>
      <c r="M1301" s="35"/>
      <c r="N1301" s="920"/>
      <c r="O1301" s="35"/>
      <c r="P1301" s="1013"/>
      <c r="Q1301" s="795"/>
      <c r="R1301" s="785">
        <f>IFERROR(VLOOKUP($Q1301,'391'!$S:$Z,8,0),"")</f>
        <v>0</v>
      </c>
      <c r="S1301" s="796"/>
      <c r="T1301" s="797" t="str">
        <f>$Q$1302&amp;C1301&amp;E1301</f>
        <v xml:space="preserve"> Salcurb RME Liquid (Singapore)LA946178</v>
      </c>
      <c r="U1301" s="797"/>
      <c r="V1301" s="797"/>
      <c r="W1301" s="785">
        <f>IFERROR(VLOOKUP($Q1301,'391'!$S:$AG,15,0),0)</f>
        <v>0</v>
      </c>
      <c r="X1301" s="1090">
        <f t="shared" si="779"/>
        <v>1670.7800000000002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184"/>
      <c r="B1302" s="184" t="s">
        <v>552</v>
      </c>
      <c r="C1302" s="575"/>
      <c r="D1302" s="900"/>
      <c r="E1302" s="901"/>
      <c r="F1302" s="902"/>
      <c r="G1302" s="1337">
        <v>19670.78</v>
      </c>
      <c r="H1302" s="1337">
        <f>+SUM(H1298:H1301)</f>
        <v>0</v>
      </c>
      <c r="I1302" s="1337">
        <f>+SUM(I1298:I1301)</f>
        <v>0</v>
      </c>
      <c r="J1302" s="1337">
        <f t="shared" ref="J1302" si="786">+SUM(J1298:J1301)</f>
        <v>24.3</v>
      </c>
      <c r="K1302" s="1337">
        <f t="shared" ref="K1302:L1302" si="787">+SUM(K1298:K1301)</f>
        <v>0</v>
      </c>
      <c r="L1302" s="1337">
        <f t="shared" si="787"/>
        <v>19646.48</v>
      </c>
      <c r="M1302" s="59">
        <f>IFERROR(R1302/$S$2,"")</f>
        <v>48.333333333333336</v>
      </c>
      <c r="N1302" s="366">
        <f>IFERROR(L1302/M1302,0)</f>
        <v>406.47889655172412</v>
      </c>
      <c r="O1302" s="59">
        <f>IFERROR(SUMIF(ETM!$A:$A,$Q1302,ETM!$E:$E),"")</f>
        <v>4</v>
      </c>
      <c r="P1302" s="880">
        <f>IFERROR(L1302/O1302,0)</f>
        <v>4911.62</v>
      </c>
      <c r="Q1302" s="809" t="s">
        <v>833</v>
      </c>
      <c r="R1302" s="785">
        <f>IFERROR(VLOOKUP($Q1302,'391'!$S:$Z,8,0),"")</f>
        <v>290</v>
      </c>
      <c r="S1302" s="796"/>
      <c r="T1302" s="797"/>
      <c r="U1302" s="797"/>
      <c r="V1302" s="797"/>
      <c r="W1302" s="785">
        <f>IFERROR(VLOOKUP($Q1302,'391'!$S:$AG,15,0),0)</f>
        <v>19850</v>
      </c>
      <c r="X1302" s="1090">
        <f t="shared" si="779"/>
        <v>-179.22000000000116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hidden="1" customHeight="1" x14ac:dyDescent="0.25">
      <c r="A1303" s="2086">
        <f>IF(L1311=0,"",MAX($A$16:A1302)+1)</f>
        <v>89</v>
      </c>
      <c r="B1303" s="2078" t="s">
        <v>547</v>
      </c>
      <c r="C1303" s="574"/>
      <c r="D1303" s="881" t="s">
        <v>10</v>
      </c>
      <c r="E1303" s="882">
        <v>46134</v>
      </c>
      <c r="F1303" s="71">
        <f t="shared" ref="F1303:F1308" si="788">$L$7-E1303</f>
        <v>127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3">
        <f t="shared" ref="L1303:L1310" si="789">+G1303+H1303+I1303-J1303-K1303</f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ref="T1303:T1310" si="790">$Q$1311&amp;C1303&amp;E1303</f>
        <v>L-Valine (China)46134</v>
      </c>
      <c r="U1303" s="797"/>
      <c r="V1303" s="797"/>
      <c r="W1303" s="785">
        <f>IFERROR(VLOOKUP($Q1303,'391'!$S:$AG,15,0),0)</f>
        <v>0</v>
      </c>
      <c r="X1303" s="1090">
        <f t="shared" si="779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87"/>
      <c r="B1304" s="2079"/>
      <c r="C1304" s="574" t="s">
        <v>1868</v>
      </c>
      <c r="D1304" s="881" t="s">
        <v>10</v>
      </c>
      <c r="E1304" s="882">
        <v>46241</v>
      </c>
      <c r="F1304" s="71">
        <f t="shared" si="788"/>
        <v>20</v>
      </c>
      <c r="G1304" s="64">
        <v>0</v>
      </c>
      <c r="H1304" s="64"/>
      <c r="I1304" s="64"/>
      <c r="J1304" s="1367"/>
      <c r="K1304" s="64">
        <f>IFERROR(SUMIF(INTAKE!$A:$A,$T1304,INTAKE!$P:$P),0)</f>
        <v>0</v>
      </c>
      <c r="L1304" s="1703">
        <f t="shared" si="789"/>
        <v>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0"/>
        <v>L-Valine (China)V3.346241</v>
      </c>
      <c r="U1304" s="797"/>
      <c r="V1304" s="797"/>
      <c r="W1304" s="785">
        <f>IFERROR(VLOOKUP($Q1304,'391'!$S:$AG,15,0),0)</f>
        <v>0</v>
      </c>
      <c r="X1304" s="1090">
        <f t="shared" si="779"/>
        <v>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24"/>
      <c r="B1305" s="2085"/>
      <c r="C1305" s="574" t="s">
        <v>1880</v>
      </c>
      <c r="D1305" s="881" t="s">
        <v>10</v>
      </c>
      <c r="E1305" s="882">
        <v>46241</v>
      </c>
      <c r="F1305" s="71">
        <f t="shared" si="788"/>
        <v>20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3">
        <f t="shared" si="789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0"/>
        <v>L-Valine (China)V4.346241</v>
      </c>
      <c r="U1305" s="797"/>
      <c r="V1305" s="797"/>
      <c r="W1305" s="785">
        <f>IFERROR(VLOOKUP($Q1305,'391'!$S:$AG,15,0),0)</f>
        <v>0</v>
      </c>
      <c r="X1305" s="1090">
        <f t="shared" si="779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customHeight="1" x14ac:dyDescent="0.25">
      <c r="A1306" s="2124"/>
      <c r="B1306" s="2085"/>
      <c r="C1306" s="574" t="s">
        <v>2185</v>
      </c>
      <c r="D1306" s="881" t="s">
        <v>10</v>
      </c>
      <c r="E1306" s="882">
        <v>46247</v>
      </c>
      <c r="F1306" s="71">
        <f t="shared" si="788"/>
        <v>14</v>
      </c>
      <c r="G1306" s="64">
        <v>2000</v>
      </c>
      <c r="H1306" s="64"/>
      <c r="I1306" s="64"/>
      <c r="J1306" s="1367"/>
      <c r="K1306" s="64">
        <f>IFERROR(SUMIF(INTAKE!$A:$A,$T1306,INTAKE!$P:$P),0)</f>
        <v>0</v>
      </c>
      <c r="L1306" s="1703">
        <f t="shared" si="789"/>
        <v>2000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0"/>
        <v>L-Valine (China)Z3.346247</v>
      </c>
      <c r="U1306" s="797"/>
      <c r="V1306" s="797"/>
      <c r="W1306" s="785">
        <f>IFERROR(VLOOKUP($Q1306,'391'!$S:$AG,15,0),0)</f>
        <v>0</v>
      </c>
      <c r="X1306" s="1090">
        <f t="shared" ref="X1306" si="791">G1306-W1306</f>
        <v>2000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customHeight="1" x14ac:dyDescent="0.25">
      <c r="A1307" s="2124"/>
      <c r="B1307" s="2085"/>
      <c r="C1307" s="574" t="s">
        <v>2220</v>
      </c>
      <c r="D1307" s="881" t="s">
        <v>10</v>
      </c>
      <c r="E1307" s="882">
        <v>46254</v>
      </c>
      <c r="F1307" s="71">
        <f t="shared" ref="F1307" si="792">$L$7-E1307</f>
        <v>7</v>
      </c>
      <c r="G1307" s="64">
        <v>2000</v>
      </c>
      <c r="H1307" s="64"/>
      <c r="I1307" s="64"/>
      <c r="J1307" s="1367"/>
      <c r="K1307" s="64">
        <f>IFERROR(SUMIF(INTAKE!$A:$A,$T1307,INTAKE!$P:$P),0)</f>
        <v>0</v>
      </c>
      <c r="L1307" s="1703">
        <f t="shared" si="789"/>
        <v>2000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0"/>
        <v>L-Valine (China)V5.346254</v>
      </c>
      <c r="U1307" s="797"/>
      <c r="V1307" s="797"/>
      <c r="W1307" s="785">
        <f>IFERROR(VLOOKUP($Q1307,'391'!$S:$AG,15,0),0)</f>
        <v>0</v>
      </c>
      <c r="X1307" s="1090">
        <f t="shared" si="779"/>
        <v>2000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hidden="1" customHeight="1" x14ac:dyDescent="0.25">
      <c r="A1308" s="2124"/>
      <c r="B1308" s="2085"/>
      <c r="C1308" s="574"/>
      <c r="D1308" s="881" t="s">
        <v>10</v>
      </c>
      <c r="E1308" s="882">
        <v>46225</v>
      </c>
      <c r="F1308" s="71">
        <f t="shared" si="788"/>
        <v>36</v>
      </c>
      <c r="G1308" s="64">
        <v>0</v>
      </c>
      <c r="H1308" s="64"/>
      <c r="I1308" s="64"/>
      <c r="J1308" s="1367"/>
      <c r="K1308" s="64">
        <f>IFERROR(SUMIF(INTAKE!$A:$A,$T1308,INTAKE!$P:$P),0)</f>
        <v>0</v>
      </c>
      <c r="L1308" s="1703">
        <f t="shared" si="789"/>
        <v>0</v>
      </c>
      <c r="M1308" s="48"/>
      <c r="N1308" s="163"/>
      <c r="O1308" s="48"/>
      <c r="P1308" s="750"/>
      <c r="Q1308" s="795"/>
      <c r="R1308" s="785">
        <f>IFERROR(VLOOKUP($Q1308,'391'!$S:$Z,8,0),"")</f>
        <v>0</v>
      </c>
      <c r="S1308" s="796"/>
      <c r="T1308" s="797" t="str">
        <f t="shared" si="790"/>
        <v>L-Valine (China)46225</v>
      </c>
      <c r="U1308" s="797"/>
      <c r="V1308" s="797"/>
      <c r="W1308" s="785">
        <f>IFERROR(VLOOKUP($Q1308,'391'!$S:$AG,15,0),0)</f>
        <v>0</v>
      </c>
      <c r="X1308" s="1090">
        <f t="shared" si="779"/>
        <v>0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hidden="1" customHeight="1" x14ac:dyDescent="0.25">
      <c r="A1309" s="2124"/>
      <c r="B1309" s="2085"/>
      <c r="C1309" s="574"/>
      <c r="D1309" s="881" t="s">
        <v>10</v>
      </c>
      <c r="E1309" s="882">
        <v>46205</v>
      </c>
      <c r="F1309" s="71">
        <f t="shared" ref="F1309" si="793">$L$7-E1309</f>
        <v>56</v>
      </c>
      <c r="G1309" s="64">
        <v>0</v>
      </c>
      <c r="H1309" s="64"/>
      <c r="I1309" s="64"/>
      <c r="J1309" s="1367"/>
      <c r="K1309" s="64">
        <f>IFERROR(SUMIF(INTAKE!$A:$A,$T1309,INTAKE!$P:$P),0)</f>
        <v>0</v>
      </c>
      <c r="L1309" s="1703">
        <f t="shared" ref="L1309" si="794">+G1309+H1309+I1309-J1309-K1309</f>
        <v>0</v>
      </c>
      <c r="M1309" s="48"/>
      <c r="N1309" s="163"/>
      <c r="O1309" s="48"/>
      <c r="P1309" s="750"/>
      <c r="Q1309" s="795"/>
      <c r="R1309" s="785">
        <f>IFERROR(VLOOKUP($Q1309,'391'!$S:$Z,8,0),"")</f>
        <v>0</v>
      </c>
      <c r="S1309" s="796"/>
      <c r="T1309" s="797" t="str">
        <f t="shared" si="790"/>
        <v>L-Valine (China)46205</v>
      </c>
      <c r="U1309" s="797"/>
      <c r="V1309" s="797"/>
      <c r="W1309" s="785">
        <f>IFERROR(VLOOKUP($Q1309,'391'!$S:$AG,15,0),0)</f>
        <v>0</v>
      </c>
      <c r="X1309" s="1090">
        <f t="shared" ref="X1309" si="795">G1309-W1309</f>
        <v>0</v>
      </c>
      <c r="Y1309" s="785"/>
      <c r="Z1309" s="785"/>
      <c r="AA1309" s="797"/>
      <c r="AB1309" s="797"/>
      <c r="AC1309" s="551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88"/>
      <c r="B1310" s="2071"/>
      <c r="C1310" s="108" t="s">
        <v>46</v>
      </c>
      <c r="D1310" s="884" t="s">
        <v>10</v>
      </c>
      <c r="E1310" s="885">
        <v>46241</v>
      </c>
      <c r="F1310" s="293">
        <f t="shared" ref="F1310" si="796">$L$7-E1310</f>
        <v>20</v>
      </c>
      <c r="G1310" s="1214">
        <v>1904.8199999999993</v>
      </c>
      <c r="H1310" s="37"/>
      <c r="I1310" s="37">
        <f>+SUM(K1303:K1307)</f>
        <v>0</v>
      </c>
      <c r="J1310" s="1385">
        <f>usage!I153</f>
        <v>574.05999999999995</v>
      </c>
      <c r="K1310" s="64">
        <f>IFERROR(SUMIF(INTAKE!$A:$A,$T1310,INTAKE!$P:$P),0)</f>
        <v>0</v>
      </c>
      <c r="L1310" s="1534">
        <f t="shared" si="789"/>
        <v>1330.7599999999993</v>
      </c>
      <c r="M1310" s="35"/>
      <c r="N1310" s="920"/>
      <c r="O1310" s="35"/>
      <c r="P1310" s="1013"/>
      <c r="Q1310" s="795"/>
      <c r="R1310" s="785">
        <f>IFERROR(VLOOKUP($Q1310,'391'!$S:$Z,8,0),"")</f>
        <v>0</v>
      </c>
      <c r="S1310" s="796"/>
      <c r="T1310" s="797" t="str">
        <f t="shared" si="790"/>
        <v>L-Valine (China)Feedmill46241</v>
      </c>
      <c r="U1310" s="797"/>
      <c r="V1310" s="797"/>
      <c r="W1310" s="785">
        <f>IFERROR(VLOOKUP($Q1310,'391'!$S:$AG,15,0),0)</f>
        <v>0</v>
      </c>
      <c r="X1310" s="1090">
        <f t="shared" si="779"/>
        <v>1904.8199999999993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184"/>
      <c r="B1311" s="184" t="s">
        <v>566</v>
      </c>
      <c r="C1311" s="575"/>
      <c r="D1311" s="900"/>
      <c r="E1311" s="901"/>
      <c r="F1311" s="902"/>
      <c r="G1311" s="1337">
        <v>7904.82</v>
      </c>
      <c r="H1311" s="1337">
        <f>+SUM(H1303:H1310)</f>
        <v>0</v>
      </c>
      <c r="I1311" s="1337">
        <f t="shared" ref="I1311:L1311" si="797">+SUM(I1303:I1310)</f>
        <v>0</v>
      </c>
      <c r="J1311" s="1337">
        <f t="shared" si="797"/>
        <v>574.05999999999995</v>
      </c>
      <c r="K1311" s="1337">
        <f t="shared" si="797"/>
        <v>0</v>
      </c>
      <c r="L1311" s="1337">
        <f t="shared" si="797"/>
        <v>7330.7599999999993</v>
      </c>
      <c r="M1311" s="59">
        <f>IFERROR(R1311/$S$2,"")</f>
        <v>381.04333333333335</v>
      </c>
      <c r="N1311" s="366">
        <f>IFERROR(L1311/M1311,"")</f>
        <v>19.238651771889458</v>
      </c>
      <c r="O1311" s="59">
        <f>IFERROR(SUMIF(ETM!$A:$A,$Q1311,ETM!$E:$E),"")</f>
        <v>448.66666666666669</v>
      </c>
      <c r="P1311" s="880">
        <f>IFERROR(L1311/O1311,0)</f>
        <v>16.338989598811292</v>
      </c>
      <c r="Q1311" s="795" t="s">
        <v>845</v>
      </c>
      <c r="R1311" s="785">
        <f>IFERROR(VLOOKUP($Q1311,'391'!$S:$Z,8,0),"")</f>
        <v>2286.2600000000002</v>
      </c>
      <c r="S1311" s="796"/>
      <c r="T1311" s="797"/>
      <c r="U1311" s="797"/>
      <c r="V1311" s="797"/>
      <c r="W1311" s="785">
        <f>IFERROR(VLOOKUP($Q1311,'391'!$S:$AG,15,0),0)</f>
        <v>8842.14</v>
      </c>
      <c r="X1311" s="1090">
        <f t="shared" si="779"/>
        <v>-937.31999999999971</v>
      </c>
      <c r="Y1311" s="785"/>
      <c r="Z1311" s="785"/>
      <c r="AA1311" s="797"/>
      <c r="AB1311" s="797"/>
      <c r="AC1311" s="683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86">
        <f>IF(L1318=0,"",MAX($A$16:A1311)+1)</f>
        <v>90</v>
      </c>
      <c r="B1312" s="2078" t="s">
        <v>571</v>
      </c>
      <c r="C1312" s="574" t="s">
        <v>2110</v>
      </c>
      <c r="D1312" s="881" t="s">
        <v>10</v>
      </c>
      <c r="E1312" s="882">
        <v>46225</v>
      </c>
      <c r="F1312" s="71">
        <f t="shared" ref="F1312:F1315" si="798">$L$7-E1312</f>
        <v>36</v>
      </c>
      <c r="G1312" s="64">
        <v>100</v>
      </c>
      <c r="H1312" s="64"/>
      <c r="I1312" s="64"/>
      <c r="J1312" s="1367"/>
      <c r="K1312" s="64">
        <f>IFERROR(SUMIF(INTAKE!$A:$A,$T1312,INTAKE!$P:$P),0)</f>
        <v>25</v>
      </c>
      <c r="L1312" s="1703">
        <f t="shared" ref="L1312:L1331" si="799">+G1312+H1312+I1312-J1312-K1312</f>
        <v>75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$Q$1318&amp;C1312&amp;E1312</f>
        <v>Vitamin E 50D246225</v>
      </c>
      <c r="U1312" s="797"/>
      <c r="V1312" s="797"/>
      <c r="W1312" s="785">
        <f>IFERROR(VLOOKUP($Q1312,'391'!$S:$AG,15,0),0)</f>
        <v>0</v>
      </c>
      <c r="X1312" s="1090">
        <f t="shared" si="779"/>
        <v>100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customHeight="1" x14ac:dyDescent="0.25">
      <c r="A1313" s="2124"/>
      <c r="B1313" s="2085"/>
      <c r="C1313" s="574" t="s">
        <v>2110</v>
      </c>
      <c r="D1313" s="881" t="s">
        <v>10</v>
      </c>
      <c r="E1313" s="882">
        <v>46241</v>
      </c>
      <c r="F1313" s="71">
        <f t="shared" si="798"/>
        <v>20</v>
      </c>
      <c r="G1313" s="64">
        <v>50</v>
      </c>
      <c r="H1313" s="64"/>
      <c r="I1313" s="64"/>
      <c r="J1313" s="1367"/>
      <c r="K1313" s="64">
        <f>IFERROR(SUMIF(INTAKE!$A:$A,$T1313,INTAKE!$P:$P),0)</f>
        <v>0</v>
      </c>
      <c r="L1313" s="1703">
        <f t="shared" ref="L1313:L1315" si="800">+G1313+H1313+I1313-J1313-K1313</f>
        <v>50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>$Q$1318&amp;C1313&amp;E1313</f>
        <v>Vitamin E 50D246241</v>
      </c>
      <c r="U1313" s="797"/>
      <c r="V1313" s="797"/>
      <c r="W1313" s="785">
        <f>IFERROR(VLOOKUP($Q1313,'391'!$S:$AG,15,0),0)</f>
        <v>0</v>
      </c>
      <c r="X1313" s="1090">
        <f t="shared" ref="X1313:X1315" si="801">G1313-W1313</f>
        <v>50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customHeight="1" x14ac:dyDescent="0.25">
      <c r="A1314" s="2124"/>
      <c r="B1314" s="2085"/>
      <c r="C1314" s="574" t="s">
        <v>2110</v>
      </c>
      <c r="D1314" s="881" t="s">
        <v>10</v>
      </c>
      <c r="E1314" s="882">
        <v>46254</v>
      </c>
      <c r="F1314" s="71">
        <f t="shared" si="798"/>
        <v>7</v>
      </c>
      <c r="G1314" s="64">
        <v>50</v>
      </c>
      <c r="H1314" s="64"/>
      <c r="I1314" s="64"/>
      <c r="J1314" s="1367"/>
      <c r="K1314" s="64">
        <f>IFERROR(SUMIF(INTAKE!$A:$A,$T1314,INTAKE!$P:$P),0)</f>
        <v>0</v>
      </c>
      <c r="L1314" s="1703">
        <f t="shared" si="800"/>
        <v>50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>$Q$1318&amp;C1314&amp;E1314</f>
        <v>Vitamin E 50D246254</v>
      </c>
      <c r="U1314" s="797"/>
      <c r="V1314" s="797"/>
      <c r="W1314" s="785">
        <f>IFERROR(VLOOKUP($Q1314,'391'!$S:$AG,15,0),0)</f>
        <v>0</v>
      </c>
      <c r="X1314" s="1090">
        <f t="shared" si="801"/>
        <v>50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hidden="1" customHeight="1" x14ac:dyDescent="0.25">
      <c r="A1315" s="2124"/>
      <c r="B1315" s="2085"/>
      <c r="C1315" s="574"/>
      <c r="D1315" s="881" t="s">
        <v>10</v>
      </c>
      <c r="E1315" s="882">
        <v>46255</v>
      </c>
      <c r="F1315" s="71">
        <f t="shared" si="798"/>
        <v>6</v>
      </c>
      <c r="G1315" s="64">
        <v>0</v>
      </c>
      <c r="H1315" s="64"/>
      <c r="I1315" s="64"/>
      <c r="J1315" s="1367"/>
      <c r="K1315" s="64">
        <f>IFERROR(SUMIF(INTAKE!$A:$A,$T1315,INTAKE!$P:$P),0)</f>
        <v>0</v>
      </c>
      <c r="L1315" s="1703">
        <f t="shared" si="800"/>
        <v>0</v>
      </c>
      <c r="M1315" s="48"/>
      <c r="N1315" s="163"/>
      <c r="O1315" s="48"/>
      <c r="P1315" s="750"/>
      <c r="Q1315" s="795"/>
      <c r="R1315" s="785">
        <f>IFERROR(VLOOKUP($Q1315,'391'!$S:$Z,8,0),"")</f>
        <v>0</v>
      </c>
      <c r="S1315" s="796"/>
      <c r="T1315" s="797" t="str">
        <f t="shared" ref="T1315" si="802">$Q$1318&amp;C1315&amp;E1315</f>
        <v>Vitamin E 5046255</v>
      </c>
      <c r="U1315" s="797"/>
      <c r="V1315" s="797"/>
      <c r="W1315" s="785">
        <f>IFERROR(VLOOKUP($Q1315,'391'!$S:$AG,15,0),0)</f>
        <v>0</v>
      </c>
      <c r="X1315" s="1090">
        <f t="shared" si="801"/>
        <v>0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hidden="1" customHeight="1" x14ac:dyDescent="0.25">
      <c r="A1316" s="2087"/>
      <c r="B1316" s="2079"/>
      <c r="C1316" s="574"/>
      <c r="D1316" s="881" t="s">
        <v>10</v>
      </c>
      <c r="E1316" s="882">
        <v>46255</v>
      </c>
      <c r="F1316" s="71">
        <f t="shared" ref="F1316:F1317" si="803">$L$7-E1316</f>
        <v>6</v>
      </c>
      <c r="G1316" s="64">
        <v>0</v>
      </c>
      <c r="H1316" s="64"/>
      <c r="I1316" s="64"/>
      <c r="J1316" s="1367"/>
      <c r="K1316" s="64">
        <f>IFERROR(SUMIF(INTAKE!$A:$A,$T1316,INTAKE!$P:$P),0)</f>
        <v>0</v>
      </c>
      <c r="L1316" s="1703">
        <f t="shared" si="799"/>
        <v>0</v>
      </c>
      <c r="M1316" s="48"/>
      <c r="N1316" s="163"/>
      <c r="O1316" s="48"/>
      <c r="P1316" s="750"/>
      <c r="Q1316" s="795"/>
      <c r="R1316" s="785">
        <f>IFERROR(VLOOKUP($Q1316,'391'!$S:$Z,8,0),"")</f>
        <v>0</v>
      </c>
      <c r="S1316" s="796"/>
      <c r="T1316" s="797" t="str">
        <f t="shared" ref="T1316:T1317" si="804">$Q$1318&amp;C1316&amp;E1316</f>
        <v>Vitamin E 5046255</v>
      </c>
      <c r="U1316" s="797"/>
      <c r="V1316" s="797"/>
      <c r="W1316" s="785">
        <f>IFERROR(VLOOKUP($Q1316,'391'!$S:$AG,15,0),0)</f>
        <v>0</v>
      </c>
      <c r="X1316" s="1090">
        <f t="shared" si="779"/>
        <v>0</v>
      </c>
      <c r="Y1316" s="785"/>
      <c r="Z1316" s="785"/>
      <c r="AA1316" s="797"/>
      <c r="AB1316" s="797"/>
      <c r="AC1316" s="551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customHeight="1" x14ac:dyDescent="0.25">
      <c r="A1317" s="2088"/>
      <c r="B1317" s="2071"/>
      <c r="C1317" s="138" t="s">
        <v>76</v>
      </c>
      <c r="D1317" s="884" t="s">
        <v>10</v>
      </c>
      <c r="E1317" s="885">
        <v>46225</v>
      </c>
      <c r="F1317" s="293">
        <f t="shared" si="803"/>
        <v>36</v>
      </c>
      <c r="G1317" s="1214">
        <v>7.4800000000000058</v>
      </c>
      <c r="H1317" s="37"/>
      <c r="I1317" s="37">
        <f>SUM(K1312:K1314)</f>
        <v>25</v>
      </c>
      <c r="J1317" s="1385">
        <f>usage!I159</f>
        <v>6.37</v>
      </c>
      <c r="K1317" s="37"/>
      <c r="L1317" s="1534">
        <f t="shared" si="799"/>
        <v>26.110000000000003</v>
      </c>
      <c r="M1317" s="35"/>
      <c r="N1317" s="920"/>
      <c r="O1317" s="35"/>
      <c r="P1317" s="1013"/>
      <c r="Q1317" s="795"/>
      <c r="R1317" s="785">
        <f>IFERROR(VLOOKUP($Q1317,'391'!$S:$Z,8,0),"")</f>
        <v>0</v>
      </c>
      <c r="S1317" s="796"/>
      <c r="T1317" s="797" t="str">
        <f t="shared" si="804"/>
        <v>Vitamin E 50Feedmil46225</v>
      </c>
      <c r="U1317" s="797"/>
      <c r="V1317" s="797"/>
      <c r="W1317" s="785">
        <f>IFERROR(VLOOKUP($Q1317,'391'!$S:$AG,15,0),0)</f>
        <v>0</v>
      </c>
      <c r="X1317" s="1090">
        <f t="shared" si="779"/>
        <v>7.4800000000000058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customHeight="1" x14ac:dyDescent="0.25">
      <c r="A1318" s="184"/>
      <c r="B1318" s="184" t="s">
        <v>1651</v>
      </c>
      <c r="C1318" s="575"/>
      <c r="D1318" s="900"/>
      <c r="E1318" s="901"/>
      <c r="F1318" s="902"/>
      <c r="G1318" s="1337">
        <v>207.48000000000002</v>
      </c>
      <c r="H1318" s="1337">
        <f>+SUM(H1312:H1317)</f>
        <v>0</v>
      </c>
      <c r="I1318" s="1337">
        <f t="shared" ref="I1318:L1318" si="805">+SUM(I1312:I1317)</f>
        <v>25</v>
      </c>
      <c r="J1318" s="1337">
        <f t="shared" si="805"/>
        <v>6.37</v>
      </c>
      <c r="K1318" s="1337">
        <f t="shared" si="805"/>
        <v>25</v>
      </c>
      <c r="L1318" s="1337">
        <f t="shared" si="805"/>
        <v>201.11</v>
      </c>
      <c r="M1318" s="59">
        <f>IFERROR(R1318/$S$2,"")</f>
        <v>7.8666666666666671</v>
      </c>
      <c r="N1318" s="366">
        <f>IFERROR(L1318/M1318,0)</f>
        <v>25.564830508474575</v>
      </c>
      <c r="O1318" s="59">
        <f>IFERROR(SUMIF(ETM!$A:$A,$Q1318,ETM!$E:$E),"")</f>
        <v>8.3333333333333339</v>
      </c>
      <c r="P1318" s="880">
        <f>IFERROR(L1318/O1318,0)</f>
        <v>24.133199999999999</v>
      </c>
      <c r="Q1318" s="795" t="s">
        <v>846</v>
      </c>
      <c r="R1318" s="785">
        <f>IFERROR(VLOOKUP($Q1318,'391'!$S:$Z,8,0),"")</f>
        <v>47.2</v>
      </c>
      <c r="S1318" s="796"/>
      <c r="T1318" s="797"/>
      <c r="U1318" s="797"/>
      <c r="V1318" s="797"/>
      <c r="W1318" s="785">
        <f>IFERROR(VLOOKUP($Q1318,'391'!$S:$AG,15,0),0)</f>
        <v>238.98000000000002</v>
      </c>
      <c r="X1318" s="1090">
        <f t="shared" si="779"/>
        <v>-31.5</v>
      </c>
      <c r="Y1318" s="785"/>
      <c r="Z1318" s="785"/>
      <c r="AA1318" s="797"/>
      <c r="AB1318" s="797"/>
      <c r="AC1318" s="683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86" t="str">
        <f>IF(L1322=0,"",MAX($A$16:A1318)+1)</f>
        <v/>
      </c>
      <c r="B1319" s="2116" t="s">
        <v>584</v>
      </c>
      <c r="C1319" s="574" t="s">
        <v>227</v>
      </c>
      <c r="D1319" s="881" t="s">
        <v>10</v>
      </c>
      <c r="E1319" s="882">
        <v>44078</v>
      </c>
      <c r="F1319" s="71">
        <f>$L$7-E1319</f>
        <v>2183</v>
      </c>
      <c r="G1319" s="64">
        <v>0</v>
      </c>
      <c r="H1319" s="64"/>
      <c r="I1319" s="64"/>
      <c r="J1319" s="1367"/>
      <c r="K1319" s="64"/>
      <c r="L1319" s="1534">
        <f t="shared" si="799"/>
        <v>0</v>
      </c>
      <c r="M1319" s="48"/>
      <c r="N1319" s="163"/>
      <c r="O1319" s="48"/>
      <c r="P1319" s="750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79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2087"/>
      <c r="B1320" s="2198"/>
      <c r="C1320" s="574" t="s">
        <v>510</v>
      </c>
      <c r="D1320" s="881" t="s">
        <v>10</v>
      </c>
      <c r="E1320" s="882">
        <v>43890</v>
      </c>
      <c r="F1320" s="71">
        <f>$L$7-E1320</f>
        <v>2371</v>
      </c>
      <c r="G1320" s="64">
        <v>0</v>
      </c>
      <c r="H1320" s="64"/>
      <c r="I1320" s="64"/>
      <c r="J1320" s="1367"/>
      <c r="K1320" s="64"/>
      <c r="L1320" s="1534">
        <f t="shared" si="799"/>
        <v>0</v>
      </c>
      <c r="M1320" s="48"/>
      <c r="N1320" s="163"/>
      <c r="O1320" s="48"/>
      <c r="P1320" s="750"/>
      <c r="Q1320" s="795"/>
      <c r="R1320" s="785">
        <f>IFERROR(VLOOKUP($Q1320,'391'!$S:$Z,8,0),"")</f>
        <v>0</v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79"/>
        <v>0</v>
      </c>
      <c r="Y1320" s="785"/>
      <c r="Z1320" s="785"/>
      <c r="AA1320" s="797"/>
      <c r="AB1320" s="797"/>
      <c r="AC1320" s="551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88"/>
      <c r="B1321" s="2088"/>
      <c r="C1321" s="138" t="s">
        <v>76</v>
      </c>
      <c r="D1321" s="884" t="s">
        <v>10</v>
      </c>
      <c r="E1321" s="885">
        <v>44078</v>
      </c>
      <c r="F1321" s="293">
        <f>$L$7-E1321</f>
        <v>2183</v>
      </c>
      <c r="G1321" s="1214">
        <v>0</v>
      </c>
      <c r="H1321" s="37"/>
      <c r="I1321" s="37">
        <f>+K1319</f>
        <v>0</v>
      </c>
      <c r="J1321" s="1385">
        <f>usage!I156</f>
        <v>0</v>
      </c>
      <c r="K1321" s="37"/>
      <c r="L1321" s="1534">
        <f t="shared" si="799"/>
        <v>0</v>
      </c>
      <c r="M1321" s="35"/>
      <c r="N1321" s="920"/>
      <c r="O1321" s="35"/>
      <c r="P1321" s="1013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79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184"/>
      <c r="B1322" s="184" t="s">
        <v>587</v>
      </c>
      <c r="C1322" s="575"/>
      <c r="D1322" s="900"/>
      <c r="E1322" s="901"/>
      <c r="F1322" s="902"/>
      <c r="G1322" s="1337">
        <v>0</v>
      </c>
      <c r="H1322" s="1337">
        <f>+SUM(H1319:H1321)</f>
        <v>0</v>
      </c>
      <c r="I1322" s="1337">
        <f t="shared" ref="I1322:K1322" si="806">+SUM(I1319:I1321)</f>
        <v>0</v>
      </c>
      <c r="J1322" s="1337">
        <f t="shared" si="806"/>
        <v>0</v>
      </c>
      <c r="K1322" s="1337">
        <f t="shared" si="806"/>
        <v>0</v>
      </c>
      <c r="L1322" s="1534">
        <f t="shared" si="799"/>
        <v>0</v>
      </c>
      <c r="M1322" s="59" t="e">
        <f>+R1322/$S$2</f>
        <v>#VALUE!</v>
      </c>
      <c r="N1322" s="366">
        <f>IFERROR(L1322/M1322,0)</f>
        <v>0</v>
      </c>
      <c r="O1322" s="59">
        <f>IFERROR(SUMIF(ETM!$A:$A,$Q1322,ETM!$E:$E),"")</f>
        <v>0</v>
      </c>
      <c r="P1322" s="880">
        <f>IFERROR(L1322/O1322,0)</f>
        <v>0</v>
      </c>
      <c r="Q1322" s="795" t="s">
        <v>847</v>
      </c>
      <c r="R1322" s="785" t="str">
        <f>IFERROR(VLOOKUP($Q1322,'391'!$S:$Z,8,0),"")</f>
        <v/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79"/>
        <v>0</v>
      </c>
      <c r="Y1322" s="785"/>
      <c r="Z1322" s="785"/>
      <c r="AA1322" s="797"/>
      <c r="AB1322" s="797"/>
      <c r="AC1322" s="683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86" t="str">
        <f>IF(L1326=0,"",MAX($A$16:A1322)+1)</f>
        <v/>
      </c>
      <c r="B1323" s="2116" t="s">
        <v>572</v>
      </c>
      <c r="C1323" s="574" t="s">
        <v>283</v>
      </c>
      <c r="D1323" s="881" t="s">
        <v>10</v>
      </c>
      <c r="E1323" s="882">
        <v>43999</v>
      </c>
      <c r="F1323" s="71">
        <f>$L$7-E1323</f>
        <v>2262</v>
      </c>
      <c r="G1323" s="64">
        <v>0</v>
      </c>
      <c r="H1323" s="64"/>
      <c r="I1323" s="64"/>
      <c r="J1323" s="1367"/>
      <c r="K1323" s="64"/>
      <c r="L1323" s="1534">
        <f t="shared" si="799"/>
        <v>0</v>
      </c>
      <c r="M1323" s="48"/>
      <c r="N1323" s="163"/>
      <c r="O1323" s="48"/>
      <c r="P1323" s="750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79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2087"/>
      <c r="B1324" s="2198"/>
      <c r="C1324" s="574" t="s">
        <v>510</v>
      </c>
      <c r="D1324" s="881" t="s">
        <v>10</v>
      </c>
      <c r="E1324" s="882">
        <v>43890</v>
      </c>
      <c r="F1324" s="71">
        <f>$L$7-E1324</f>
        <v>2371</v>
      </c>
      <c r="G1324" s="64">
        <v>0</v>
      </c>
      <c r="H1324" s="64"/>
      <c r="I1324" s="64"/>
      <c r="J1324" s="1367"/>
      <c r="K1324" s="64"/>
      <c r="L1324" s="1534">
        <f t="shared" si="799"/>
        <v>0</v>
      </c>
      <c r="M1324" s="48"/>
      <c r="N1324" s="163"/>
      <c r="O1324" s="48"/>
      <c r="P1324" s="750"/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79"/>
        <v>0</v>
      </c>
      <c r="Y1324" s="785"/>
      <c r="Z1324" s="785"/>
      <c r="AA1324" s="797"/>
      <c r="AB1324" s="797"/>
      <c r="AC1324" s="551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88"/>
      <c r="B1325" s="2088"/>
      <c r="C1325" s="138" t="s">
        <v>76</v>
      </c>
      <c r="D1325" s="884" t="s">
        <v>10</v>
      </c>
      <c r="E1325" s="885">
        <v>43999</v>
      </c>
      <c r="F1325" s="293">
        <f>$L$7-E1325</f>
        <v>2262</v>
      </c>
      <c r="G1325" s="1214">
        <v>0</v>
      </c>
      <c r="H1325" s="37"/>
      <c r="I1325" s="37"/>
      <c r="J1325" s="1385">
        <f>usage!I158</f>
        <v>0</v>
      </c>
      <c r="K1325" s="37"/>
      <c r="L1325" s="1534">
        <f t="shared" si="799"/>
        <v>0</v>
      </c>
      <c r="M1325" s="35"/>
      <c r="N1325" s="920"/>
      <c r="O1325" s="35"/>
      <c r="P1325" s="1013"/>
      <c r="Q1325" s="795"/>
      <c r="R1325" s="785">
        <f>IFERROR(VLOOKUP($Q1325,'391'!$S:$Z,8,0),"")</f>
        <v>0</v>
      </c>
      <c r="S1325" s="796"/>
      <c r="T1325" s="797"/>
      <c r="U1325" s="797"/>
      <c r="V1325" s="797"/>
      <c r="W1325" s="785">
        <f>IFERROR(VLOOKUP($Q1325,'391'!$S:$AG,15,0),0)</f>
        <v>0</v>
      </c>
      <c r="X1325" s="1090">
        <f t="shared" si="779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184"/>
      <c r="B1326" s="184" t="s">
        <v>576</v>
      </c>
      <c r="C1326" s="575"/>
      <c r="D1326" s="900"/>
      <c r="E1326" s="901"/>
      <c r="F1326" s="902"/>
      <c r="G1326" s="1337">
        <v>0</v>
      </c>
      <c r="H1326" s="1337">
        <f>+SUM(H1323:H1325)</f>
        <v>0</v>
      </c>
      <c r="I1326" s="1337">
        <f>+SUM(I1323:I1325)</f>
        <v>0</v>
      </c>
      <c r="J1326" s="1337">
        <f t="shared" ref="J1326:K1326" si="807">+SUM(J1323:J1325)</f>
        <v>0</v>
      </c>
      <c r="K1326" s="1337">
        <f t="shared" si="807"/>
        <v>0</v>
      </c>
      <c r="L1326" s="1534">
        <f t="shared" si="799"/>
        <v>0</v>
      </c>
      <c r="M1326" s="59">
        <v>0</v>
      </c>
      <c r="N1326" s="366">
        <f>IFERROR(L1326/M1326,0)</f>
        <v>0</v>
      </c>
      <c r="O1326" s="59"/>
      <c r="P1326" s="880">
        <f>IFERROR(L1326/O1326,0)</f>
        <v>0</v>
      </c>
      <c r="Q1326" s="795"/>
      <c r="R1326" s="785">
        <f>IFERROR(VLOOKUP($Q1326,'391'!$S:$Z,8,0),"")</f>
        <v>0</v>
      </c>
      <c r="S1326" s="796"/>
      <c r="T1326" s="797"/>
      <c r="U1326" s="797"/>
      <c r="V1326" s="797"/>
      <c r="W1326" s="785">
        <f>IFERROR(VLOOKUP($Q1326,'391'!$S:$AG,15,0),0)</f>
        <v>0</v>
      </c>
      <c r="X1326" s="1090">
        <f t="shared" si="779"/>
        <v>0</v>
      </c>
      <c r="Y1326" s="785"/>
      <c r="Z1326" s="785"/>
      <c r="AA1326" s="797"/>
      <c r="AB1326" s="797"/>
      <c r="AC1326" s="683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86" t="str">
        <f>IF(L1332=0,"",MAX($A$16:A1326)+1)</f>
        <v/>
      </c>
      <c r="B1327" s="2078" t="s">
        <v>569</v>
      </c>
      <c r="C1327" s="574"/>
      <c r="D1327" s="881" t="s">
        <v>10</v>
      </c>
      <c r="E1327" s="882">
        <v>46129</v>
      </c>
      <c r="F1327" s="71">
        <f>$L$7-E1327</f>
        <v>132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799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$Q$1332&amp;C1327&amp;E1327</f>
        <v>Monimax (Bulgaria)46129</v>
      </c>
      <c r="U1327" s="797"/>
      <c r="V1327" s="797"/>
      <c r="W1327" s="785">
        <f>IFERROR(VLOOKUP($Q1327,'391'!$S:$AG,15,0),0)</f>
        <v>0</v>
      </c>
      <c r="X1327" s="1090">
        <f t="shared" si="779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87"/>
      <c r="B1328" s="2079"/>
      <c r="C1328" s="574"/>
      <c r="D1328" s="881" t="s">
        <v>10</v>
      </c>
      <c r="E1328" s="882">
        <v>46162</v>
      </c>
      <c r="F1328" s="71">
        <f>$L$7-E1328</f>
        <v>99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799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$Q$1332&amp;C1328&amp;E1328</f>
        <v>Monimax (Bulgaria)46162</v>
      </c>
      <c r="U1328" s="797"/>
      <c r="V1328" s="797"/>
      <c r="W1328" s="785">
        <f>IFERROR(VLOOKUP($Q1328,'391'!$S:$AG,15,0),0)</f>
        <v>0</v>
      </c>
      <c r="X1328" s="1090">
        <f t="shared" si="779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87"/>
      <c r="B1329" s="2079"/>
      <c r="C1329" s="574" t="s">
        <v>1249</v>
      </c>
      <c r="D1329" s="881" t="s">
        <v>10</v>
      </c>
      <c r="E1329" s="882">
        <v>46185</v>
      </c>
      <c r="F1329" s="71">
        <f>$L$7-E1329</f>
        <v>76</v>
      </c>
      <c r="G1329" s="64">
        <v>0</v>
      </c>
      <c r="H1329" s="64"/>
      <c r="I1329" s="64"/>
      <c r="J1329" s="1367"/>
      <c r="K1329" s="64">
        <f>IFERROR(SUMIF(INTAKE!$A:$A,$T1329,INTAKE!$P:$P),0)</f>
        <v>0</v>
      </c>
      <c r="L1329" s="1703">
        <f t="shared" si="799"/>
        <v>0</v>
      </c>
      <c r="M1329" s="48"/>
      <c r="N1329" s="163"/>
      <c r="O1329" s="48"/>
      <c r="P1329" s="750"/>
      <c r="Q1329" s="795"/>
      <c r="R1329" s="785">
        <f>IFERROR(VLOOKUP($Q1329,'391'!$S:$Z,8,0),"")</f>
        <v>0</v>
      </c>
      <c r="S1329" s="796"/>
      <c r="T1329" s="797" t="str">
        <f>$Q$1332&amp;C1329&amp;E1329</f>
        <v>Monimax (Bulgaria)E146185</v>
      </c>
      <c r="U1329" s="797"/>
      <c r="V1329" s="797"/>
      <c r="W1329" s="785">
        <f>IFERROR(VLOOKUP($Q1329,'391'!$S:$AG,15,0),0)</f>
        <v>0</v>
      </c>
      <c r="X1329" s="1090">
        <f t="shared" si="779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2124"/>
      <c r="B1330" s="2085"/>
      <c r="C1330" s="574"/>
      <c r="D1330" s="881" t="s">
        <v>10</v>
      </c>
      <c r="E1330" s="882">
        <v>46185</v>
      </c>
      <c r="F1330" s="71">
        <f>$L$7-E1330</f>
        <v>76</v>
      </c>
      <c r="G1330" s="64">
        <v>0</v>
      </c>
      <c r="H1330" s="64"/>
      <c r="I1330" s="64"/>
      <c r="J1330" s="1367"/>
      <c r="K1330" s="64">
        <f>IFERROR(SUMIF(INTAKE!$A:$A,$T1330,INTAKE!$P:$P),0)</f>
        <v>0</v>
      </c>
      <c r="L1330" s="1703">
        <f t="shared" si="799"/>
        <v>0</v>
      </c>
      <c r="M1330" s="48"/>
      <c r="N1330" s="163"/>
      <c r="O1330" s="48"/>
      <c r="P1330" s="750"/>
      <c r="Q1330" s="795"/>
      <c r="R1330" s="785">
        <f>IFERROR(VLOOKUP($Q1330,'391'!$S:$Z,8,0),"")</f>
        <v>0</v>
      </c>
      <c r="S1330" s="796"/>
      <c r="T1330" s="797" t="str">
        <f>$Q$1332&amp;C1330&amp;E1330</f>
        <v>Monimax (Bulgaria)46185</v>
      </c>
      <c r="U1330" s="797"/>
      <c r="V1330" s="797"/>
      <c r="W1330" s="785">
        <f>IFERROR(VLOOKUP($Q1330,'391'!$S:$AG,15,0),0)</f>
        <v>0</v>
      </c>
      <c r="X1330" s="1090">
        <f t="shared" si="779"/>
        <v>0</v>
      </c>
      <c r="Y1330" s="785"/>
      <c r="Z1330" s="785"/>
      <c r="AA1330" s="797"/>
      <c r="AB1330" s="797"/>
      <c r="AC1330" s="551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88"/>
      <c r="B1331" s="2071"/>
      <c r="C1331" s="108" t="s">
        <v>46</v>
      </c>
      <c r="D1331" s="884" t="s">
        <v>10</v>
      </c>
      <c r="E1331" s="885">
        <v>46185</v>
      </c>
      <c r="F1331" s="293">
        <f>$L$7-E1331</f>
        <v>76</v>
      </c>
      <c r="G1331" s="1214">
        <v>0</v>
      </c>
      <c r="H1331" s="37"/>
      <c r="I1331" s="37">
        <f>K1329+K1327+K1328+K1330</f>
        <v>0</v>
      </c>
      <c r="J1331" s="1385">
        <f>usage!I157</f>
        <v>0</v>
      </c>
      <c r="K1331" s="37"/>
      <c r="L1331" s="1534">
        <f t="shared" si="799"/>
        <v>0</v>
      </c>
      <c r="M1331" s="35"/>
      <c r="N1331" s="920"/>
      <c r="O1331" s="35"/>
      <c r="P1331" s="1013"/>
      <c r="Q1331" s="795"/>
      <c r="R1331" s="785">
        <f>IFERROR(VLOOKUP($Q1331,'391'!$S:$Z,8,0),"")</f>
        <v>0</v>
      </c>
      <c r="S1331" s="796"/>
      <c r="T1331" s="797" t="str">
        <f>$Q$1332&amp;C1331&amp;E1331</f>
        <v>Monimax (Bulgaria)Feedmill46185</v>
      </c>
      <c r="U1331" s="797"/>
      <c r="V1331" s="797"/>
      <c r="W1331" s="785">
        <f>IFERROR(VLOOKUP($Q1331,'391'!$S:$AG,15,0),0)</f>
        <v>0</v>
      </c>
      <c r="X1331" s="1090">
        <f t="shared" si="779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184"/>
      <c r="B1332" s="184" t="s">
        <v>564</v>
      </c>
      <c r="C1332" s="575"/>
      <c r="D1332" s="900"/>
      <c r="E1332" s="901"/>
      <c r="F1332" s="902"/>
      <c r="G1332" s="1337">
        <v>0</v>
      </c>
      <c r="H1332" s="1337">
        <f>+SUM(H1327:H1331)</f>
        <v>0</v>
      </c>
      <c r="I1332" s="1337">
        <f>+SUM(I1327:I1331)</f>
        <v>0</v>
      </c>
      <c r="J1332" s="1337">
        <f t="shared" ref="J1332:L1332" si="808">+SUM(J1327:J1331)</f>
        <v>0</v>
      </c>
      <c r="K1332" s="1337">
        <f t="shared" si="808"/>
        <v>0</v>
      </c>
      <c r="L1332" s="1337">
        <f t="shared" si="808"/>
        <v>0</v>
      </c>
      <c r="M1332" s="59" t="str">
        <f>IFERROR(R1332/$S$2,"")</f>
        <v/>
      </c>
      <c r="N1332" s="366">
        <f>IFERROR(L1332/M1332,0)</f>
        <v>0</v>
      </c>
      <c r="O1332" s="59">
        <f>IFERROR(SUMIF(ETM!$A:$A,$Q1332,ETM!$E:$E),"")</f>
        <v>0</v>
      </c>
      <c r="P1332" s="880">
        <f>IFERROR(L1332/O1332,0)</f>
        <v>0</v>
      </c>
      <c r="Q1332" s="1183" t="s">
        <v>1172</v>
      </c>
      <c r="R1332" s="785" t="str">
        <f>IFERROR(VLOOKUP($Q1332,'391'!$S:$Z,8,0),"")</f>
        <v/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79"/>
        <v>0</v>
      </c>
      <c r="Y1332" s="785"/>
      <c r="Z1332" s="785"/>
      <c r="AA1332" s="797"/>
      <c r="AB1332" s="797"/>
      <c r="AC1332" s="683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86" t="str">
        <f>IF(L1336=0,"",MAX($A$16:A1332)+1)</f>
        <v/>
      </c>
      <c r="B1333" s="2116" t="s">
        <v>599</v>
      </c>
      <c r="C1333" s="574" t="s">
        <v>227</v>
      </c>
      <c r="D1333" s="881" t="s">
        <v>10</v>
      </c>
      <c r="E1333" s="882">
        <v>44147</v>
      </c>
      <c r="F1333" s="71">
        <f>$L$7-E1333</f>
        <v>2114</v>
      </c>
      <c r="G1333" s="64">
        <v>0</v>
      </c>
      <c r="H1333" s="64"/>
      <c r="I1333" s="64"/>
      <c r="J1333" s="1367"/>
      <c r="K1333" s="64"/>
      <c r="L1333" s="1534">
        <f t="shared" ref="L1333:L1342" si="809">+G1333+H1333+I1333-J1333-K1333</f>
        <v>0</v>
      </c>
      <c r="M1333" s="48"/>
      <c r="N1333" s="163"/>
      <c r="O1333" s="48"/>
      <c r="P1333" s="750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79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2087"/>
      <c r="B1334" s="2198"/>
      <c r="C1334" s="574" t="s">
        <v>510</v>
      </c>
      <c r="D1334" s="881" t="s">
        <v>10</v>
      </c>
      <c r="E1334" s="882">
        <v>44125</v>
      </c>
      <c r="F1334" s="71">
        <f>$L$7-E1334</f>
        <v>2136</v>
      </c>
      <c r="G1334" s="64">
        <v>0</v>
      </c>
      <c r="H1334" s="64"/>
      <c r="I1334" s="64"/>
      <c r="J1334" s="1367"/>
      <c r="K1334" s="64"/>
      <c r="L1334" s="1534">
        <f t="shared" si="809"/>
        <v>0</v>
      </c>
      <c r="M1334" s="48"/>
      <c r="N1334" s="163"/>
      <c r="O1334" s="48"/>
      <c r="P1334" s="750"/>
      <c r="Q1334" s="795"/>
      <c r="R1334" s="785">
        <f>IFERROR(VLOOKUP($Q1334,'391'!$S:$Z,8,0),"")</f>
        <v>0</v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79"/>
        <v>0</v>
      </c>
      <c r="Y1334" s="785"/>
      <c r="Z1334" s="785"/>
      <c r="AA1334" s="797"/>
      <c r="AB1334" s="797"/>
      <c r="AC1334" s="551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88"/>
      <c r="B1335" s="2088"/>
      <c r="C1335" s="138" t="s">
        <v>76</v>
      </c>
      <c r="D1335" s="884" t="s">
        <v>10</v>
      </c>
      <c r="E1335" s="885">
        <v>44147</v>
      </c>
      <c r="F1335" s="293">
        <f>$L$7-E1335</f>
        <v>2114</v>
      </c>
      <c r="G1335" s="1214">
        <v>0</v>
      </c>
      <c r="H1335" s="37"/>
      <c r="I1335" s="37">
        <f>+K1334+K1333</f>
        <v>0</v>
      </c>
      <c r="J1335" s="1385">
        <f>usage!I161</f>
        <v>0</v>
      </c>
      <c r="K1335" s="37"/>
      <c r="L1335" s="1534">
        <f t="shared" si="809"/>
        <v>0</v>
      </c>
      <c r="M1335" s="35"/>
      <c r="N1335" s="920"/>
      <c r="O1335" s="35"/>
      <c r="P1335" s="1013"/>
      <c r="Q1335" s="795"/>
      <c r="R1335" s="785">
        <f>IFERROR(VLOOKUP($Q1335,'391'!$S:$Z,8,0),"")</f>
        <v>0</v>
      </c>
      <c r="S1335" s="796"/>
      <c r="T1335" s="797"/>
      <c r="U1335" s="797"/>
      <c r="V1335" s="797"/>
      <c r="W1335" s="785">
        <f>IFERROR(VLOOKUP($Q1335,'391'!$S:$AG,15,0),0)</f>
        <v>0</v>
      </c>
      <c r="X1335" s="1090">
        <f t="shared" si="779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184"/>
      <c r="B1336" s="184" t="s">
        <v>605</v>
      </c>
      <c r="C1336" s="575"/>
      <c r="D1336" s="900"/>
      <c r="E1336" s="901"/>
      <c r="F1336" s="902"/>
      <c r="G1336" s="1337">
        <v>0</v>
      </c>
      <c r="H1336" s="1337">
        <f>+SUM(H1333:H1335)</f>
        <v>0</v>
      </c>
      <c r="I1336" s="1337">
        <f t="shared" ref="I1336:K1336" si="810">+SUM(I1333:I1335)</f>
        <v>0</v>
      </c>
      <c r="J1336" s="1337">
        <f t="shared" si="810"/>
        <v>0</v>
      </c>
      <c r="K1336" s="1337">
        <f t="shared" si="810"/>
        <v>0</v>
      </c>
      <c r="L1336" s="1534">
        <f t="shared" si="809"/>
        <v>0</v>
      </c>
      <c r="M1336" s="59" t="e">
        <f>+R1336/$S$2</f>
        <v>#VALUE!</v>
      </c>
      <c r="N1336" s="366">
        <f>IFERROR(L1336/M1336,0)</f>
        <v>0</v>
      </c>
      <c r="O1336" s="59">
        <f>IFERROR(SUMIF(ETM!$A:$A,$Q1336,ETM!$E:$E),"")</f>
        <v>0</v>
      </c>
      <c r="P1336" s="880">
        <f>IFERROR(L1336/O1336,0)</f>
        <v>0</v>
      </c>
      <c r="Q1336" s="795" t="s">
        <v>599</v>
      </c>
      <c r="R1336" s="785" t="str">
        <f>IFERROR(VLOOKUP($Q1336,'391'!$S:$Z,8,0),"")</f>
        <v/>
      </c>
      <c r="S1336" s="796"/>
      <c r="T1336" s="797"/>
      <c r="U1336" s="797"/>
      <c r="V1336" s="797"/>
      <c r="W1336" s="785">
        <f>IFERROR(VLOOKUP($Q1336,'391'!$S:$AG,15,0),0)</f>
        <v>0</v>
      </c>
      <c r="X1336" s="1090">
        <f t="shared" si="779"/>
        <v>0</v>
      </c>
      <c r="Y1336" s="785"/>
      <c r="Z1336" s="785"/>
      <c r="AA1336" s="797"/>
      <c r="AB1336" s="797"/>
      <c r="AC1336" s="683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86">
        <f>IF(L1343=0,"",MAX($A$16:A1336)+1)</f>
        <v>91</v>
      </c>
      <c r="B1337" s="2078" t="s">
        <v>602</v>
      </c>
      <c r="C1337" s="574"/>
      <c r="D1337" s="881" t="s">
        <v>10</v>
      </c>
      <c r="E1337" s="882">
        <v>45715</v>
      </c>
      <c r="F1337" s="71">
        <f t="shared" ref="F1337" si="811">$L$7-E1337</f>
        <v>546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09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ref="T1337:T1342" si="812">$Q$1343&amp;C1337&amp;E1337</f>
        <v>APA FENBEN 10P45715</v>
      </c>
      <c r="U1337" s="797"/>
      <c r="V1337" s="797"/>
      <c r="W1337" s="785">
        <f>IFERROR(VLOOKUP($Q1337,'391'!$S:$AG,15,0),0)</f>
        <v>0</v>
      </c>
      <c r="X1337" s="1090">
        <f t="shared" si="779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hidden="1" customHeight="1" x14ac:dyDescent="0.25">
      <c r="A1338" s="2124"/>
      <c r="B1338" s="2085"/>
      <c r="C1338" s="574"/>
      <c r="D1338" s="881" t="s">
        <v>10</v>
      </c>
      <c r="E1338" s="882">
        <v>45764</v>
      </c>
      <c r="F1338" s="71">
        <f t="shared" ref="F1338" si="813">$L$7-E1338</f>
        <v>497</v>
      </c>
      <c r="G1338" s="64">
        <v>0</v>
      </c>
      <c r="H1338" s="64"/>
      <c r="I1338" s="64"/>
      <c r="J1338" s="1367"/>
      <c r="K1338" s="64">
        <f>IFERROR(SUMIF(INTAKE!$A:$A,$T1338,INTAKE!$P:$P),0)</f>
        <v>0</v>
      </c>
      <c r="L1338" s="1703">
        <f t="shared" si="809"/>
        <v>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12"/>
        <v>APA FENBEN 10P45764</v>
      </c>
      <c r="U1338" s="797"/>
      <c r="V1338" s="797"/>
      <c r="W1338" s="785">
        <f>IFERROR(VLOOKUP($Q1338,'391'!$S:$AG,15,0),0)</f>
        <v>0</v>
      </c>
      <c r="X1338" s="1090">
        <f t="shared" si="779"/>
        <v>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hidden="1" customHeight="1" x14ac:dyDescent="0.25">
      <c r="A1339" s="2124"/>
      <c r="B1339" s="2085"/>
      <c r="C1339" s="574"/>
      <c r="D1339" s="881" t="s">
        <v>10</v>
      </c>
      <c r="E1339" s="882">
        <v>46114</v>
      </c>
      <c r="F1339" s="71">
        <f t="shared" ref="F1339:F1340" si="814">$L$7-E1339</f>
        <v>147</v>
      </c>
      <c r="G1339" s="64">
        <v>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09"/>
        <v>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12"/>
        <v>APA FENBEN 10P46114</v>
      </c>
      <c r="U1339" s="797"/>
      <c r="V1339" s="797"/>
      <c r="W1339" s="785">
        <f>IFERROR(VLOOKUP($Q1339,'391'!$S:$AG,15,0),0)</f>
        <v>0</v>
      </c>
      <c r="X1339" s="1090">
        <f t="shared" si="779"/>
        <v>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87"/>
      <c r="B1340" s="2079"/>
      <c r="C1340" s="574" t="s">
        <v>1313</v>
      </c>
      <c r="D1340" s="881" t="s">
        <v>10</v>
      </c>
      <c r="E1340" s="882">
        <v>46206</v>
      </c>
      <c r="F1340" s="71">
        <f t="shared" si="814"/>
        <v>55</v>
      </c>
      <c r="G1340" s="64">
        <v>1000</v>
      </c>
      <c r="H1340" s="64"/>
      <c r="I1340" s="64"/>
      <c r="J1340" s="1367"/>
      <c r="K1340" s="64">
        <f>IFERROR(SUMIF(INTAKE!$A:$A,$T1340,INTAKE!$P:$P),0)</f>
        <v>0</v>
      </c>
      <c r="L1340" s="1703">
        <f t="shared" si="809"/>
        <v>1000</v>
      </c>
      <c r="M1340" s="48"/>
      <c r="N1340" s="163"/>
      <c r="O1340" s="48"/>
      <c r="P1340" s="750"/>
      <c r="Q1340" s="795"/>
      <c r="R1340" s="785">
        <f>IFERROR(VLOOKUP($Q1340,'391'!$S:$Z,8,0),"")</f>
        <v>0</v>
      </c>
      <c r="S1340" s="796"/>
      <c r="T1340" s="797" t="str">
        <f t="shared" si="812"/>
        <v>APA FENBEN 10PE246206</v>
      </c>
      <c r="U1340" s="797"/>
      <c r="V1340" s="797"/>
      <c r="W1340" s="785">
        <f>IFERROR(VLOOKUP($Q1340,'391'!$S:$AG,15,0),0)</f>
        <v>0</v>
      </c>
      <c r="X1340" s="1090">
        <f t="shared" si="779"/>
        <v>1000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2124"/>
      <c r="B1341" s="2085"/>
      <c r="C1341" s="574" t="s">
        <v>1313</v>
      </c>
      <c r="D1341" s="881" t="s">
        <v>10</v>
      </c>
      <c r="E1341" s="882">
        <v>46248</v>
      </c>
      <c r="F1341" s="71">
        <f t="shared" ref="F1341:F1342" si="815">$L$7-E1341</f>
        <v>13</v>
      </c>
      <c r="G1341" s="64">
        <v>1000</v>
      </c>
      <c r="H1341" s="64"/>
      <c r="I1341" s="64"/>
      <c r="J1341" s="1367"/>
      <c r="K1341" s="64">
        <f>IFERROR(SUMIF(INTAKE!$A:$A,$T1341,INTAKE!$P:$P),0)</f>
        <v>0</v>
      </c>
      <c r="L1341" s="1703">
        <f t="shared" si="809"/>
        <v>1000</v>
      </c>
      <c r="M1341" s="48"/>
      <c r="N1341" s="163"/>
      <c r="O1341" s="48"/>
      <c r="P1341" s="750"/>
      <c r="Q1341" s="795"/>
      <c r="R1341" s="785">
        <f>IFERROR(VLOOKUP($Q1341,'391'!$S:$Z,8,0),"")</f>
        <v>0</v>
      </c>
      <c r="S1341" s="796"/>
      <c r="T1341" s="797" t="str">
        <f t="shared" si="812"/>
        <v>APA FENBEN 10PE246248</v>
      </c>
      <c r="U1341" s="797"/>
      <c r="V1341" s="797"/>
      <c r="W1341" s="785">
        <f>IFERROR(VLOOKUP($Q1341,'391'!$S:$AG,15,0),0)</f>
        <v>0</v>
      </c>
      <c r="X1341" s="1090">
        <f t="shared" si="779"/>
        <v>1000</v>
      </c>
      <c r="Y1341" s="785"/>
      <c r="Z1341" s="785"/>
      <c r="AA1341" s="797"/>
      <c r="AB1341" s="797"/>
      <c r="AC1341" s="551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customHeight="1" x14ac:dyDescent="0.25">
      <c r="A1342" s="2088"/>
      <c r="B1342" s="2071"/>
      <c r="C1342" s="108" t="s">
        <v>46</v>
      </c>
      <c r="D1342" s="884" t="s">
        <v>10</v>
      </c>
      <c r="E1342" s="885">
        <v>46206</v>
      </c>
      <c r="F1342" s="293">
        <f t="shared" si="815"/>
        <v>55</v>
      </c>
      <c r="G1342" s="1214">
        <v>48.900000000000006</v>
      </c>
      <c r="H1342" s="37"/>
      <c r="I1342" s="37">
        <f>+SUM(K1339:K1341)</f>
        <v>0</v>
      </c>
      <c r="J1342" s="1385">
        <f>usage!I146</f>
        <v>0</v>
      </c>
      <c r="K1342" s="64">
        <f>IFERROR(SUMIF(INTAKE!$A:$A,$T1342,INTAKE!$P:$P),0)</f>
        <v>0</v>
      </c>
      <c r="L1342" s="1534">
        <f t="shared" si="809"/>
        <v>48.900000000000006</v>
      </c>
      <c r="M1342" s="35"/>
      <c r="N1342" s="920"/>
      <c r="O1342" s="35"/>
      <c r="P1342" s="1013"/>
      <c r="Q1342" s="795"/>
      <c r="R1342" s="785">
        <f>IFERROR(VLOOKUP($Q1342,'391'!$S:$Z,8,0),"")</f>
        <v>0</v>
      </c>
      <c r="S1342" s="796"/>
      <c r="T1342" s="797" t="str">
        <f t="shared" si="812"/>
        <v>APA FENBEN 10PFeedmill46206</v>
      </c>
      <c r="U1342" s="797"/>
      <c r="V1342" s="797"/>
      <c r="W1342" s="785">
        <f>IFERROR(VLOOKUP($Q1342,'391'!$S:$AG,15,0),0)</f>
        <v>0</v>
      </c>
      <c r="X1342" s="1090">
        <f t="shared" si="779"/>
        <v>48.900000000000006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customHeight="1" x14ac:dyDescent="0.25">
      <c r="A1343" s="184"/>
      <c r="B1343" s="184" t="s">
        <v>603</v>
      </c>
      <c r="C1343" s="575"/>
      <c r="D1343" s="900"/>
      <c r="E1343" s="901"/>
      <c r="F1343" s="902"/>
      <c r="G1343" s="1337">
        <v>2048.9</v>
      </c>
      <c r="H1343" s="1337">
        <f>+SUM(H1337:H1342)</f>
        <v>0</v>
      </c>
      <c r="I1343" s="1337">
        <f t="shared" ref="I1343:L1343" si="816">+SUM(I1337:I1342)</f>
        <v>0</v>
      </c>
      <c r="J1343" s="1337">
        <f>+SUM(J1337:J1342)</f>
        <v>0</v>
      </c>
      <c r="K1343" s="1337">
        <f t="shared" si="816"/>
        <v>0</v>
      </c>
      <c r="L1343" s="1337">
        <f t="shared" si="816"/>
        <v>2048.9</v>
      </c>
      <c r="M1343" s="59">
        <f>+M1093</f>
        <v>69.933333333333337</v>
      </c>
      <c r="N1343" s="366">
        <f>IFERROR(L1343/M1343,0)</f>
        <v>29.297902764537653</v>
      </c>
      <c r="O1343" s="59">
        <f>+O1093</f>
        <v>53.333333333333336</v>
      </c>
      <c r="P1343" s="880">
        <f>IFERROR(L1343/O1343,0)</f>
        <v>38.416874999999997</v>
      </c>
      <c r="Q1343" s="795" t="s">
        <v>602</v>
      </c>
      <c r="R1343" s="785">
        <f>IFERROR(VLOOKUP($Q1343,'391'!$S:$Z,8,0),"")</f>
        <v>419.6</v>
      </c>
      <c r="S1343" s="796"/>
      <c r="T1343" s="797"/>
      <c r="U1343" s="797"/>
      <c r="V1343" s="797"/>
      <c r="W1343" s="785">
        <f>IFERROR(VLOOKUP($Q1343,'391'!$S:$AG,15,0),0)</f>
        <v>2168.9</v>
      </c>
      <c r="X1343" s="1090">
        <f>G1343-W1343</f>
        <v>-120</v>
      </c>
      <c r="Y1343" s="785"/>
      <c r="Z1343" s="785"/>
      <c r="AA1343" s="797"/>
      <c r="AB1343" s="797"/>
      <c r="AC1343" s="683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86" t="str">
        <f>IF(L1349=0,"",MAX($A$16:A1343)+1)</f>
        <v/>
      </c>
      <c r="B1344" s="2078" t="s">
        <v>606</v>
      </c>
      <c r="C1344" s="574" t="s">
        <v>248</v>
      </c>
      <c r="D1344" s="881" t="s">
        <v>10</v>
      </c>
      <c r="E1344" s="882">
        <v>44217</v>
      </c>
      <c r="F1344" s="71">
        <f>$L$7-E1344</f>
        <v>2044</v>
      </c>
      <c r="G1344" s="64">
        <v>0</v>
      </c>
      <c r="H1344" s="64"/>
      <c r="I1344" s="64"/>
      <c r="J1344" s="1367"/>
      <c r="K1344" s="64"/>
      <c r="L1344" s="1534">
        <f t="shared" ref="L1344:L1362" si="817">+G1344+H1344+I1344-J1344-K1344</f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79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87"/>
      <c r="B1345" s="2079"/>
      <c r="C1345" s="574" t="s">
        <v>248</v>
      </c>
      <c r="D1345" s="881" t="s">
        <v>10</v>
      </c>
      <c r="E1345" s="882">
        <v>44217</v>
      </c>
      <c r="F1345" s="71">
        <f>$L$7-E1345</f>
        <v>2044</v>
      </c>
      <c r="G1345" s="64">
        <v>0</v>
      </c>
      <c r="H1345" s="64"/>
      <c r="I1345" s="64"/>
      <c r="J1345" s="1367"/>
      <c r="K1345" s="64"/>
      <c r="L1345" s="1534">
        <f t="shared" si="817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79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87"/>
      <c r="B1346" s="2079"/>
      <c r="C1346" s="574" t="s">
        <v>248</v>
      </c>
      <c r="D1346" s="881" t="s">
        <v>10</v>
      </c>
      <c r="E1346" s="882">
        <v>44217</v>
      </c>
      <c r="F1346" s="71">
        <f>$L$7-E1346</f>
        <v>2044</v>
      </c>
      <c r="G1346" s="64">
        <v>0</v>
      </c>
      <c r="H1346" s="64"/>
      <c r="I1346" s="64"/>
      <c r="J1346" s="1367"/>
      <c r="K1346" s="64"/>
      <c r="L1346" s="1534">
        <f t="shared" si="817"/>
        <v>0</v>
      </c>
      <c r="M1346" s="48"/>
      <c r="N1346" s="163"/>
      <c r="O1346" s="48"/>
      <c r="P1346" s="750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79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2087"/>
      <c r="B1347" s="2079"/>
      <c r="C1347" s="574" t="s">
        <v>248</v>
      </c>
      <c r="D1347" s="881" t="s">
        <v>10</v>
      </c>
      <c r="E1347" s="882">
        <v>44217</v>
      </c>
      <c r="F1347" s="71">
        <f>$L$7-E1347</f>
        <v>2044</v>
      </c>
      <c r="G1347" s="64">
        <v>0</v>
      </c>
      <c r="H1347" s="64"/>
      <c r="I1347" s="64"/>
      <c r="J1347" s="1367"/>
      <c r="K1347" s="64"/>
      <c r="L1347" s="1534">
        <f t="shared" si="817"/>
        <v>0</v>
      </c>
      <c r="M1347" s="48"/>
      <c r="N1347" s="163"/>
      <c r="O1347" s="48"/>
      <c r="P1347" s="750"/>
      <c r="Q1347" s="795"/>
      <c r="R1347" s="785">
        <f>IFERROR(VLOOKUP($Q1347,'391'!$S:$Z,8,0),"")</f>
        <v>0</v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79"/>
        <v>0</v>
      </c>
      <c r="Y1347" s="785"/>
      <c r="Z1347" s="785"/>
      <c r="AA1347" s="797"/>
      <c r="AB1347" s="797"/>
      <c r="AC1347" s="551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88"/>
      <c r="B1348" s="2071"/>
      <c r="C1348" s="138" t="s">
        <v>76</v>
      </c>
      <c r="D1348" s="884" t="s">
        <v>10</v>
      </c>
      <c r="E1348" s="885">
        <v>44217</v>
      </c>
      <c r="F1348" s="293">
        <f>$L$7-E1348</f>
        <v>2044</v>
      </c>
      <c r="G1348" s="1214">
        <v>0</v>
      </c>
      <c r="H1348" s="37"/>
      <c r="I1348" s="37">
        <f>+K1345+K1344</f>
        <v>0</v>
      </c>
      <c r="J1348" s="1385">
        <f>usage!I160</f>
        <v>0</v>
      </c>
      <c r="K1348" s="37"/>
      <c r="L1348" s="1534">
        <f t="shared" si="817"/>
        <v>0</v>
      </c>
      <c r="M1348" s="35"/>
      <c r="N1348" s="920"/>
      <c r="O1348" s="35"/>
      <c r="P1348" s="1013"/>
      <c r="Q1348" s="795"/>
      <c r="R1348" s="785">
        <f>IFERROR(VLOOKUP($Q1348,'391'!$S:$Z,8,0),"")</f>
        <v>0</v>
      </c>
      <c r="S1348" s="796"/>
      <c r="T1348" s="797"/>
      <c r="U1348" s="797"/>
      <c r="V1348" s="797"/>
      <c r="W1348" s="785">
        <f>IFERROR(VLOOKUP($Q1348,'391'!$S:$AG,15,0),0)</f>
        <v>0</v>
      </c>
      <c r="X1348" s="1090">
        <f t="shared" si="779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184"/>
      <c r="B1349" s="184" t="s">
        <v>607</v>
      </c>
      <c r="C1349" s="575"/>
      <c r="D1349" s="900"/>
      <c r="E1349" s="901"/>
      <c r="F1349" s="902"/>
      <c r="G1349" s="1337">
        <v>0</v>
      </c>
      <c r="H1349" s="1337">
        <f>+SUM(H1344:H1348)</f>
        <v>0</v>
      </c>
      <c r="I1349" s="1337">
        <f t="shared" ref="I1349:K1349" si="818">+SUM(I1344:I1348)</f>
        <v>0</v>
      </c>
      <c r="J1349" s="1337">
        <f t="shared" si="818"/>
        <v>0</v>
      </c>
      <c r="K1349" s="1337">
        <f t="shared" si="818"/>
        <v>0</v>
      </c>
      <c r="L1349" s="1534">
        <f t="shared" si="817"/>
        <v>0</v>
      </c>
      <c r="M1349" s="59" t="e">
        <f>+R1349/$S$2</f>
        <v>#VALUE!</v>
      </c>
      <c r="N1349" s="366">
        <f>IFERROR(L1349/M1349,0)</f>
        <v>0</v>
      </c>
      <c r="O1349" s="59">
        <f>IFERROR(SUMIF(ETM!$A:$A,$Q1349,ETM!$E:$E),"")</f>
        <v>0</v>
      </c>
      <c r="P1349" s="880">
        <f>IFERROR(L1349/O1349,0)</f>
        <v>0</v>
      </c>
      <c r="Q1349" s="795" t="s">
        <v>835</v>
      </c>
      <c r="R1349" s="785" t="str">
        <f>IFERROR(VLOOKUP($Q1349,'391'!$S:$Z,8,0),"")</f>
        <v/>
      </c>
      <c r="S1349" s="796"/>
      <c r="T1349" s="797"/>
      <c r="U1349" s="797"/>
      <c r="V1349" s="797"/>
      <c r="W1349" s="785">
        <f>IFERROR(VLOOKUP($Q1349,'391'!$S:$AG,15,0),0)</f>
        <v>0</v>
      </c>
      <c r="X1349" s="1090">
        <f t="shared" si="779"/>
        <v>0</v>
      </c>
      <c r="Y1349" s="785"/>
      <c r="Z1349" s="785"/>
      <c r="AA1349" s="797"/>
      <c r="AB1349" s="797"/>
      <c r="AC1349" s="683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86" t="str">
        <f>IF(L1355=0,"",MAX($A$16:A1349)+1)</f>
        <v/>
      </c>
      <c r="B1350" s="2078" t="s">
        <v>1224</v>
      </c>
      <c r="C1350" s="574"/>
      <c r="D1350" s="881" t="s">
        <v>10</v>
      </c>
      <c r="E1350" s="882">
        <v>44398</v>
      </c>
      <c r="F1350" s="71">
        <f>$L$7-E1350</f>
        <v>1863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17"/>
        <v>0</v>
      </c>
      <c r="M1350" s="48"/>
      <c r="N1350" s="163"/>
      <c r="O1350" s="48"/>
      <c r="P1350" s="750"/>
      <c r="Q1350" s="795" t="s">
        <v>880</v>
      </c>
      <c r="R1350" s="785" t="str">
        <f>IFERROR(VLOOKUP($Q1350,'391'!$S:$Z,8,0),"")</f>
        <v/>
      </c>
      <c r="S1350" s="796"/>
      <c r="T1350" s="797" t="str">
        <f>$Q$1354&amp;C1350&amp;E1350</f>
        <v>44398</v>
      </c>
      <c r="U1350" s="797"/>
      <c r="V1350" s="797"/>
      <c r="W1350" s="785">
        <f>IFERROR(VLOOKUP($Q1350,'391'!$S:$AG,15,0),0)</f>
        <v>0</v>
      </c>
      <c r="X1350" s="1090">
        <f t="shared" si="779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87"/>
      <c r="B1351" s="2079"/>
      <c r="C1351" s="574"/>
      <c r="D1351" s="881" t="s">
        <v>10</v>
      </c>
      <c r="E1351" s="882">
        <v>44398</v>
      </c>
      <c r="F1351" s="71">
        <f>$L$7-E1351</f>
        <v>1863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17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$Q$1354&amp;C1351&amp;E1351</f>
        <v>44398</v>
      </c>
      <c r="U1351" s="797"/>
      <c r="V1351" s="797"/>
      <c r="W1351" s="785">
        <f>IFERROR(VLOOKUP($Q1351,'391'!$S:$AG,15,0),0)</f>
        <v>0</v>
      </c>
      <c r="X1351" s="1090">
        <f t="shared" si="779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87"/>
      <c r="B1352" s="2079"/>
      <c r="C1352" s="574" t="s">
        <v>248</v>
      </c>
      <c r="D1352" s="881" t="s">
        <v>10</v>
      </c>
      <c r="E1352" s="882">
        <v>44217</v>
      </c>
      <c r="F1352" s="71">
        <f>$L$7-E1352</f>
        <v>2044</v>
      </c>
      <c r="G1352" s="64">
        <v>0</v>
      </c>
      <c r="H1352" s="64"/>
      <c r="I1352" s="64"/>
      <c r="J1352" s="1367"/>
      <c r="K1352" s="64">
        <f>IFERROR(SUMIF(INTAKE!$A:$A,$T1352,INTAKE!$P:$P),0)</f>
        <v>0</v>
      </c>
      <c r="L1352" s="1534">
        <f t="shared" si="817"/>
        <v>0</v>
      </c>
      <c r="M1352" s="48"/>
      <c r="N1352" s="163"/>
      <c r="O1352" s="48"/>
      <c r="P1352" s="750"/>
      <c r="Q1352" s="795"/>
      <c r="R1352" s="785">
        <f>IFERROR(VLOOKUP($Q1352,'391'!$S:$Z,8,0),"")</f>
        <v>0</v>
      </c>
      <c r="S1352" s="796"/>
      <c r="T1352" s="797" t="str">
        <f>$Q$1354&amp;C1352&amp;E1352</f>
        <v>Y4.144217</v>
      </c>
      <c r="U1352" s="797"/>
      <c r="V1352" s="797"/>
      <c r="W1352" s="785">
        <f>IFERROR(VLOOKUP($Q1352,'391'!$S:$AG,15,0),0)</f>
        <v>0</v>
      </c>
      <c r="X1352" s="1090">
        <f t="shared" si="779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2087"/>
      <c r="B1353" s="2079"/>
      <c r="C1353" s="574" t="s">
        <v>248</v>
      </c>
      <c r="D1353" s="881" t="s">
        <v>10</v>
      </c>
      <c r="E1353" s="882">
        <v>44217</v>
      </c>
      <c r="F1353" s="71">
        <f>$L$7-E1353</f>
        <v>2044</v>
      </c>
      <c r="G1353" s="64">
        <v>0</v>
      </c>
      <c r="H1353" s="64"/>
      <c r="I1353" s="64"/>
      <c r="J1353" s="1367"/>
      <c r="K1353" s="64">
        <f>IFERROR(SUMIF(INTAKE!$A:$A,$T1353,INTAKE!$P:$P),0)</f>
        <v>0</v>
      </c>
      <c r="L1353" s="1534">
        <f t="shared" si="817"/>
        <v>0</v>
      </c>
      <c r="M1353" s="48"/>
      <c r="N1353" s="163"/>
      <c r="O1353" s="48"/>
      <c r="P1353" s="750"/>
      <c r="Q1353" s="795"/>
      <c r="R1353" s="785">
        <f>IFERROR(VLOOKUP($Q1353,'391'!$S:$Z,8,0),"")</f>
        <v>0</v>
      </c>
      <c r="S1353" s="796"/>
      <c r="T1353" s="797" t="str">
        <f>$Q$1354&amp;C1353&amp;E1353</f>
        <v>Y4.144217</v>
      </c>
      <c r="U1353" s="797"/>
      <c r="V1353" s="797"/>
      <c r="W1353" s="785">
        <f>IFERROR(VLOOKUP($Q1353,'391'!$S:$AG,15,0),0)</f>
        <v>0</v>
      </c>
      <c r="X1353" s="1090">
        <f t="shared" si="779"/>
        <v>0</v>
      </c>
      <c r="Y1353" s="785"/>
      <c r="Z1353" s="785"/>
      <c r="AA1353" s="797"/>
      <c r="AB1353" s="797"/>
      <c r="AC1353" s="551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88"/>
      <c r="B1354" s="2071"/>
      <c r="C1354" s="138" t="s">
        <v>76</v>
      </c>
      <c r="D1354" s="884" t="s">
        <v>10</v>
      </c>
      <c r="E1354" s="885">
        <v>44398</v>
      </c>
      <c r="F1354" s="293">
        <f>$L$7-E1354</f>
        <v>1863</v>
      </c>
      <c r="G1354" s="1214">
        <v>0</v>
      </c>
      <c r="H1354" s="37"/>
      <c r="I1354" s="37">
        <f>+K1351+K1350</f>
        <v>0</v>
      </c>
      <c r="J1354" s="1385">
        <f>usage!I163</f>
        <v>0</v>
      </c>
      <c r="K1354" s="64">
        <f>IFERROR(SUMIF(INTAKE!$A:$A,$T1354,INTAKE!$P:$P),0)</f>
        <v>0</v>
      </c>
      <c r="L1354" s="1534">
        <f t="shared" si="817"/>
        <v>0</v>
      </c>
      <c r="M1354" s="35"/>
      <c r="N1354" s="920"/>
      <c r="O1354" s="35"/>
      <c r="P1354" s="1013"/>
      <c r="Q1354" s="795"/>
      <c r="R1354" s="785">
        <f>IFERROR(VLOOKUP($Q1354,'391'!$S:$Z,8,0),"")</f>
        <v>0</v>
      </c>
      <c r="S1354" s="796"/>
      <c r="T1354" s="797" t="str">
        <f>$Q$1354&amp;C1354&amp;E1354</f>
        <v>Feedmil44398</v>
      </c>
      <c r="U1354" s="797"/>
      <c r="V1354" s="797"/>
      <c r="W1354" s="785">
        <f>IFERROR(VLOOKUP($Q1354,'391'!$S:$AG,15,0),0)</f>
        <v>0</v>
      </c>
      <c r="X1354" s="1090">
        <f t="shared" si="779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hidden="1" customHeight="1" x14ac:dyDescent="0.25">
      <c r="A1355" s="184"/>
      <c r="B1355" s="184" t="s">
        <v>869</v>
      </c>
      <c r="C1355" s="575"/>
      <c r="D1355" s="900"/>
      <c r="E1355" s="901"/>
      <c r="F1355" s="902"/>
      <c r="G1355" s="1337">
        <v>0</v>
      </c>
      <c r="H1355" s="1337">
        <f>+SUM(H1350:H1354)</f>
        <v>0</v>
      </c>
      <c r="I1355" s="1337">
        <f t="shared" ref="I1355:K1355" si="819">+SUM(I1350:I1354)</f>
        <v>0</v>
      </c>
      <c r="J1355" s="1337">
        <f t="shared" si="819"/>
        <v>0</v>
      </c>
      <c r="K1355" s="1337">
        <f t="shared" si="819"/>
        <v>0</v>
      </c>
      <c r="L1355" s="1534">
        <f t="shared" si="817"/>
        <v>0</v>
      </c>
      <c r="M1355" s="59" t="str">
        <f>IFERROR(R1355/$S$2,"")</f>
        <v/>
      </c>
      <c r="N1355" s="366">
        <f>IFERROR(L1355/M1355,0)</f>
        <v>0</v>
      </c>
      <c r="O1355" s="59">
        <f>IFERROR(SUMIF(ETM!$A:$A,$Q1355,ETM!$E:$E),"")</f>
        <v>0</v>
      </c>
      <c r="P1355" s="880">
        <f>IFERROR(L1355/O1355,0)</f>
        <v>0</v>
      </c>
      <c r="Q1355" s="795" t="s">
        <v>964</v>
      </c>
      <c r="R1355" s="785" t="str">
        <f>IFERROR(VLOOKUP($Q1355,'391'!$S:$Z,8,0),"")</f>
        <v/>
      </c>
      <c r="S1355" s="796"/>
      <c r="T1355" s="797"/>
      <c r="U1355" s="797"/>
      <c r="V1355" s="797"/>
      <c r="W1355" s="785">
        <f>IFERROR(VLOOKUP($Q1355,'391'!$S:$AG,15,0),0)</f>
        <v>0</v>
      </c>
      <c r="X1355" s="1090">
        <f t="shared" ref="X1355:X1422" si="820">G1355-W1355</f>
        <v>0</v>
      </c>
      <c r="Y1355" s="1088">
        <f>+W1354+W1355</f>
        <v>0</v>
      </c>
      <c r="Z1355" s="1091">
        <f>+L1355-Y1355</f>
        <v>0</v>
      </c>
      <c r="AA1355" s="797"/>
      <c r="AB1355" s="797"/>
      <c r="AC1355" s="683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hidden="1" customHeight="1" x14ac:dyDescent="0.25">
      <c r="A1356" s="2086">
        <f>IF(L1363=0,"",MAX($A$16:A1355)+1)</f>
        <v>92</v>
      </c>
      <c r="B1356" s="2078" t="s">
        <v>872</v>
      </c>
      <c r="C1356" s="574"/>
      <c r="D1356" s="881" t="s">
        <v>10</v>
      </c>
      <c r="E1356" s="882">
        <v>44288</v>
      </c>
      <c r="F1356" s="71">
        <f t="shared" ref="F1356:F1362" si="821">$L$7-E1356</f>
        <v>1973</v>
      </c>
      <c r="G1356" s="64">
        <v>0</v>
      </c>
      <c r="H1356" s="64"/>
      <c r="I1356" s="64"/>
      <c r="J1356" s="1367"/>
      <c r="K1356" s="64">
        <f>IFERROR(SUMIF(INTAKE!$A:$A,$T1356,INTAKE!$P:$P),0)</f>
        <v>0</v>
      </c>
      <c r="L1356" s="1534">
        <f t="shared" si="817"/>
        <v>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ref="T1356:T1362" si="822">$Q$1363&amp;C1356&amp;E1356</f>
        <v>L-Arginine (China)44288</v>
      </c>
      <c r="U1356" s="797"/>
      <c r="V1356" s="797"/>
      <c r="W1356" s="785">
        <f>IFERROR(VLOOKUP($Q1356,'391'!$S:$AG,15,0),0)</f>
        <v>0</v>
      </c>
      <c r="X1356" s="1090">
        <f t="shared" si="820"/>
        <v>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87"/>
      <c r="B1357" s="2079"/>
      <c r="C1357" s="574" t="s">
        <v>267</v>
      </c>
      <c r="D1357" s="881" t="s">
        <v>10</v>
      </c>
      <c r="E1357" s="882">
        <v>46247</v>
      </c>
      <c r="F1357" s="71">
        <f t="shared" si="821"/>
        <v>14</v>
      </c>
      <c r="G1357" s="64">
        <v>325</v>
      </c>
      <c r="H1357" s="64"/>
      <c r="I1357" s="64"/>
      <c r="J1357" s="1367"/>
      <c r="K1357" s="1348">
        <f>IFERROR(SUMIF(INTAKE!$A:$A,$T1357,INTAKE!$P:$P),0)</f>
        <v>100</v>
      </c>
      <c r="L1357" s="1703">
        <f t="shared" si="817"/>
        <v>225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22"/>
        <v>L-Arginine (China)Z6.146247</v>
      </c>
      <c r="U1357" s="797"/>
      <c r="V1357" s="797"/>
      <c r="W1357" s="785">
        <f>IFERROR(VLOOKUP($Q1357,'391'!$S:$AG,15,0),0)</f>
        <v>0</v>
      </c>
      <c r="X1357" s="1090">
        <f t="shared" si="820"/>
        <v>325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customHeight="1" x14ac:dyDescent="0.25">
      <c r="A1358" s="2087"/>
      <c r="B1358" s="2079"/>
      <c r="C1358" s="574" t="s">
        <v>267</v>
      </c>
      <c r="D1358" s="881" t="s">
        <v>10</v>
      </c>
      <c r="E1358" s="882">
        <v>46254</v>
      </c>
      <c r="F1358" s="71">
        <f t="shared" si="821"/>
        <v>7</v>
      </c>
      <c r="G1358" s="64">
        <v>1000</v>
      </c>
      <c r="H1358" s="64"/>
      <c r="I1358" s="64"/>
      <c r="J1358" s="1367"/>
      <c r="K1358" s="64">
        <f>IFERROR(SUMIF(INTAKE!$A:$A,$T1358,INTAKE!$P:$P),0)</f>
        <v>0</v>
      </c>
      <c r="L1358" s="1703">
        <f t="shared" si="817"/>
        <v>1000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22"/>
        <v>L-Arginine (China)Z6.146254</v>
      </c>
      <c r="U1358" s="797"/>
      <c r="V1358" s="797"/>
      <c r="W1358" s="785">
        <f>IFERROR(VLOOKUP($Q1358,'391'!$S:$AG,15,0),0)</f>
        <v>0</v>
      </c>
      <c r="X1358" s="1090">
        <f t="shared" si="820"/>
        <v>1000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87"/>
      <c r="B1359" s="2079"/>
      <c r="C1359" s="574"/>
      <c r="D1359" s="881" t="s">
        <v>10</v>
      </c>
      <c r="E1359" s="882">
        <v>46254</v>
      </c>
      <c r="F1359" s="71">
        <f t="shared" ref="F1359" si="823">$L$7-E1359</f>
        <v>7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03">
        <f t="shared" si="817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22"/>
        <v>L-Arginine (China)46254</v>
      </c>
      <c r="U1359" s="797"/>
      <c r="V1359" s="797"/>
      <c r="W1359" s="785">
        <f>IFERROR(VLOOKUP($Q1359,'391'!$S:$AG,15,0),0)</f>
        <v>0</v>
      </c>
      <c r="X1359" s="1090">
        <f t="shared" si="820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hidden="1" customHeight="1" x14ac:dyDescent="0.25">
      <c r="A1360" s="2124"/>
      <c r="B1360" s="2085"/>
      <c r="C1360" s="574"/>
      <c r="D1360" s="881" t="s">
        <v>10</v>
      </c>
      <c r="E1360" s="882">
        <v>45665</v>
      </c>
      <c r="F1360" s="71">
        <f t="shared" ref="F1360" si="824">$L$7-E1360</f>
        <v>596</v>
      </c>
      <c r="G1360" s="64">
        <v>0</v>
      </c>
      <c r="H1360" s="64"/>
      <c r="I1360" s="64"/>
      <c r="J1360" s="1367"/>
      <c r="K1360" s="64">
        <f>IFERROR(SUMIF(INTAKE!$A:$A,$T1360,INTAKE!$P:$P),0)</f>
        <v>0</v>
      </c>
      <c r="L1360" s="1703">
        <f t="shared" si="817"/>
        <v>0</v>
      </c>
      <c r="M1360" s="48"/>
      <c r="N1360" s="163"/>
      <c r="O1360" s="48"/>
      <c r="P1360" s="750"/>
      <c r="Q1360" s="795"/>
      <c r="R1360" s="785">
        <f>IFERROR(VLOOKUP($Q1360,'391'!$S:$Z,8,0),"")</f>
        <v>0</v>
      </c>
      <c r="S1360" s="796"/>
      <c r="T1360" s="797" t="str">
        <f t="shared" si="822"/>
        <v>L-Arginine (China)45665</v>
      </c>
      <c r="U1360" s="797"/>
      <c r="V1360" s="797"/>
      <c r="W1360" s="785">
        <f>IFERROR(VLOOKUP($Q1360,'391'!$S:$AG,15,0),0)</f>
        <v>0</v>
      </c>
      <c r="X1360" s="1090">
        <f t="shared" si="820"/>
        <v>0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hidden="1" customHeight="1" x14ac:dyDescent="0.25">
      <c r="A1361" s="2124"/>
      <c r="B1361" s="2085"/>
      <c r="C1361" s="574"/>
      <c r="D1361" s="881" t="s">
        <v>10</v>
      </c>
      <c r="E1361" s="882">
        <v>45665</v>
      </c>
      <c r="F1361" s="71">
        <f t="shared" si="821"/>
        <v>596</v>
      </c>
      <c r="G1361" s="64">
        <v>0</v>
      </c>
      <c r="H1361" s="64"/>
      <c r="I1361" s="64"/>
      <c r="J1361" s="1367"/>
      <c r="K1361" s="64">
        <f>IFERROR(SUMIF(INTAKE!$A:$A,$T1361,INTAKE!$P:$P),0)</f>
        <v>0</v>
      </c>
      <c r="L1361" s="1712">
        <f t="shared" si="817"/>
        <v>0</v>
      </c>
      <c r="M1361" s="48"/>
      <c r="N1361" s="163"/>
      <c r="O1361" s="48"/>
      <c r="P1361" s="750"/>
      <c r="Q1361" s="795"/>
      <c r="R1361" s="785">
        <f>IFERROR(VLOOKUP($Q1361,'391'!$S:$Z,8,0),"")</f>
        <v>0</v>
      </c>
      <c r="S1361" s="796"/>
      <c r="T1361" s="797" t="str">
        <f t="shared" si="822"/>
        <v>L-Arginine (China)45665</v>
      </c>
      <c r="U1361" s="797"/>
      <c r="V1361" s="797"/>
      <c r="W1361" s="785">
        <f>IFERROR(VLOOKUP($Q1361,'391'!$S:$AG,15,0),0)</f>
        <v>0</v>
      </c>
      <c r="X1361" s="1090">
        <f t="shared" si="820"/>
        <v>0</v>
      </c>
      <c r="Y1361" s="785"/>
      <c r="Z1361" s="785"/>
      <c r="AA1361" s="797"/>
      <c r="AB1361" s="797"/>
      <c r="AC1361" s="551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customHeight="1" x14ac:dyDescent="0.25">
      <c r="A1362" s="2088"/>
      <c r="B1362" s="2071"/>
      <c r="C1362" s="108" t="s">
        <v>46</v>
      </c>
      <c r="D1362" s="884" t="s">
        <v>10</v>
      </c>
      <c r="E1362" s="885">
        <v>46247</v>
      </c>
      <c r="F1362" s="293">
        <f t="shared" si="821"/>
        <v>14</v>
      </c>
      <c r="G1362" s="1214">
        <v>100.21999999999994</v>
      </c>
      <c r="H1362" s="37"/>
      <c r="I1362" s="37">
        <f>+K1357+K1356+K1358+K1359</f>
        <v>100</v>
      </c>
      <c r="J1362" s="1385">
        <f>usage!I162</f>
        <v>154.72</v>
      </c>
      <c r="K1362" s="64">
        <f>IFERROR(SUMIF(INTAKE!$A:$A,$T1362,INTAKE!$P:$P),0)</f>
        <v>0</v>
      </c>
      <c r="L1362" s="1534">
        <f t="shared" si="817"/>
        <v>45.499999999999943</v>
      </c>
      <c r="M1362" s="35"/>
      <c r="N1362" s="920"/>
      <c r="O1362" s="35"/>
      <c r="P1362" s="1013"/>
      <c r="Q1362" s="795"/>
      <c r="R1362" s="785">
        <f>IFERROR(VLOOKUP($Q1362,'391'!$S:$Z,8,0),"")</f>
        <v>0</v>
      </c>
      <c r="S1362" s="796"/>
      <c r="T1362" s="797" t="str">
        <f t="shared" si="822"/>
        <v>L-Arginine (China)Feedmill46247</v>
      </c>
      <c r="U1362" s="797"/>
      <c r="V1362" s="797"/>
      <c r="W1362" s="785">
        <f>IFERROR(VLOOKUP($Q1362,'391'!$S:$AG,15,0),0)</f>
        <v>0</v>
      </c>
      <c r="X1362" s="1090">
        <f t="shared" si="820"/>
        <v>100.21999999999994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customHeight="1" x14ac:dyDescent="0.25">
      <c r="A1363" s="184"/>
      <c r="B1363" s="184" t="s">
        <v>873</v>
      </c>
      <c r="C1363" s="575"/>
      <c r="D1363" s="900"/>
      <c r="E1363" s="901"/>
      <c r="F1363" s="902"/>
      <c r="G1363" s="1337">
        <v>1425.22</v>
      </c>
      <c r="H1363" s="1337">
        <f>+SUM(H1356:H1362)</f>
        <v>0</v>
      </c>
      <c r="I1363" s="1337">
        <f t="shared" ref="I1363:L1363" si="825">+SUM(I1356:I1362)</f>
        <v>100</v>
      </c>
      <c r="J1363" s="1337">
        <f t="shared" si="825"/>
        <v>154.72</v>
      </c>
      <c r="K1363" s="1337">
        <f t="shared" si="825"/>
        <v>100</v>
      </c>
      <c r="L1363" s="1337">
        <f t="shared" si="825"/>
        <v>1270.5</v>
      </c>
      <c r="M1363" s="59">
        <f>IFERROR(R1363/$S$2,"")</f>
        <v>114.40333333333332</v>
      </c>
      <c r="N1363" s="366">
        <f>IFERROR(L1363/M1363,0)</f>
        <v>11.105445645523151</v>
      </c>
      <c r="O1363" s="59">
        <f>IFERROR(SUMIF(ETM!$A:$A,$Q1363,ETM!$E:$E),"")</f>
        <v>127.33333333333333</v>
      </c>
      <c r="P1363" s="880">
        <f>IFERROR(L1363/O1363,0)</f>
        <v>9.9777486910994764</v>
      </c>
      <c r="Q1363" s="795" t="s">
        <v>879</v>
      </c>
      <c r="R1363" s="785">
        <f>IFERROR(VLOOKUP($Q1363,'391'!$S:$Z,8,0),"")</f>
        <v>686.42</v>
      </c>
      <c r="S1363" s="796"/>
      <c r="T1363" s="797"/>
      <c r="U1363" s="797"/>
      <c r="V1363" s="797"/>
      <c r="W1363" s="785">
        <f>IFERROR(VLOOKUP($Q1363,'391'!$S:$AG,15,0),0)</f>
        <v>1872.2</v>
      </c>
      <c r="X1363" s="1090">
        <f t="shared" si="820"/>
        <v>-446.98</v>
      </c>
      <c r="Y1363" s="785"/>
      <c r="Z1363" s="785"/>
      <c r="AA1363" s="797"/>
      <c r="AB1363" s="797"/>
      <c r="AC1363" s="683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86" t="str">
        <f>IF(L1369=0,"",MAX($A$16:A1363)+1)</f>
        <v/>
      </c>
      <c r="B1364" s="2078" t="s">
        <v>1187</v>
      </c>
      <c r="C1364" s="574" t="s">
        <v>267</v>
      </c>
      <c r="D1364" s="881" t="s">
        <v>10</v>
      </c>
      <c r="E1364" s="882">
        <v>44790</v>
      </c>
      <c r="F1364" s="71">
        <f>$L$7-E1364</f>
        <v>1471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ref="L1364:L1400" si="826">+G1364+H1364+I1364-J1364-K1364</f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$Q$1369&amp;C1364&amp;E1364</f>
        <v>Ferm O tide (USA)Z6.144790</v>
      </c>
      <c r="U1364" s="797"/>
      <c r="V1364" s="797"/>
      <c r="W1364" s="785">
        <f>IFERROR(VLOOKUP($Q1364,'391'!$S:$AG,15,0),0)</f>
        <v>0</v>
      </c>
      <c r="X1364" s="1090">
        <f t="shared" si="820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87"/>
      <c r="B1365" s="2079"/>
      <c r="C1365" s="574"/>
      <c r="D1365" s="881" t="s">
        <v>10</v>
      </c>
      <c r="E1365" s="882"/>
      <c r="F1365" s="71">
        <f>$L$7-E1365</f>
        <v>46261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26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$Q$1369&amp;C1365&amp;E1365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20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87"/>
      <c r="B1366" s="2079"/>
      <c r="C1366" s="574"/>
      <c r="D1366" s="881" t="s">
        <v>10</v>
      </c>
      <c r="E1366" s="882"/>
      <c r="F1366" s="71">
        <f>$L$7-E1366</f>
        <v>46261</v>
      </c>
      <c r="G1366" s="64">
        <v>0</v>
      </c>
      <c r="H1366" s="64"/>
      <c r="I1366" s="64"/>
      <c r="J1366" s="1367"/>
      <c r="K1366" s="64">
        <f>IFERROR(SUMIF(INTAKE!$A:$A,$T1366,INTAKE!$P:$P),0)</f>
        <v>0</v>
      </c>
      <c r="L1366" s="1534">
        <f t="shared" si="826"/>
        <v>0</v>
      </c>
      <c r="M1366" s="48"/>
      <c r="N1366" s="163"/>
      <c r="O1366" s="48"/>
      <c r="P1366" s="750"/>
      <c r="Q1366" s="795"/>
      <c r="R1366" s="785">
        <f>IFERROR(VLOOKUP($Q1366,'391'!$S:$Z,8,0),"")</f>
        <v>0</v>
      </c>
      <c r="S1366" s="796"/>
      <c r="T1366" s="797" t="str">
        <f>$Q$1369&amp;C1366&amp;E1366</f>
        <v>Ferm O tide (USA)</v>
      </c>
      <c r="U1366" s="797"/>
      <c r="V1366" s="797"/>
      <c r="W1366" s="785">
        <f>IFERROR(VLOOKUP($Q1366,'391'!$S:$AG,15,0),0)</f>
        <v>0</v>
      </c>
      <c r="X1366" s="1090">
        <f t="shared" si="820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2087"/>
      <c r="B1367" s="2079"/>
      <c r="C1367" s="574"/>
      <c r="D1367" s="881" t="s">
        <v>10</v>
      </c>
      <c r="E1367" s="882"/>
      <c r="F1367" s="71">
        <f>$L$7-E1367</f>
        <v>46261</v>
      </c>
      <c r="G1367" s="64">
        <v>0</v>
      </c>
      <c r="H1367" s="64"/>
      <c r="I1367" s="64"/>
      <c r="J1367" s="1367"/>
      <c r="K1367" s="64">
        <f>IFERROR(SUMIF(INTAKE!$A:$A,$T1367,INTAKE!$P:$P),0)</f>
        <v>0</v>
      </c>
      <c r="L1367" s="1534">
        <f t="shared" si="826"/>
        <v>0</v>
      </c>
      <c r="M1367" s="48"/>
      <c r="N1367" s="163"/>
      <c r="O1367" s="48"/>
      <c r="P1367" s="750"/>
      <c r="Q1367" s="795"/>
      <c r="R1367" s="785">
        <f>IFERROR(VLOOKUP($Q1367,'391'!$S:$Z,8,0),"")</f>
        <v>0</v>
      </c>
      <c r="S1367" s="796"/>
      <c r="T1367" s="797" t="str">
        <f>$Q$1369&amp;C1367&amp;E1367</f>
        <v>Ferm O tide (USA)</v>
      </c>
      <c r="U1367" s="797"/>
      <c r="V1367" s="797"/>
      <c r="W1367" s="785">
        <f>IFERROR(VLOOKUP($Q1367,'391'!$S:$AG,15,0),0)</f>
        <v>0</v>
      </c>
      <c r="X1367" s="1090">
        <f t="shared" si="820"/>
        <v>0</v>
      </c>
      <c r="Y1367" s="785"/>
      <c r="Z1367" s="785"/>
      <c r="AA1367" s="797"/>
      <c r="AB1367" s="797"/>
      <c r="AC1367" s="551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88"/>
      <c r="B1368" s="2071"/>
      <c r="C1368" s="138" t="s">
        <v>76</v>
      </c>
      <c r="D1368" s="884" t="s">
        <v>10</v>
      </c>
      <c r="E1368" s="885">
        <v>44790</v>
      </c>
      <c r="F1368" s="293">
        <f>$L$7-E1368</f>
        <v>1471</v>
      </c>
      <c r="G1368" s="1214">
        <v>0</v>
      </c>
      <c r="H1368" s="37"/>
      <c r="I1368" s="37">
        <f>+K1365+K1364</f>
        <v>0</v>
      </c>
      <c r="J1368" s="1385">
        <f>usage!I164</f>
        <v>0</v>
      </c>
      <c r="K1368" s="64">
        <f>IFERROR(SUMIF(INTAKE!$A:$A,$T1368,INTAKE!$P:$P),0)</f>
        <v>0</v>
      </c>
      <c r="L1368" s="1534">
        <f t="shared" si="826"/>
        <v>0</v>
      </c>
      <c r="M1368" s="35"/>
      <c r="N1368" s="920"/>
      <c r="O1368" s="35"/>
      <c r="P1368" s="1013"/>
      <c r="Q1368" s="795"/>
      <c r="R1368" s="785">
        <f>IFERROR(VLOOKUP($Q1368,'391'!$S:$Z,8,0),"")</f>
        <v>0</v>
      </c>
      <c r="S1368" s="796"/>
      <c r="T1368" s="797" t="str">
        <f>$Q$1369&amp;C1368&amp;E1368</f>
        <v>Ferm O tide (USA)Feedmil44790</v>
      </c>
      <c r="U1368" s="797"/>
      <c r="V1368" s="797"/>
      <c r="W1368" s="785">
        <f>IFERROR(VLOOKUP($Q1368,'391'!$S:$AG,15,0),0)</f>
        <v>0</v>
      </c>
      <c r="X1368" s="1090">
        <f t="shared" si="820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184"/>
      <c r="B1369" s="184" t="s">
        <v>899</v>
      </c>
      <c r="C1369" s="575"/>
      <c r="D1369" s="900"/>
      <c r="E1369" s="901"/>
      <c r="F1369" s="902"/>
      <c r="G1369" s="1337">
        <v>0</v>
      </c>
      <c r="H1369" s="1337">
        <f>+SUM(H1364:H1368)</f>
        <v>0</v>
      </c>
      <c r="I1369" s="1337">
        <f t="shared" ref="I1369:K1369" si="827">+SUM(I1364:I1368)</f>
        <v>0</v>
      </c>
      <c r="J1369" s="1337">
        <f t="shared" si="827"/>
        <v>0</v>
      </c>
      <c r="K1369" s="1337">
        <f t="shared" si="827"/>
        <v>0</v>
      </c>
      <c r="L1369" s="1534">
        <f t="shared" si="826"/>
        <v>0</v>
      </c>
      <c r="M1369" s="59" t="str">
        <f>IFERROR(R1369/$S$2,"")</f>
        <v/>
      </c>
      <c r="N1369" s="366">
        <f>IFERROR(L1369/M1369,0)</f>
        <v>0</v>
      </c>
      <c r="O1369" s="59">
        <f>IFERROR(SUMIF(ETM!$A:$A,$Q1369,ETM!$E:$E),"")</f>
        <v>0</v>
      </c>
      <c r="P1369" s="880">
        <f>IFERROR(L1369/O1369,0)</f>
        <v>0</v>
      </c>
      <c r="Q1369" s="795" t="s">
        <v>900</v>
      </c>
      <c r="R1369" s="785" t="str">
        <f>IFERROR(VLOOKUP($Q1369,'391'!$S:$Z,8,0),"")</f>
        <v/>
      </c>
      <c r="S1369" s="796"/>
      <c r="T1369" s="797"/>
      <c r="U1369" s="797"/>
      <c r="V1369" s="797"/>
      <c r="W1369" s="785">
        <f>IFERROR(VLOOKUP($Q1369,'391'!$S:$AG,15,0),0)</f>
        <v>0</v>
      </c>
      <c r="X1369" s="1090">
        <f t="shared" si="820"/>
        <v>0</v>
      </c>
      <c r="Y1369" s="785"/>
      <c r="Z1369" s="785"/>
      <c r="AA1369" s="797"/>
      <c r="AB1369" s="797"/>
      <c r="AC1369" s="683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86" t="str">
        <f>IF(L1375=0,"",MAX($A$16:A1369)+1)</f>
        <v/>
      </c>
      <c r="B1370" s="2078" t="s">
        <v>898</v>
      </c>
      <c r="C1370" s="574" t="s">
        <v>851</v>
      </c>
      <c r="D1370" s="881" t="s">
        <v>10</v>
      </c>
      <c r="E1370" s="882">
        <v>44294</v>
      </c>
      <c r="F1370" s="71">
        <f>$L$7-E1370</f>
        <v>1967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26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$Q$1375&amp;C1370&amp;E1370</f>
        <v>Mypro (China)Z7.344294</v>
      </c>
      <c r="U1370" s="797"/>
      <c r="V1370" s="797"/>
      <c r="W1370" s="785">
        <f>IFERROR(VLOOKUP($Q1370,'391'!$S:$AG,15,0),0)</f>
        <v>0</v>
      </c>
      <c r="X1370" s="1090">
        <f t="shared" si="820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87"/>
      <c r="B1371" s="2079"/>
      <c r="C1371" s="574" t="s">
        <v>248</v>
      </c>
      <c r="D1371" s="881" t="s">
        <v>10</v>
      </c>
      <c r="E1371" s="882">
        <v>44217</v>
      </c>
      <c r="F1371" s="71">
        <f>$L$7-E1371</f>
        <v>2044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26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$Q$1375&amp;C1371&amp;E1371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20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87"/>
      <c r="B1372" s="2079"/>
      <c r="C1372" s="574" t="s">
        <v>248</v>
      </c>
      <c r="D1372" s="881" t="s">
        <v>10</v>
      </c>
      <c r="E1372" s="882">
        <v>44217</v>
      </c>
      <c r="F1372" s="71">
        <f>$L$7-E1372</f>
        <v>2044</v>
      </c>
      <c r="G1372" s="64">
        <v>0</v>
      </c>
      <c r="H1372" s="64"/>
      <c r="I1372" s="64"/>
      <c r="J1372" s="1367"/>
      <c r="K1372" s="64">
        <f>IFERROR(SUMIF(INTAKE!$A:$A,$T1372,INTAKE!$P:$P),0)</f>
        <v>0</v>
      </c>
      <c r="L1372" s="1534">
        <f t="shared" si="826"/>
        <v>0</v>
      </c>
      <c r="M1372" s="48"/>
      <c r="N1372" s="163"/>
      <c r="O1372" s="48"/>
      <c r="P1372" s="750"/>
      <c r="Q1372" s="795"/>
      <c r="R1372" s="785">
        <f>IFERROR(VLOOKUP($Q1372,'391'!$S:$Z,8,0),"")</f>
        <v>0</v>
      </c>
      <c r="S1372" s="796"/>
      <c r="T1372" s="797" t="str">
        <f>$Q$1375&amp;C1372&amp;E1372</f>
        <v>Mypro (China)Y4.144217</v>
      </c>
      <c r="U1372" s="797"/>
      <c r="V1372" s="797"/>
      <c r="W1372" s="785">
        <f>IFERROR(VLOOKUP($Q1372,'391'!$S:$AG,15,0),0)</f>
        <v>0</v>
      </c>
      <c r="X1372" s="1090">
        <f t="shared" si="820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2087"/>
      <c r="B1373" s="2079"/>
      <c r="C1373" s="574" t="s">
        <v>248</v>
      </c>
      <c r="D1373" s="881" t="s">
        <v>10</v>
      </c>
      <c r="E1373" s="882">
        <v>44217</v>
      </c>
      <c r="F1373" s="71">
        <f>$L$7-E1373</f>
        <v>2044</v>
      </c>
      <c r="G1373" s="64">
        <v>0</v>
      </c>
      <c r="H1373" s="64"/>
      <c r="I1373" s="64"/>
      <c r="J1373" s="1367"/>
      <c r="K1373" s="64">
        <f>IFERROR(SUMIF(INTAKE!$A:$A,$T1373,INTAKE!$P:$P),0)</f>
        <v>0</v>
      </c>
      <c r="L1373" s="1534">
        <f t="shared" si="826"/>
        <v>0</v>
      </c>
      <c r="M1373" s="48"/>
      <c r="N1373" s="163"/>
      <c r="O1373" s="48"/>
      <c r="P1373" s="750"/>
      <c r="Q1373" s="795"/>
      <c r="R1373" s="785">
        <f>IFERROR(VLOOKUP($Q1373,'391'!$S:$Z,8,0),"")</f>
        <v>0</v>
      </c>
      <c r="S1373" s="796"/>
      <c r="T1373" s="797" t="str">
        <f>$Q$1375&amp;C1373&amp;E1373</f>
        <v>Mypro (China)Y4.144217</v>
      </c>
      <c r="U1373" s="797"/>
      <c r="V1373" s="797"/>
      <c r="W1373" s="785">
        <f>IFERROR(VLOOKUP($Q1373,'391'!$S:$AG,15,0),0)</f>
        <v>0</v>
      </c>
      <c r="X1373" s="1090">
        <f t="shared" si="820"/>
        <v>0</v>
      </c>
      <c r="Y1373" s="785"/>
      <c r="Z1373" s="785"/>
      <c r="AA1373" s="797"/>
      <c r="AB1373" s="797"/>
      <c r="AC1373" s="551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88"/>
      <c r="B1374" s="2071"/>
      <c r="C1374" s="138" t="s">
        <v>76</v>
      </c>
      <c r="D1374" s="884" t="s">
        <v>10</v>
      </c>
      <c r="E1374" s="885">
        <v>44294</v>
      </c>
      <c r="F1374" s="293">
        <f>$L$7-E1374</f>
        <v>1967</v>
      </c>
      <c r="G1374" s="1214">
        <v>0</v>
      </c>
      <c r="H1374" s="37"/>
      <c r="I1374" s="37">
        <f>+K1371+K1370</f>
        <v>0</v>
      </c>
      <c r="J1374" s="1385">
        <f>usage!I165</f>
        <v>0</v>
      </c>
      <c r="K1374" s="64">
        <f>IFERROR(SUMIF(INTAKE!$A:$A,$T1374,INTAKE!$P:$P),0)</f>
        <v>0</v>
      </c>
      <c r="L1374" s="1534">
        <f t="shared" si="826"/>
        <v>0</v>
      </c>
      <c r="M1374" s="35"/>
      <c r="N1374" s="920"/>
      <c r="O1374" s="35"/>
      <c r="P1374" s="1013"/>
      <c r="Q1374" s="795"/>
      <c r="R1374" s="785">
        <f>IFERROR(VLOOKUP($Q1374,'391'!$S:$Z,8,0),"")</f>
        <v>0</v>
      </c>
      <c r="S1374" s="796"/>
      <c r="T1374" s="797" t="str">
        <f>$Q$1375&amp;C1374&amp;E1374</f>
        <v>Mypro (China)Feedmil44294</v>
      </c>
      <c r="U1374" s="797"/>
      <c r="V1374" s="797"/>
      <c r="W1374" s="785">
        <f>IFERROR(VLOOKUP($Q1374,'391'!$S:$AG,15,0),0)</f>
        <v>0</v>
      </c>
      <c r="X1374" s="1090">
        <f t="shared" si="820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hidden="1" customHeight="1" x14ac:dyDescent="0.25">
      <c r="A1375" s="184"/>
      <c r="B1375" s="184" t="s">
        <v>902</v>
      </c>
      <c r="C1375" s="575"/>
      <c r="D1375" s="900"/>
      <c r="E1375" s="901"/>
      <c r="F1375" s="902"/>
      <c r="G1375" s="1337">
        <v>0</v>
      </c>
      <c r="H1375" s="1337">
        <f>+SUM(H1370:H1374)</f>
        <v>0</v>
      </c>
      <c r="I1375" s="1337">
        <f t="shared" ref="I1375:K1375" si="828">+SUM(I1370:I1374)</f>
        <v>0</v>
      </c>
      <c r="J1375" s="1337">
        <f t="shared" si="828"/>
        <v>0</v>
      </c>
      <c r="K1375" s="1337">
        <f t="shared" si="828"/>
        <v>0</v>
      </c>
      <c r="L1375" s="1534">
        <f t="shared" si="826"/>
        <v>0</v>
      </c>
      <c r="M1375" s="59" t="str">
        <f>IFERROR(R1375/$S$2,"")</f>
        <v/>
      </c>
      <c r="N1375" s="366">
        <f>IFERROR(L1375/M1375,0)</f>
        <v>0</v>
      </c>
      <c r="O1375" s="59">
        <f>IFERROR(SUMIF(ETM!$A:$A,$Q1375,ETM!$E:$E),"")</f>
        <v>0</v>
      </c>
      <c r="P1375" s="880">
        <f>IFERROR(L1375/O1375,0)</f>
        <v>0</v>
      </c>
      <c r="Q1375" s="795" t="s">
        <v>901</v>
      </c>
      <c r="R1375" s="785" t="str">
        <f>IFERROR(VLOOKUP($Q1375,'391'!$S:$Z,8,0),"")</f>
        <v/>
      </c>
      <c r="S1375" s="796"/>
      <c r="T1375" s="797"/>
      <c r="U1375" s="797"/>
      <c r="V1375" s="797"/>
      <c r="W1375" s="785">
        <f>IFERROR(VLOOKUP($Q1375,'391'!$S:$AG,15,0),0)</f>
        <v>0</v>
      </c>
      <c r="X1375" s="1090">
        <f t="shared" si="820"/>
        <v>0</v>
      </c>
      <c r="Y1375" s="785"/>
      <c r="Z1375" s="785"/>
      <c r="AA1375" s="797"/>
      <c r="AB1375" s="797"/>
      <c r="AC1375" s="683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hidden="1" customHeight="1" x14ac:dyDescent="0.25">
      <c r="A1376" s="2086">
        <f>IF(L1384=0,"",MAX($A$16:A1375)+1)</f>
        <v>93</v>
      </c>
      <c r="B1376" s="2078" t="s">
        <v>903</v>
      </c>
      <c r="C1376" s="574"/>
      <c r="D1376" s="881" t="s">
        <v>10</v>
      </c>
      <c r="E1376" s="882">
        <v>46087</v>
      </c>
      <c r="F1376" s="71">
        <f t="shared" ref="F1376:F1378" si="829">$L$7-E1376</f>
        <v>174</v>
      </c>
      <c r="G1376" s="64">
        <v>0</v>
      </c>
      <c r="H1376" s="64"/>
      <c r="I1376" s="64"/>
      <c r="J1376" s="1367"/>
      <c r="K1376" s="64">
        <f>IFERROR(SUMIF(INTAKE!$A:$A,$T1376,INTAKE!$P:$P),0)</f>
        <v>0</v>
      </c>
      <c r="L1376" s="1703">
        <f t="shared" si="826"/>
        <v>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ref="T1376:T1383" si="830">$Q$1384&amp;C1376&amp;E1376</f>
        <v>DPS 50(USA)46087</v>
      </c>
      <c r="U1376" s="797"/>
      <c r="V1376" s="797"/>
      <c r="W1376" s="785">
        <f>IFERROR(VLOOKUP($Q1376,'391'!$S:$AG,15,0),0)</f>
        <v>0</v>
      </c>
      <c r="X1376" s="1090">
        <f t="shared" si="820"/>
        <v>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87"/>
      <c r="B1377" s="2079"/>
      <c r="C1377" s="574" t="s">
        <v>360</v>
      </c>
      <c r="D1377" s="881" t="s">
        <v>10</v>
      </c>
      <c r="E1377" s="882">
        <v>46232</v>
      </c>
      <c r="F1377" s="71">
        <f t="shared" ref="F1377:F1378" si="831">$L$7-E1377</f>
        <v>29</v>
      </c>
      <c r="G1377" s="64">
        <v>5000</v>
      </c>
      <c r="H1377" s="64"/>
      <c r="I1377" s="64"/>
      <c r="J1377" s="1367"/>
      <c r="K1377" s="64">
        <f>IFERROR(SUMIF(INTAKE!$A:$A,$T1377,INTAKE!$P:$P),0)</f>
        <v>2500</v>
      </c>
      <c r="L1377" s="1703">
        <f t="shared" si="826"/>
        <v>2500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30"/>
        <v>DPS 50(USA)A19.246232</v>
      </c>
      <c r="U1377" s="797"/>
      <c r="V1377" s="797"/>
      <c r="W1377" s="785">
        <f>IFERROR(VLOOKUP($Q1377,'391'!$S:$AG,15,0),0)</f>
        <v>0</v>
      </c>
      <c r="X1377" s="1090">
        <f t="shared" si="820"/>
        <v>5000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0" customHeight="1" x14ac:dyDescent="0.25">
      <c r="A1378" s="2087"/>
      <c r="B1378" s="2079"/>
      <c r="C1378" s="574" t="s">
        <v>324</v>
      </c>
      <c r="D1378" s="881" t="s">
        <v>10</v>
      </c>
      <c r="E1378" s="882">
        <v>46251</v>
      </c>
      <c r="F1378" s="71">
        <f t="shared" si="831"/>
        <v>10</v>
      </c>
      <c r="G1378" s="64">
        <v>6000</v>
      </c>
      <c r="H1378" s="64"/>
      <c r="I1378" s="64"/>
      <c r="J1378" s="1367"/>
      <c r="K1378" s="64">
        <f>IFERROR(SUMIF(INTAKE!$A:$A,$T1378,INTAKE!$P:$P),0)</f>
        <v>0</v>
      </c>
      <c r="L1378" s="1703">
        <f t="shared" si="826"/>
        <v>6000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30"/>
        <v>DPS 50(USA)A19.446251</v>
      </c>
      <c r="U1378" s="797"/>
      <c r="V1378" s="797"/>
      <c r="W1378" s="785">
        <f>IFERROR(VLOOKUP($Q1378,'391'!$S:$AG,15,0),0)</f>
        <v>0</v>
      </c>
      <c r="X1378" s="1090">
        <f t="shared" si="820"/>
        <v>6000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24"/>
      <c r="B1379" s="2085"/>
      <c r="C1379" s="574"/>
      <c r="D1379" s="881" t="s">
        <v>10</v>
      </c>
      <c r="E1379" s="882">
        <v>46251</v>
      </c>
      <c r="F1379" s="71">
        <f t="shared" ref="F1379" si="832">$L$7-E1379</f>
        <v>10</v>
      </c>
      <c r="G1379" s="64"/>
      <c r="H1379" s="64"/>
      <c r="I1379" s="64"/>
      <c r="J1379" s="1367"/>
      <c r="K1379" s="64">
        <f>IFERROR(SUMIF(INTAKE!$A:$A,$T1379,INTAKE!$P:$P),0)</f>
        <v>0</v>
      </c>
      <c r="L1379" s="1703">
        <f t="shared" si="826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30"/>
        <v>DPS 50(USA)46251</v>
      </c>
      <c r="U1379" s="797"/>
      <c r="V1379" s="797"/>
      <c r="W1379" s="785">
        <f>IFERROR(VLOOKUP($Q1379,'391'!$S:$AG,15,0),0)</f>
        <v>0</v>
      </c>
      <c r="X1379" s="1090">
        <f t="shared" si="820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1.5" hidden="1" customHeight="1" x14ac:dyDescent="0.25">
      <c r="A1380" s="2124"/>
      <c r="B1380" s="2085"/>
      <c r="C1380" s="574"/>
      <c r="D1380" s="881" t="s">
        <v>10</v>
      </c>
      <c r="E1380" s="882">
        <v>46232</v>
      </c>
      <c r="F1380" s="71">
        <f t="shared" ref="F1380" si="833">$L$7-E1380</f>
        <v>29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3">
        <f t="shared" ref="L1380:L1381" si="834">+G1380+H1380+I1380-J1380-K1380</f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30"/>
        <v>DPS 50(USA)46232</v>
      </c>
      <c r="U1380" s="797"/>
      <c r="V1380" s="797"/>
      <c r="W1380" s="785">
        <f>IFERROR(VLOOKUP($Q1380,'391'!$S:$AG,15,0),0)</f>
        <v>0</v>
      </c>
      <c r="X1380" s="1090">
        <f t="shared" ref="X1380:X1381" si="835">G1380-W1380</f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hidden="1" customHeight="1" x14ac:dyDescent="0.25">
      <c r="A1381" s="2124"/>
      <c r="B1381" s="2085"/>
      <c r="C1381" s="574"/>
      <c r="D1381" s="881" t="s">
        <v>10</v>
      </c>
      <c r="E1381" s="882">
        <v>46086</v>
      </c>
      <c r="F1381" s="71">
        <f t="shared" ref="F1381" si="836">$L$7-E1381</f>
        <v>175</v>
      </c>
      <c r="G1381" s="64">
        <v>0</v>
      </c>
      <c r="H1381" s="64"/>
      <c r="I1381" s="64"/>
      <c r="J1381" s="1367"/>
      <c r="K1381" s="64">
        <f>IFERROR(SUMIF(INTAKE!$A:$A,$T1381,INTAKE!$P:$P),0)</f>
        <v>0</v>
      </c>
      <c r="L1381" s="1703">
        <f t="shared" si="834"/>
        <v>0</v>
      </c>
      <c r="M1381" s="48"/>
      <c r="N1381" s="163"/>
      <c r="O1381" s="48"/>
      <c r="P1381" s="750"/>
      <c r="Q1381" s="795"/>
      <c r="R1381" s="785">
        <f>IFERROR(VLOOKUP($Q1381,'391'!$S:$Z,8,0),"")</f>
        <v>0</v>
      </c>
      <c r="S1381" s="796"/>
      <c r="T1381" s="797" t="str">
        <f t="shared" si="830"/>
        <v>DPS 50(USA)46086</v>
      </c>
      <c r="U1381" s="797"/>
      <c r="V1381" s="797"/>
      <c r="W1381" s="785">
        <f>IFERROR(VLOOKUP($Q1381,'391'!$S:$AG,15,0),0)</f>
        <v>0</v>
      </c>
      <c r="X1381" s="1090">
        <f t="shared" si="835"/>
        <v>0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hidden="1" customHeight="1" x14ac:dyDescent="0.25">
      <c r="A1382" s="2087"/>
      <c r="B1382" s="2079"/>
      <c r="C1382" s="574"/>
      <c r="D1382" s="881" t="s">
        <v>10</v>
      </c>
      <c r="E1382" s="882">
        <v>46087</v>
      </c>
      <c r="F1382" s="71">
        <f t="shared" ref="F1382:F1383" si="837">$L$7-E1382</f>
        <v>174</v>
      </c>
      <c r="G1382" s="64">
        <v>0</v>
      </c>
      <c r="H1382" s="64"/>
      <c r="I1382" s="64"/>
      <c r="J1382" s="1367"/>
      <c r="K1382" s="64">
        <f>IFERROR(SUMIF(INTAKE!$A:$A,$T1382,INTAKE!$P:$P),0)</f>
        <v>0</v>
      </c>
      <c r="L1382" s="1703">
        <f t="shared" si="826"/>
        <v>0</v>
      </c>
      <c r="M1382" s="48"/>
      <c r="N1382" s="163"/>
      <c r="O1382" s="48"/>
      <c r="P1382" s="750"/>
      <c r="Q1382" s="795"/>
      <c r="R1382" s="785">
        <f>IFERROR(VLOOKUP($Q1382,'391'!$S:$Z,8,0),"")</f>
        <v>0</v>
      </c>
      <c r="S1382" s="796"/>
      <c r="T1382" s="797" t="str">
        <f t="shared" si="830"/>
        <v>DPS 50(USA)46087</v>
      </c>
      <c r="U1382" s="797"/>
      <c r="V1382" s="797"/>
      <c r="W1382" s="785">
        <f>IFERROR(VLOOKUP($Q1382,'391'!$S:$AG,15,0),0)</f>
        <v>0</v>
      </c>
      <c r="X1382" s="1090">
        <f t="shared" si="820"/>
        <v>0</v>
      </c>
      <c r="Y1382" s="785"/>
      <c r="Z1382" s="785"/>
      <c r="AA1382" s="797"/>
      <c r="AB1382" s="797"/>
      <c r="AC1382" s="551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customHeight="1" x14ac:dyDescent="0.25">
      <c r="A1383" s="2088"/>
      <c r="B1383" s="2071"/>
      <c r="C1383" s="138" t="s">
        <v>76</v>
      </c>
      <c r="D1383" s="884" t="s">
        <v>10</v>
      </c>
      <c r="E1383" s="885">
        <v>46231</v>
      </c>
      <c r="F1383" s="293">
        <f t="shared" si="837"/>
        <v>30</v>
      </c>
      <c r="G1383" s="1214">
        <v>385</v>
      </c>
      <c r="H1383" s="37"/>
      <c r="I1383" s="37">
        <f>SUM(K1376:K1380)</f>
        <v>2500</v>
      </c>
      <c r="J1383" s="1385">
        <f>usage!I166</f>
        <v>1120</v>
      </c>
      <c r="K1383" s="64">
        <f>IFERROR(SUMIF(INTAKE!$A:$A,$T1383,INTAKE!$P:$P),0)</f>
        <v>0</v>
      </c>
      <c r="L1383" s="1534">
        <f t="shared" si="826"/>
        <v>1765</v>
      </c>
      <c r="M1383" s="35"/>
      <c r="N1383" s="920"/>
      <c r="O1383" s="35"/>
      <c r="P1383" s="1013"/>
      <c r="Q1383" s="795"/>
      <c r="R1383" s="785">
        <f>IFERROR(VLOOKUP($Q1383,'391'!$S:$Z,8,0),"")</f>
        <v>0</v>
      </c>
      <c r="S1383" s="796"/>
      <c r="T1383" s="797" t="str">
        <f t="shared" si="830"/>
        <v>DPS 50(USA)Feedmil46231</v>
      </c>
      <c r="U1383" s="797"/>
      <c r="V1383" s="797"/>
      <c r="W1383" s="785">
        <f>IFERROR(VLOOKUP($Q1383,'391'!$S:$AG,15,0),0)</f>
        <v>0</v>
      </c>
      <c r="X1383" s="1090">
        <f t="shared" si="820"/>
        <v>385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customHeight="1" x14ac:dyDescent="0.25">
      <c r="A1384" s="184"/>
      <c r="B1384" s="184" t="s">
        <v>904</v>
      </c>
      <c r="C1384" s="575"/>
      <c r="D1384" s="900"/>
      <c r="E1384" s="901"/>
      <c r="F1384" s="902"/>
      <c r="G1384" s="1337">
        <v>11385</v>
      </c>
      <c r="H1384" s="1337">
        <f>+SUM(H1376:H1383)</f>
        <v>0</v>
      </c>
      <c r="I1384" s="1337">
        <f t="shared" ref="I1384:L1384" si="838">+SUM(I1376:I1383)</f>
        <v>2500</v>
      </c>
      <c r="J1384" s="1337">
        <f t="shared" si="838"/>
        <v>1120</v>
      </c>
      <c r="K1384" s="1337">
        <f t="shared" si="838"/>
        <v>2500</v>
      </c>
      <c r="L1384" s="1337">
        <f t="shared" si="838"/>
        <v>10265</v>
      </c>
      <c r="M1384" s="59">
        <f>IFERROR(R1384/$S$2,"")</f>
        <v>1224.1666666666667</v>
      </c>
      <c r="N1384" s="366">
        <f>IFERROR(L1384/M1384,0)</f>
        <v>8.3852961198093929</v>
      </c>
      <c r="O1384" s="59">
        <f>IFERROR(SUMIF(ETM!$A:$A,$Q1384,ETM!$E:$E),"")</f>
        <v>780.83333333333326</v>
      </c>
      <c r="P1384" s="880">
        <f>IFERROR(L1384/O1384,0)</f>
        <v>13.146211312700109</v>
      </c>
      <c r="Q1384" s="795" t="s">
        <v>903</v>
      </c>
      <c r="R1384" s="785">
        <f>IFERROR(VLOOKUP($Q1384,'391'!$S:$Z,8,0),"")</f>
        <v>7345</v>
      </c>
      <c r="S1384" s="796"/>
      <c r="T1384" s="797"/>
      <c r="U1384" s="797"/>
      <c r="V1384" s="797"/>
      <c r="W1384" s="785">
        <f>IFERROR(VLOOKUP($Q1384,'391'!$S:$AG,15,0),0)</f>
        <v>15260</v>
      </c>
      <c r="X1384" s="1090">
        <f t="shared" si="820"/>
        <v>-3875</v>
      </c>
      <c r="Y1384" s="785"/>
      <c r="Z1384" s="785"/>
      <c r="AA1384" s="797"/>
      <c r="AB1384" s="797"/>
      <c r="AC1384" s="683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86" t="str">
        <f>IF(L1390=0,"",MAX($A$16:A1384)+1)</f>
        <v/>
      </c>
      <c r="B1385" s="2078" t="s">
        <v>905</v>
      </c>
      <c r="C1385" s="574"/>
      <c r="D1385" s="881" t="s">
        <v>10</v>
      </c>
      <c r="E1385" s="882">
        <v>44918</v>
      </c>
      <c r="F1385" s="71">
        <f>$L$7-E1385</f>
        <v>1343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26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$Q$1390&amp;C1385&amp;E1385</f>
        <v>AP920 (Canada)44918</v>
      </c>
      <c r="U1385" s="797"/>
      <c r="V1385" s="797"/>
      <c r="W1385" s="785">
        <f>IFERROR(VLOOKUP($Q1385,'391'!$S:$AG,15,0),0)</f>
        <v>0</v>
      </c>
      <c r="X1385" s="1090">
        <f t="shared" si="820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87"/>
      <c r="B1386" s="2079"/>
      <c r="C1386" s="574" t="s">
        <v>1232</v>
      </c>
      <c r="D1386" s="881" t="s">
        <v>10</v>
      </c>
      <c r="E1386" s="882">
        <v>44918</v>
      </c>
      <c r="F1386" s="71">
        <f>$L$7-E1386</f>
        <v>1343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26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$Q$1390&amp;C1386&amp;E1386</f>
        <v>AP920 (Canada)V6.244918</v>
      </c>
      <c r="U1386" s="797"/>
      <c r="V1386" s="797"/>
      <c r="W1386" s="785">
        <f>IFERROR(VLOOKUP($Q1386,'391'!$S:$AG,15,0),0)</f>
        <v>0</v>
      </c>
      <c r="X1386" s="1090">
        <f t="shared" si="820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87"/>
      <c r="B1387" s="2079"/>
      <c r="C1387" s="574"/>
      <c r="D1387" s="881" t="s">
        <v>10</v>
      </c>
      <c r="E1387" s="882">
        <v>44217</v>
      </c>
      <c r="F1387" s="71">
        <f>$L$7-E1387</f>
        <v>2044</v>
      </c>
      <c r="G1387" s="64">
        <v>0</v>
      </c>
      <c r="H1387" s="64"/>
      <c r="I1387" s="64"/>
      <c r="J1387" s="1367"/>
      <c r="K1387" s="64">
        <f>IFERROR(SUMIF(INTAKE!$A:$A,$T1387,INTAKE!$P:$P),0)</f>
        <v>0</v>
      </c>
      <c r="L1387" s="1534">
        <f t="shared" si="826"/>
        <v>0</v>
      </c>
      <c r="M1387" s="48"/>
      <c r="N1387" s="163"/>
      <c r="O1387" s="48"/>
      <c r="P1387" s="750"/>
      <c r="Q1387" s="795"/>
      <c r="R1387" s="785">
        <f>IFERROR(VLOOKUP($Q1387,'391'!$S:$Z,8,0),"")</f>
        <v>0</v>
      </c>
      <c r="S1387" s="796"/>
      <c r="T1387" s="797" t="str">
        <f>$Q$1390&amp;C1387&amp;E1387</f>
        <v>AP920 (Canada)44217</v>
      </c>
      <c r="U1387" s="797"/>
      <c r="V1387" s="797"/>
      <c r="W1387" s="785">
        <f>IFERROR(VLOOKUP($Q1387,'391'!$S:$AG,15,0),0)</f>
        <v>0</v>
      </c>
      <c r="X1387" s="1090">
        <f t="shared" si="820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2087"/>
      <c r="B1388" s="2079"/>
      <c r="C1388" s="574"/>
      <c r="D1388" s="881" t="s">
        <v>10</v>
      </c>
      <c r="E1388" s="882">
        <v>44217</v>
      </c>
      <c r="F1388" s="71">
        <f>$L$7-E1388</f>
        <v>2044</v>
      </c>
      <c r="G1388" s="64">
        <v>0</v>
      </c>
      <c r="H1388" s="64"/>
      <c r="I1388" s="64"/>
      <c r="J1388" s="1367"/>
      <c r="K1388" s="64">
        <f>IFERROR(SUMIF(INTAKE!$A:$A,$T1388,INTAKE!$P:$P),0)</f>
        <v>0</v>
      </c>
      <c r="L1388" s="1534">
        <f t="shared" si="826"/>
        <v>0</v>
      </c>
      <c r="M1388" s="48"/>
      <c r="N1388" s="163"/>
      <c r="O1388" s="48"/>
      <c r="P1388" s="750"/>
      <c r="Q1388" s="795"/>
      <c r="R1388" s="785">
        <f>IFERROR(VLOOKUP($Q1388,'391'!$S:$Z,8,0),"")</f>
        <v>0</v>
      </c>
      <c r="S1388" s="796"/>
      <c r="T1388" s="797" t="str">
        <f>$Q$1390&amp;C1388&amp;E1388</f>
        <v>AP920 (Canada)44217</v>
      </c>
      <c r="U1388" s="797"/>
      <c r="V1388" s="797"/>
      <c r="W1388" s="785">
        <f>IFERROR(VLOOKUP($Q1388,'391'!$S:$AG,15,0),0)</f>
        <v>0</v>
      </c>
      <c r="X1388" s="1090">
        <f t="shared" si="820"/>
        <v>0</v>
      </c>
      <c r="Y1388" s="785"/>
      <c r="Z1388" s="785"/>
      <c r="AA1388" s="797"/>
      <c r="AB1388" s="797"/>
      <c r="AC1388" s="551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88"/>
      <c r="B1389" s="2071"/>
      <c r="C1389" s="138" t="s">
        <v>76</v>
      </c>
      <c r="D1389" s="884" t="s">
        <v>10</v>
      </c>
      <c r="E1389" s="885">
        <v>44918</v>
      </c>
      <c r="F1389" s="293">
        <f>$L$7-E1389</f>
        <v>1343</v>
      </c>
      <c r="G1389" s="1214">
        <v>0</v>
      </c>
      <c r="H1389" s="37"/>
      <c r="I1389" s="37">
        <f>+K1386+K1385</f>
        <v>0</v>
      </c>
      <c r="J1389" s="1385">
        <f>usage!I167</f>
        <v>0</v>
      </c>
      <c r="K1389" s="64">
        <f>IFERROR(SUMIF(INTAKE!$A:$A,$T1389,INTAKE!$P:$P),0)</f>
        <v>0</v>
      </c>
      <c r="L1389" s="1534">
        <f t="shared" si="826"/>
        <v>0</v>
      </c>
      <c r="M1389" s="35"/>
      <c r="N1389" s="920"/>
      <c r="O1389" s="35"/>
      <c r="P1389" s="1013"/>
      <c r="Q1389" s="795"/>
      <c r="R1389" s="785">
        <f>IFERROR(VLOOKUP($Q1389,'391'!$S:$Z,8,0),"")</f>
        <v>0</v>
      </c>
      <c r="S1389" s="796"/>
      <c r="T1389" s="797" t="str">
        <f>$Q$1390&amp;C1389&amp;E1389</f>
        <v>AP920 (Canada)Feedmil44918</v>
      </c>
      <c r="U1389" s="797"/>
      <c r="V1389" s="797"/>
      <c r="W1389" s="785">
        <f>IFERROR(VLOOKUP($Q1389,'391'!$S:$AG,15,0),0)</f>
        <v>0</v>
      </c>
      <c r="X1389" s="1090">
        <f t="shared" si="820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184"/>
      <c r="B1390" s="184" t="s">
        <v>906</v>
      </c>
      <c r="C1390" s="575"/>
      <c r="D1390" s="900"/>
      <c r="E1390" s="901"/>
      <c r="F1390" s="902"/>
      <c r="G1390" s="1337">
        <v>0</v>
      </c>
      <c r="H1390" s="1337">
        <f>+SUM(H1385:H1389)</f>
        <v>0</v>
      </c>
      <c r="I1390" s="1337">
        <f t="shared" ref="I1390:K1390" si="839">+SUM(I1385:I1389)</f>
        <v>0</v>
      </c>
      <c r="J1390" s="1337">
        <f t="shared" si="839"/>
        <v>0</v>
      </c>
      <c r="K1390" s="1337">
        <f t="shared" si="839"/>
        <v>0</v>
      </c>
      <c r="L1390" s="1534">
        <f t="shared" si="826"/>
        <v>0</v>
      </c>
      <c r="M1390" s="59" t="str">
        <f>IFERROR(R1390/$S$2,"")</f>
        <v/>
      </c>
      <c r="N1390" s="366">
        <f>IFERROR(L1390/M1390,0)</f>
        <v>0</v>
      </c>
      <c r="O1390" s="59">
        <f>IFERROR(SUMIF(ETM!$A:$A,$Q1390,ETM!$E:$E),"")</f>
        <v>0</v>
      </c>
      <c r="P1390" s="880">
        <f>IFERROR(L1390/O1390,0)</f>
        <v>0</v>
      </c>
      <c r="Q1390" s="795" t="s">
        <v>923</v>
      </c>
      <c r="R1390" s="785" t="str">
        <f>IFERROR(VLOOKUP($Q1390,'391'!$S:$Z,8,0),"")</f>
        <v/>
      </c>
      <c r="S1390" s="796"/>
      <c r="T1390" s="797"/>
      <c r="U1390" s="797"/>
      <c r="V1390" s="797"/>
      <c r="W1390" s="785">
        <f>IFERROR(VLOOKUP($Q1390,'391'!$S:$AG,15,0),0)</f>
        <v>0</v>
      </c>
      <c r="X1390" s="1090">
        <f t="shared" si="820"/>
        <v>0</v>
      </c>
      <c r="Y1390" s="785"/>
      <c r="Z1390" s="785"/>
      <c r="AA1390" s="797"/>
      <c r="AB1390" s="797"/>
      <c r="AC1390" s="683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86" t="str">
        <f>IF(L1396=0,"",MAX($A$16:A1390)+1)</f>
        <v/>
      </c>
      <c r="B1391" s="2078" t="s">
        <v>1115</v>
      </c>
      <c r="C1391" s="574" t="s">
        <v>190</v>
      </c>
      <c r="D1391" s="881" t="s">
        <v>10</v>
      </c>
      <c r="E1391" s="882">
        <v>44553</v>
      </c>
      <c r="F1391" s="71">
        <f>$L$7-E1391</f>
        <v>1708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26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$Q$1396&amp;C1391&amp;E1391</f>
        <v>FiberMax- 7 (USA)A16.244553</v>
      </c>
      <c r="U1391" s="797"/>
      <c r="V1391" s="797"/>
      <c r="W1391" s="785">
        <f>IFERROR(VLOOKUP($Q1391,'391'!$S:$AG,15,0),0)</f>
        <v>0</v>
      </c>
      <c r="X1391" s="1090">
        <f t="shared" si="820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87"/>
      <c r="B1392" s="2079"/>
      <c r="C1392" s="574"/>
      <c r="D1392" s="881" t="s">
        <v>10</v>
      </c>
      <c r="E1392" s="882">
        <v>44217</v>
      </c>
      <c r="F1392" s="71">
        <f>$L$7-E1392</f>
        <v>2044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26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$Q$1396&amp;C1392&amp;E1392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20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87"/>
      <c r="B1393" s="2079"/>
      <c r="C1393" s="574"/>
      <c r="D1393" s="881" t="s">
        <v>10</v>
      </c>
      <c r="E1393" s="882">
        <v>44217</v>
      </c>
      <c r="F1393" s="71">
        <f>$L$7-E1393</f>
        <v>2044</v>
      </c>
      <c r="G1393" s="64">
        <v>0</v>
      </c>
      <c r="H1393" s="64"/>
      <c r="I1393" s="64"/>
      <c r="J1393" s="1367"/>
      <c r="K1393" s="64">
        <f>IFERROR(SUMIF(INTAKE!$A:$A,$T1393,INTAKE!$P:$P),0)</f>
        <v>0</v>
      </c>
      <c r="L1393" s="1534">
        <f t="shared" si="826"/>
        <v>0</v>
      </c>
      <c r="M1393" s="48"/>
      <c r="N1393" s="163"/>
      <c r="O1393" s="48"/>
      <c r="P1393" s="750"/>
      <c r="Q1393" s="795"/>
      <c r="R1393" s="785">
        <f>IFERROR(VLOOKUP($Q1393,'391'!$S:$Z,8,0),"")</f>
        <v>0</v>
      </c>
      <c r="S1393" s="796"/>
      <c r="T1393" s="797" t="str">
        <f>$Q$1396&amp;C1393&amp;E1393</f>
        <v>FiberMax- 7 (USA)44217</v>
      </c>
      <c r="U1393" s="797"/>
      <c r="V1393" s="797"/>
      <c r="W1393" s="785">
        <f>IFERROR(VLOOKUP($Q1393,'391'!$S:$AG,15,0),0)</f>
        <v>0</v>
      </c>
      <c r="X1393" s="1090">
        <f t="shared" si="820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2087"/>
      <c r="B1394" s="2079"/>
      <c r="C1394" s="574"/>
      <c r="D1394" s="881" t="s">
        <v>10</v>
      </c>
      <c r="E1394" s="882">
        <v>44217</v>
      </c>
      <c r="F1394" s="71">
        <f>$L$7-E1394</f>
        <v>2044</v>
      </c>
      <c r="G1394" s="64">
        <v>0</v>
      </c>
      <c r="H1394" s="64"/>
      <c r="I1394" s="64"/>
      <c r="J1394" s="1367"/>
      <c r="K1394" s="64">
        <f>IFERROR(SUMIF(INTAKE!$A:$A,$T1394,INTAKE!$P:$P),0)</f>
        <v>0</v>
      </c>
      <c r="L1394" s="1534">
        <f t="shared" si="826"/>
        <v>0</v>
      </c>
      <c r="M1394" s="48"/>
      <c r="N1394" s="163"/>
      <c r="O1394" s="48"/>
      <c r="P1394" s="750"/>
      <c r="Q1394" s="795"/>
      <c r="R1394" s="785">
        <f>IFERROR(VLOOKUP($Q1394,'391'!$S:$Z,8,0),"")</f>
        <v>0</v>
      </c>
      <c r="S1394" s="796"/>
      <c r="T1394" s="797" t="str">
        <f>$Q$1396&amp;C1394&amp;E1394</f>
        <v>FiberMax- 7 (USA)44217</v>
      </c>
      <c r="U1394" s="797"/>
      <c r="V1394" s="797"/>
      <c r="W1394" s="785">
        <f>IFERROR(VLOOKUP($Q1394,'391'!$S:$AG,15,0),0)</f>
        <v>0</v>
      </c>
      <c r="X1394" s="1090">
        <f t="shared" si="820"/>
        <v>0</v>
      </c>
      <c r="Y1394" s="785"/>
      <c r="Z1394" s="785"/>
      <c r="AA1394" s="797"/>
      <c r="AB1394" s="797"/>
      <c r="AC1394" s="551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88"/>
      <c r="B1395" s="2071"/>
      <c r="C1395" s="138" t="s">
        <v>76</v>
      </c>
      <c r="D1395" s="884" t="s">
        <v>10</v>
      </c>
      <c r="E1395" s="885">
        <v>44553</v>
      </c>
      <c r="F1395" s="293">
        <f>$L$7-E1395</f>
        <v>1708</v>
      </c>
      <c r="G1395" s="1214">
        <v>0</v>
      </c>
      <c r="H1395" s="37"/>
      <c r="I1395" s="37">
        <f>+K1392+K1391</f>
        <v>0</v>
      </c>
      <c r="J1395" s="1385">
        <f>usage!I183</f>
        <v>0</v>
      </c>
      <c r="K1395" s="64">
        <f>IFERROR(SUMIF(INTAKE!$A:$A,$T1395,INTAKE!$P:$P),0)</f>
        <v>0</v>
      </c>
      <c r="L1395" s="1534">
        <f t="shared" si="826"/>
        <v>0</v>
      </c>
      <c r="M1395" s="35"/>
      <c r="N1395" s="920"/>
      <c r="O1395" s="35"/>
      <c r="P1395" s="1013"/>
      <c r="Q1395" s="795"/>
      <c r="R1395" s="785">
        <f>IFERROR(VLOOKUP($Q1395,'391'!$S:$Z,8,0),"")</f>
        <v>0</v>
      </c>
      <c r="S1395" s="796"/>
      <c r="T1395" s="797" t="str">
        <f>$Q$1396&amp;C1395&amp;E1395</f>
        <v>FiberMax- 7 (USA)Feedmil44553</v>
      </c>
      <c r="U1395" s="797"/>
      <c r="V1395" s="797"/>
      <c r="W1395" s="785">
        <f>IFERROR(VLOOKUP($Q1395,'391'!$S:$AG,15,0),0)</f>
        <v>0</v>
      </c>
      <c r="X1395" s="1090">
        <f t="shared" si="820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hidden="1" customHeight="1" x14ac:dyDescent="0.25">
      <c r="A1396" s="184"/>
      <c r="B1396" s="184" t="s">
        <v>1116</v>
      </c>
      <c r="C1396" s="575"/>
      <c r="D1396" s="900"/>
      <c r="E1396" s="901"/>
      <c r="F1396" s="902"/>
      <c r="G1396" s="1337">
        <v>0</v>
      </c>
      <c r="H1396" s="1337">
        <f>+SUM(H1391:H1395)</f>
        <v>0</v>
      </c>
      <c r="I1396" s="1337">
        <f t="shared" ref="I1396:K1396" si="840">+SUM(I1391:I1395)</f>
        <v>0</v>
      </c>
      <c r="J1396" s="1337">
        <f t="shared" si="840"/>
        <v>0</v>
      </c>
      <c r="K1396" s="1337">
        <f t="shared" si="840"/>
        <v>0</v>
      </c>
      <c r="L1396" s="1534">
        <f t="shared" si="826"/>
        <v>0</v>
      </c>
      <c r="M1396" s="59" t="str">
        <f>IFERROR(R1396/$S$2,"")</f>
        <v/>
      </c>
      <c r="N1396" s="366">
        <f>IFERROR(L1396/M1396,0)</f>
        <v>0</v>
      </c>
      <c r="O1396" s="59">
        <f>IFERROR(SUMIF(ETM!$A:$A,$Q1396,ETM!$E:$E),"")</f>
        <v>0</v>
      </c>
      <c r="P1396" s="880">
        <f>IFERROR(L1396/O1396,0)</f>
        <v>0</v>
      </c>
      <c r="Q1396" s="795" t="s">
        <v>1115</v>
      </c>
      <c r="R1396" s="785" t="str">
        <f>IFERROR(VLOOKUP($Q1396,'391'!$S:$Z,8,0),"")</f>
        <v/>
      </c>
      <c r="S1396" s="796"/>
      <c r="T1396" s="797"/>
      <c r="U1396" s="797"/>
      <c r="V1396" s="797"/>
      <c r="W1396" s="785">
        <f>IFERROR(VLOOKUP($Q1396,'391'!$S:$AG,15,0),0)</f>
        <v>0</v>
      </c>
      <c r="X1396" s="1090">
        <f t="shared" si="820"/>
        <v>0</v>
      </c>
      <c r="Y1396" s="785"/>
      <c r="Z1396" s="785"/>
      <c r="AA1396" s="797"/>
      <c r="AB1396" s="797"/>
      <c r="AC1396" s="683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86">
        <f>IF(L1401=0,"",MAX($A$16:A1382)+1)</f>
        <v>94</v>
      </c>
      <c r="B1397" s="2078" t="s">
        <v>1111</v>
      </c>
      <c r="C1397" s="574"/>
      <c r="D1397" s="881" t="s">
        <v>10</v>
      </c>
      <c r="E1397" s="882">
        <v>46050</v>
      </c>
      <c r="F1397" s="71">
        <f>$L$7-E1397</f>
        <v>211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3">
        <f t="shared" si="826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$Q$1401&amp;C1397&amp;E1397</f>
        <v>TARTRAZINE 50% content (India)46050</v>
      </c>
      <c r="U1397" s="797"/>
      <c r="V1397" s="797"/>
      <c r="W1397" s="785">
        <f>IFERROR(VLOOKUP($Q1397,'391'!$S:$AG,15,0),0)</f>
        <v>0</v>
      </c>
      <c r="X1397" s="1090">
        <f t="shared" si="820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124"/>
      <c r="B1398" s="2085"/>
      <c r="C1398" s="574" t="s">
        <v>1583</v>
      </c>
      <c r="D1398" s="881" t="s">
        <v>10</v>
      </c>
      <c r="E1398" s="882">
        <v>46224</v>
      </c>
      <c r="F1398" s="71">
        <f>$L$7-E1398</f>
        <v>37</v>
      </c>
      <c r="G1398" s="64">
        <v>225</v>
      </c>
      <c r="H1398" s="64"/>
      <c r="I1398" s="64"/>
      <c r="J1398" s="1367"/>
      <c r="K1398" s="64">
        <f>IFERROR(SUMIF(INTAKE!$A:$A,$T1398,INTAKE!$P:$P),0)</f>
        <v>25</v>
      </c>
      <c r="L1398" s="1703">
        <f t="shared" si="826"/>
        <v>200</v>
      </c>
      <c r="M1398" s="102"/>
      <c r="N1398" s="103"/>
      <c r="O1398" s="102"/>
      <c r="P1398" s="739"/>
      <c r="Q1398" s="795"/>
      <c r="R1398" s="785">
        <f>IFERROR(VLOOKUP($Q1398,'391'!$S:$Z,8,0),"")</f>
        <v>0</v>
      </c>
      <c r="S1398" s="796"/>
      <c r="T1398" s="797" t="str">
        <f>$Q$1401&amp;C1398&amp;E1398</f>
        <v>TARTRAZINE 50% content (India)V1.146224</v>
      </c>
      <c r="U1398" s="797"/>
      <c r="V1398" s="797"/>
      <c r="W1398" s="785">
        <f>IFERROR(VLOOKUP($Q1398,'391'!$S:$AG,15,0),0)</f>
        <v>0</v>
      </c>
      <c r="X1398" s="1090">
        <f t="shared" si="820"/>
        <v>225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2087"/>
      <c r="B1399" s="2079"/>
      <c r="C1399" s="574" t="s">
        <v>1583</v>
      </c>
      <c r="D1399" s="881" t="s">
        <v>10</v>
      </c>
      <c r="E1399" s="882">
        <v>46260</v>
      </c>
      <c r="F1399" s="71">
        <f>$L$7-E1399</f>
        <v>1</v>
      </c>
      <c r="G1399" s="64">
        <v>500</v>
      </c>
      <c r="H1399" s="64"/>
      <c r="I1399" s="64"/>
      <c r="J1399" s="1367"/>
      <c r="K1399" s="64">
        <f>IFERROR(SUMIF(INTAKE!$A:$A,$T1399,INTAKE!$P:$P),0)</f>
        <v>0</v>
      </c>
      <c r="L1399" s="1534">
        <f t="shared" si="826"/>
        <v>500</v>
      </c>
      <c r="M1399" s="102"/>
      <c r="N1399" s="103"/>
      <c r="O1399" s="102"/>
      <c r="P1399" s="739"/>
      <c r="Q1399" s="795"/>
      <c r="R1399" s="785">
        <f>IFERROR(VLOOKUP($Q1399,'391'!$S:$Z,8,0),"")</f>
        <v>0</v>
      </c>
      <c r="S1399" s="796"/>
      <c r="T1399" s="797" t="str">
        <f>$Q$1401&amp;C1399&amp;E1399</f>
        <v>TARTRAZINE 50% content (India)V1.146260</v>
      </c>
      <c r="U1399" s="797"/>
      <c r="V1399" s="797"/>
      <c r="W1399" s="785">
        <f>IFERROR(VLOOKUP($Q1399,'391'!$S:$AG,15,0),0)</f>
        <v>0</v>
      </c>
      <c r="X1399" s="1090">
        <f t="shared" si="820"/>
        <v>500</v>
      </c>
      <c r="Y1399" s="785"/>
      <c r="Z1399" s="785"/>
      <c r="AA1399" s="797"/>
      <c r="AB1399" s="797"/>
      <c r="AC1399" s="551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customHeight="1" x14ac:dyDescent="0.25">
      <c r="A1400" s="2088"/>
      <c r="B1400" s="2071"/>
      <c r="C1400" s="108" t="s">
        <v>46</v>
      </c>
      <c r="D1400" s="884" t="s">
        <v>10</v>
      </c>
      <c r="E1400" s="885">
        <v>46224</v>
      </c>
      <c r="F1400" s="293">
        <f>$L$7-E1400</f>
        <v>37</v>
      </c>
      <c r="G1400" s="1214">
        <v>51.500000000000014</v>
      </c>
      <c r="H1400" s="37"/>
      <c r="I1400" s="37">
        <f>+K1399+K1397+K1398</f>
        <v>25</v>
      </c>
      <c r="J1400" s="1385">
        <f>usage!I170</f>
        <v>37.799999999999997</v>
      </c>
      <c r="K1400" s="64">
        <f>IFERROR(SUMIF(INTAKE!$A:$A,$T1400,INTAKE!$P:$P),0)</f>
        <v>0</v>
      </c>
      <c r="L1400" s="1534">
        <f t="shared" si="826"/>
        <v>38.700000000000017</v>
      </c>
      <c r="M1400" s="98"/>
      <c r="N1400" s="1473"/>
      <c r="O1400" s="98"/>
      <c r="P1400" s="759"/>
      <c r="Q1400" s="795"/>
      <c r="R1400" s="785">
        <f>IFERROR(VLOOKUP($Q1400,'391'!$S:$Z,8,0),"")</f>
        <v>0</v>
      </c>
      <c r="S1400" s="796"/>
      <c r="T1400" s="797" t="str">
        <f>$Q$1401&amp;C1400&amp;E1400</f>
        <v>TARTRAZINE 50% content (India)Feedmill46224</v>
      </c>
      <c r="U1400" s="797"/>
      <c r="V1400" s="797"/>
      <c r="W1400" s="785">
        <f>IFERROR(VLOOKUP($Q1400,'391'!$S:$AG,15,0),0)</f>
        <v>0</v>
      </c>
      <c r="X1400" s="1090">
        <f t="shared" si="820"/>
        <v>51.500000000000014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customHeight="1" x14ac:dyDescent="0.25">
      <c r="A1401" s="184"/>
      <c r="B1401" s="184" t="s">
        <v>1110</v>
      </c>
      <c r="C1401" s="575"/>
      <c r="D1401" s="900"/>
      <c r="E1401" s="901"/>
      <c r="F1401" s="902"/>
      <c r="G1401" s="1297">
        <v>776.5</v>
      </c>
      <c r="H1401" s="1297">
        <f>+SUM(H1397:H1400)</f>
        <v>0</v>
      </c>
      <c r="I1401" s="1297">
        <f>+SUM(I1397:I1400)</f>
        <v>25</v>
      </c>
      <c r="J1401" s="1297">
        <f t="shared" ref="J1401:L1401" si="841">+SUM(J1397:J1400)</f>
        <v>37.799999999999997</v>
      </c>
      <c r="K1401" s="1297">
        <f t="shared" si="841"/>
        <v>25</v>
      </c>
      <c r="L1401" s="1297">
        <f t="shared" si="841"/>
        <v>738.7</v>
      </c>
      <c r="M1401" s="59">
        <f>IFERROR(R1401/$S$2,"")</f>
        <v>8.82</v>
      </c>
      <c r="N1401" s="99">
        <f>IFERROR(L1401/M1401,0)</f>
        <v>83.752834467120181</v>
      </c>
      <c r="O1401" s="59">
        <f>IFERROR(SUMIF(ETM!$A:$A,$Q1401,ETM!$E:$E),"")</f>
        <v>14.333333333333332</v>
      </c>
      <c r="P1401" s="741">
        <f>IFERROR(L1401/O1401,0)</f>
        <v>51.537209302325586</v>
      </c>
      <c r="Q1401" s="809" t="s">
        <v>1111</v>
      </c>
      <c r="R1401" s="785">
        <f>IFERROR(VLOOKUP($Q1401,'391'!$S:$Z,8,0),"")</f>
        <v>52.92</v>
      </c>
      <c r="S1401" s="796"/>
      <c r="T1401" s="797"/>
      <c r="U1401" s="797"/>
      <c r="V1401" s="797"/>
      <c r="W1401" s="785">
        <f>IFERROR(VLOOKUP($Q1401,'391'!$S:$AG,15,0),0)</f>
        <v>308.42</v>
      </c>
      <c r="X1401" s="1090">
        <f t="shared" si="820"/>
        <v>468.08</v>
      </c>
      <c r="Y1401" s="785"/>
      <c r="Z1401" s="785"/>
      <c r="AA1401" s="797"/>
      <c r="AB1401" s="797"/>
      <c r="AC1401" s="683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86" t="str">
        <f>IF(L1405=0,"",MAX($A$16:A1386)+1)</f>
        <v/>
      </c>
      <c r="B1402" s="2078" t="s">
        <v>1125</v>
      </c>
      <c r="C1402" s="574"/>
      <c r="D1402" s="881" t="s">
        <v>10</v>
      </c>
      <c r="E1402" s="882">
        <v>44571</v>
      </c>
      <c r="F1402" s="71">
        <f>$L$7-E1402</f>
        <v>1690</v>
      </c>
      <c r="G1402" s="64">
        <v>0</v>
      </c>
      <c r="H1402" s="64"/>
      <c r="I1402" s="64"/>
      <c r="J1402" s="1367"/>
      <c r="K1402" s="64">
        <f>IFERROR(SUMIF(INTAKE!$A:$A,$T1402,INTAKE!$P:$P),0)</f>
        <v>0</v>
      </c>
      <c r="L1402" s="1534">
        <f t="shared" ref="L1402:L1428" si="842">+G1402+H1402+I1402-J1402-K1402</f>
        <v>0</v>
      </c>
      <c r="M1402" s="102"/>
      <c r="N1402" s="103"/>
      <c r="O1402" s="102"/>
      <c r="P1402" s="739"/>
      <c r="Q1402" s="795"/>
      <c r="R1402" s="785">
        <f>IFERROR(VLOOKUP($Q1402,'391'!$S:$Z,8,0),"")</f>
        <v>0</v>
      </c>
      <c r="S1402" s="796"/>
      <c r="T1402" s="797" t="str">
        <f>$Q$1405&amp;C1402&amp;E1402</f>
        <v>BPS Plus (France)44571</v>
      </c>
      <c r="U1402" s="797"/>
      <c r="V1402" s="797"/>
      <c r="W1402" s="785">
        <f>IFERROR(VLOOKUP($Q1402,'391'!$S:$AG,15,0),0)</f>
        <v>0</v>
      </c>
      <c r="X1402" s="1090">
        <f t="shared" si="820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2087"/>
      <c r="B1403" s="2079"/>
      <c r="C1403" s="574" t="s">
        <v>248</v>
      </c>
      <c r="D1403" s="881" t="s">
        <v>10</v>
      </c>
      <c r="E1403" s="882">
        <v>44566</v>
      </c>
      <c r="F1403" s="71">
        <f>$L$7-E1403</f>
        <v>1695</v>
      </c>
      <c r="G1403" s="64">
        <v>0</v>
      </c>
      <c r="H1403" s="64"/>
      <c r="I1403" s="64"/>
      <c r="J1403" s="1367"/>
      <c r="K1403" s="64">
        <f>IFERROR(SUMIF(INTAKE!$A:$A,$T1403,INTAKE!$P:$P),0)</f>
        <v>0</v>
      </c>
      <c r="L1403" s="1534">
        <f t="shared" si="842"/>
        <v>0</v>
      </c>
      <c r="M1403" s="102"/>
      <c r="N1403" s="103"/>
      <c r="O1403" s="102"/>
      <c r="P1403" s="739"/>
      <c r="Q1403" s="795"/>
      <c r="R1403" s="785">
        <f>IFERROR(VLOOKUP($Q1403,'391'!$S:$Z,8,0),"")</f>
        <v>0</v>
      </c>
      <c r="S1403" s="796"/>
      <c r="T1403" s="797" t="str">
        <f>$Q$1405&amp;C1403&amp;E1403</f>
        <v>BPS Plus (France)Y4.144566</v>
      </c>
      <c r="U1403" s="797"/>
      <c r="V1403" s="797"/>
      <c r="W1403" s="785">
        <f>IFERROR(VLOOKUP($Q1403,'391'!$S:$AG,15,0),0)</f>
        <v>0</v>
      </c>
      <c r="X1403" s="1090">
        <f t="shared" si="820"/>
        <v>0</v>
      </c>
      <c r="Y1403" s="785"/>
      <c r="Z1403" s="785"/>
      <c r="AA1403" s="797"/>
      <c r="AB1403" s="797"/>
      <c r="AC1403" s="551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88"/>
      <c r="B1404" s="2071"/>
      <c r="C1404" s="138" t="s">
        <v>76</v>
      </c>
      <c r="D1404" s="884" t="s">
        <v>10</v>
      </c>
      <c r="E1404" s="885">
        <v>44571</v>
      </c>
      <c r="F1404" s="293">
        <f>$L$7-E1404</f>
        <v>1690</v>
      </c>
      <c r="G1404" s="1214">
        <v>0</v>
      </c>
      <c r="H1404" s="37"/>
      <c r="I1404" s="37">
        <f>+K1403+K1402</f>
        <v>0</v>
      </c>
      <c r="J1404" s="1385">
        <f>usage!I172</f>
        <v>0</v>
      </c>
      <c r="K1404" s="64">
        <f>IFERROR(SUMIF(INTAKE!$A:$A,$T1404,INTAKE!$P:$P),0)</f>
        <v>0</v>
      </c>
      <c r="L1404" s="1534">
        <f t="shared" si="842"/>
        <v>0</v>
      </c>
      <c r="M1404" s="98"/>
      <c r="N1404" s="1473"/>
      <c r="O1404" s="98"/>
      <c r="P1404" s="759"/>
      <c r="Q1404" s="795"/>
      <c r="R1404" s="785">
        <f>IFERROR(VLOOKUP($Q1404,'391'!$S:$Z,8,0),"")</f>
        <v>0</v>
      </c>
      <c r="S1404" s="796"/>
      <c r="T1404" s="797" t="str">
        <f>$Q$1405&amp;C1404&amp;E1404</f>
        <v>BPS Plus (France)Feedmil44571</v>
      </c>
      <c r="U1404" s="797"/>
      <c r="V1404" s="797"/>
      <c r="W1404" s="785">
        <f>IFERROR(VLOOKUP($Q1404,'391'!$S:$AG,15,0),0)</f>
        <v>0</v>
      </c>
      <c r="X1404" s="1090">
        <f t="shared" si="820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184"/>
      <c r="B1405" s="184" t="s">
        <v>1126</v>
      </c>
      <c r="C1405" s="575"/>
      <c r="D1405" s="900"/>
      <c r="E1405" s="901"/>
      <c r="F1405" s="902"/>
      <c r="G1405" s="1297">
        <v>0</v>
      </c>
      <c r="H1405" s="1297">
        <f>+SUM(H1402:H1404)</f>
        <v>0</v>
      </c>
      <c r="I1405" s="1297">
        <f t="shared" ref="I1405:K1405" si="843">+SUM(I1402:I1404)</f>
        <v>0</v>
      </c>
      <c r="J1405" s="1297">
        <f t="shared" si="843"/>
        <v>0</v>
      </c>
      <c r="K1405" s="1297">
        <f t="shared" si="843"/>
        <v>0</v>
      </c>
      <c r="L1405" s="1534">
        <f t="shared" si="842"/>
        <v>0</v>
      </c>
      <c r="M1405" s="59" t="str">
        <f>IFERROR(R1405/$S$2,"")</f>
        <v/>
      </c>
      <c r="N1405" s="99">
        <f>IFERROR(L1405/M1405,0)</f>
        <v>0</v>
      </c>
      <c r="O1405" s="59">
        <f>IFERROR(SUMIF(ETM!$A:$A,$Q1405,ETM!$E:$E),"")</f>
        <v>0</v>
      </c>
      <c r="P1405" s="741">
        <f>IFERROR(L1405/O1405,0)</f>
        <v>0</v>
      </c>
      <c r="Q1405" s="809" t="s">
        <v>1125</v>
      </c>
      <c r="R1405" s="785" t="str">
        <f>IFERROR(VLOOKUP($Q1405,'391'!$S:$Z,8,0),"")</f>
        <v/>
      </c>
      <c r="S1405" s="796"/>
      <c r="T1405" s="797"/>
      <c r="U1405" s="797"/>
      <c r="V1405" s="797"/>
      <c r="W1405" s="785">
        <f>IFERROR(VLOOKUP($Q1405,'391'!$S:$AG,15,0),0)</f>
        <v>0</v>
      </c>
      <c r="X1405" s="1090">
        <f t="shared" si="820"/>
        <v>0</v>
      </c>
      <c r="Y1405" s="785"/>
      <c r="Z1405" s="785"/>
      <c r="AA1405" s="797"/>
      <c r="AB1405" s="797"/>
      <c r="AC1405" s="683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86" t="str">
        <f>IF(L1409=0,"",MAX($A$16:A1405)+1)</f>
        <v/>
      </c>
      <c r="B1406" s="2078" t="s">
        <v>1139</v>
      </c>
      <c r="C1406" s="574" t="s">
        <v>227</v>
      </c>
      <c r="D1406" s="881" t="s">
        <v>10</v>
      </c>
      <c r="E1406" s="882">
        <v>44958</v>
      </c>
      <c r="F1406" s="71">
        <f>$L$7-E1406</f>
        <v>1303</v>
      </c>
      <c r="G1406" s="64">
        <v>0</v>
      </c>
      <c r="H1406" s="64"/>
      <c r="I1406" s="64"/>
      <c r="J1406" s="1367"/>
      <c r="K1406" s="64">
        <f>IFERROR(SUMIF(INTAKE!$A:$A,$T1406,INTAKE!$P:$P),0)</f>
        <v>0</v>
      </c>
      <c r="L1406" s="1534">
        <f t="shared" si="842"/>
        <v>0</v>
      </c>
      <c r="M1406" s="102"/>
      <c r="N1406" s="103"/>
      <c r="O1406" s="102"/>
      <c r="P1406" s="739"/>
      <c r="Q1406" s="795"/>
      <c r="R1406" s="785">
        <f>IFERROR(VLOOKUP($Q1406,'391'!$S:$Z,8,0),"")</f>
        <v>0</v>
      </c>
      <c r="S1406" s="796"/>
      <c r="T1406" s="797" t="str">
        <f>$Q$1409&amp;C1406&amp;E1406</f>
        <v>Glycine (China)V9.144958</v>
      </c>
      <c r="U1406" s="797"/>
      <c r="V1406" s="797"/>
      <c r="W1406" s="785">
        <f>IFERROR(VLOOKUP($Q1406,'391'!$S:$AG,15,0),0)</f>
        <v>0</v>
      </c>
      <c r="X1406" s="1090">
        <f t="shared" si="820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2087"/>
      <c r="B1407" s="2079"/>
      <c r="C1407" s="574"/>
      <c r="D1407" s="881" t="s">
        <v>10</v>
      </c>
      <c r="E1407" s="882">
        <v>44958</v>
      </c>
      <c r="F1407" s="71">
        <f>$L$7-E1407</f>
        <v>1303</v>
      </c>
      <c r="G1407" s="64">
        <v>0</v>
      </c>
      <c r="H1407" s="64"/>
      <c r="I1407" s="64"/>
      <c r="J1407" s="1367"/>
      <c r="K1407" s="64">
        <f>IFERROR(SUMIF(INTAKE!$A:$A,$T1407,INTAKE!$P:$P),0)</f>
        <v>0</v>
      </c>
      <c r="L1407" s="1534">
        <f t="shared" si="842"/>
        <v>0</v>
      </c>
      <c r="M1407" s="102"/>
      <c r="N1407" s="103"/>
      <c r="O1407" s="102"/>
      <c r="P1407" s="739"/>
      <c r="Q1407" s="795"/>
      <c r="R1407" s="785">
        <f>IFERROR(VLOOKUP($Q1407,'391'!$S:$Z,8,0),"")</f>
        <v>0</v>
      </c>
      <c r="S1407" s="796"/>
      <c r="T1407" s="797" t="str">
        <f>$Q$1409&amp;C1407&amp;E1407</f>
        <v>Glycine (China)44958</v>
      </c>
      <c r="U1407" s="797"/>
      <c r="V1407" s="797"/>
      <c r="W1407" s="785">
        <f>IFERROR(VLOOKUP($Q1407,'391'!$S:$AG,15,0),0)</f>
        <v>0</v>
      </c>
      <c r="X1407" s="1090">
        <f t="shared" si="820"/>
        <v>0</v>
      </c>
      <c r="Y1407" s="785"/>
      <c r="Z1407" s="785"/>
      <c r="AA1407" s="797"/>
      <c r="AB1407" s="797"/>
      <c r="AC1407" s="551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88"/>
      <c r="B1408" s="2071"/>
      <c r="C1408" s="138" t="s">
        <v>76</v>
      </c>
      <c r="D1408" s="884" t="s">
        <v>10</v>
      </c>
      <c r="E1408" s="885">
        <v>44958</v>
      </c>
      <c r="F1408" s="293">
        <f>$L$7-E1408</f>
        <v>1303</v>
      </c>
      <c r="G1408" s="1214">
        <v>0</v>
      </c>
      <c r="H1408" s="37"/>
      <c r="I1408" s="37">
        <f>+K1407+K1406</f>
        <v>0</v>
      </c>
      <c r="J1408" s="1385">
        <f>usage!I171</f>
        <v>0</v>
      </c>
      <c r="K1408" s="64">
        <f>IFERROR(SUMIF(INTAKE!$A:$A,$T1408,INTAKE!$P:$P),0)</f>
        <v>0</v>
      </c>
      <c r="L1408" s="1534">
        <f t="shared" si="842"/>
        <v>0</v>
      </c>
      <c r="M1408" s="98"/>
      <c r="N1408" s="1473"/>
      <c r="O1408" s="98"/>
      <c r="P1408" s="759"/>
      <c r="Q1408" s="795"/>
      <c r="R1408" s="785">
        <f>IFERROR(VLOOKUP($Q1408,'391'!$S:$Z,8,0),"")</f>
        <v>0</v>
      </c>
      <c r="S1408" s="796"/>
      <c r="T1408" s="797" t="str">
        <f>$Q$1409&amp;C1408&amp;E1408</f>
        <v>Glycine (China)Feedmil44958</v>
      </c>
      <c r="U1408" s="797"/>
      <c r="V1408" s="797"/>
      <c r="W1408" s="785">
        <f>IFERROR(VLOOKUP($Q1408,'391'!$S:$AG,15,0),0)</f>
        <v>0</v>
      </c>
      <c r="X1408" s="1090">
        <f t="shared" si="820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184"/>
      <c r="B1409" s="184" t="s">
        <v>1140</v>
      </c>
      <c r="C1409" s="575"/>
      <c r="D1409" s="900"/>
      <c r="E1409" s="901"/>
      <c r="F1409" s="902"/>
      <c r="G1409" s="1297">
        <v>0</v>
      </c>
      <c r="H1409" s="1297">
        <f>+SUM(H1406:H1408)</f>
        <v>0</v>
      </c>
      <c r="I1409" s="1297">
        <f t="shared" ref="I1409:K1409" si="844">+SUM(I1406:I1408)</f>
        <v>0</v>
      </c>
      <c r="J1409" s="1297">
        <f t="shared" si="844"/>
        <v>0</v>
      </c>
      <c r="K1409" s="1297">
        <f t="shared" si="844"/>
        <v>0</v>
      </c>
      <c r="L1409" s="1534">
        <f t="shared" si="842"/>
        <v>0</v>
      </c>
      <c r="M1409" s="59" t="str">
        <f>IFERROR(R1409/$S$2,"")</f>
        <v/>
      </c>
      <c r="N1409" s="99">
        <f>IFERROR(L1409/M1409,0)</f>
        <v>0</v>
      </c>
      <c r="O1409" s="59">
        <f>IFERROR(SUMIF(ETM!$A:$A,$Q1409,ETM!$E:$E),"")</f>
        <v>0</v>
      </c>
      <c r="P1409" s="741">
        <f>IFERROR(L1409/O1409,0)</f>
        <v>0</v>
      </c>
      <c r="Q1409" s="809" t="s">
        <v>1142</v>
      </c>
      <c r="R1409" s="785" t="str">
        <f>IFERROR(VLOOKUP($Q1409,'391'!$S:$Z,8,0),"")</f>
        <v/>
      </c>
      <c r="S1409" s="796"/>
      <c r="T1409" s="797"/>
      <c r="U1409" s="797"/>
      <c r="V1409" s="797"/>
      <c r="W1409" s="785">
        <f>IFERROR(VLOOKUP($Q1409,'391'!$S:$AG,15,0),0)</f>
        <v>0</v>
      </c>
      <c r="X1409" s="1090">
        <f t="shared" si="820"/>
        <v>0</v>
      </c>
      <c r="Y1409" s="785"/>
      <c r="Z1409" s="785"/>
      <c r="AA1409" s="797"/>
      <c r="AB1409" s="797"/>
      <c r="AC1409" s="683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86" t="str">
        <f>IF(L1413=0,"",MAX($A$16:A1409)+1)</f>
        <v/>
      </c>
      <c r="B1410" s="2078" t="s">
        <v>1156</v>
      </c>
      <c r="C1410" s="574"/>
      <c r="D1410" s="881" t="s">
        <v>10</v>
      </c>
      <c r="E1410" s="882">
        <v>44664</v>
      </c>
      <c r="F1410" s="71">
        <f>$L$7-E1410</f>
        <v>1597</v>
      </c>
      <c r="G1410" s="64">
        <v>0</v>
      </c>
      <c r="H1410" s="64"/>
      <c r="I1410" s="64"/>
      <c r="J1410" s="1367"/>
      <c r="K1410" s="64">
        <f>IFERROR(SUMIF(INTAKE!$A:$A,$T1410,INTAKE!$P:$P),0)</f>
        <v>0</v>
      </c>
      <c r="L1410" s="1534">
        <f t="shared" si="842"/>
        <v>0</v>
      </c>
      <c r="M1410" s="102"/>
      <c r="N1410" s="103"/>
      <c r="O1410" s="102"/>
      <c r="P1410" s="739"/>
      <c r="Q1410" s="795"/>
      <c r="R1410" s="785">
        <f>IFERROR(VLOOKUP($Q1410,'391'!$S:$Z,8,0),"")</f>
        <v>0</v>
      </c>
      <c r="S1410" s="796"/>
      <c r="T1410" s="797" t="str">
        <f>$Q$1413&amp;C1410&amp;E1410</f>
        <v>MFeed+ (France)44664</v>
      </c>
      <c r="U1410" s="797"/>
      <c r="V1410" s="797"/>
      <c r="W1410" s="785">
        <f>IFERROR(VLOOKUP($Q1410,'391'!$S:$AG,15,0),0)</f>
        <v>0</v>
      </c>
      <c r="X1410" s="1090">
        <f t="shared" si="820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2087"/>
      <c r="B1411" s="2079"/>
      <c r="C1411" s="574"/>
      <c r="D1411" s="881" t="s">
        <v>10</v>
      </c>
      <c r="E1411" s="882">
        <v>44566</v>
      </c>
      <c r="F1411" s="71">
        <f>$L$7-E1411</f>
        <v>1695</v>
      </c>
      <c r="G1411" s="64">
        <v>0</v>
      </c>
      <c r="H1411" s="64"/>
      <c r="I1411" s="64"/>
      <c r="J1411" s="1367"/>
      <c r="K1411" s="64">
        <f>IFERROR(SUMIF(INTAKE!$A:$A,$T1411,INTAKE!$P:$P),0)</f>
        <v>0</v>
      </c>
      <c r="L1411" s="1534">
        <f t="shared" si="842"/>
        <v>0</v>
      </c>
      <c r="M1411" s="102"/>
      <c r="N1411" s="103"/>
      <c r="O1411" s="102"/>
      <c r="P1411" s="739"/>
      <c r="Q1411" s="795"/>
      <c r="R1411" s="785">
        <f>IFERROR(VLOOKUP($Q1411,'391'!$S:$Z,8,0),"")</f>
        <v>0</v>
      </c>
      <c r="S1411" s="796"/>
      <c r="T1411" s="797" t="str">
        <f>$Q$1413&amp;C1411&amp;E1411</f>
        <v>MFeed+ (France)44566</v>
      </c>
      <c r="U1411" s="797"/>
      <c r="V1411" s="797"/>
      <c r="W1411" s="785">
        <f>IFERROR(VLOOKUP($Q1411,'391'!$S:$AG,15,0),0)</f>
        <v>0</v>
      </c>
      <c r="X1411" s="1090">
        <f t="shared" si="820"/>
        <v>0</v>
      </c>
      <c r="Y1411" s="785"/>
      <c r="Z1411" s="785"/>
      <c r="AA1411" s="797"/>
      <c r="AB1411" s="797"/>
      <c r="AC1411" s="551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88"/>
      <c r="B1412" s="2071"/>
      <c r="C1412" s="138" t="s">
        <v>76</v>
      </c>
      <c r="D1412" s="884" t="s">
        <v>10</v>
      </c>
      <c r="E1412" s="885">
        <v>44664</v>
      </c>
      <c r="F1412" s="293">
        <f>$L$7-E1412</f>
        <v>1597</v>
      </c>
      <c r="G1412" s="1214">
        <v>0</v>
      </c>
      <c r="H1412" s="37"/>
      <c r="I1412" s="37">
        <f>+K1411+K1410</f>
        <v>0</v>
      </c>
      <c r="J1412" s="1385">
        <f>usage!I173</f>
        <v>0</v>
      </c>
      <c r="K1412" s="64">
        <f>IFERROR(SUMIF(INTAKE!$A:$A,$T1412,INTAKE!$P:$P),0)</f>
        <v>0</v>
      </c>
      <c r="L1412" s="1534">
        <f t="shared" si="842"/>
        <v>0</v>
      </c>
      <c r="M1412" s="98"/>
      <c r="N1412" s="1473"/>
      <c r="O1412" s="98"/>
      <c r="P1412" s="759"/>
      <c r="Q1412" s="795"/>
      <c r="R1412" s="785">
        <f>IFERROR(VLOOKUP($Q1412,'391'!$S:$Z,8,0),"")</f>
        <v>0</v>
      </c>
      <c r="S1412" s="796"/>
      <c r="T1412" s="797" t="str">
        <f>$Q$1413&amp;C1412&amp;E1412</f>
        <v>MFeed+ (France)Feedmil44664</v>
      </c>
      <c r="U1412" s="797"/>
      <c r="V1412" s="797"/>
      <c r="W1412" s="785">
        <f>IFERROR(VLOOKUP($Q1412,'391'!$S:$AG,15,0),0)</f>
        <v>0</v>
      </c>
      <c r="X1412" s="1090">
        <f t="shared" si="820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184"/>
      <c r="B1413" s="184" t="s">
        <v>1157</v>
      </c>
      <c r="C1413" s="575"/>
      <c r="D1413" s="900"/>
      <c r="E1413" s="901"/>
      <c r="F1413" s="902"/>
      <c r="G1413" s="1297">
        <v>0</v>
      </c>
      <c r="H1413" s="1297">
        <f>+SUM(H1410:H1412)</f>
        <v>0</v>
      </c>
      <c r="I1413" s="1297">
        <f t="shared" ref="I1413:K1413" si="845">+SUM(I1410:I1412)</f>
        <v>0</v>
      </c>
      <c r="J1413" s="1297">
        <f t="shared" si="845"/>
        <v>0</v>
      </c>
      <c r="K1413" s="1297">
        <f t="shared" si="845"/>
        <v>0</v>
      </c>
      <c r="L1413" s="1534">
        <f t="shared" si="842"/>
        <v>0</v>
      </c>
      <c r="M1413" s="59" t="str">
        <f>IFERROR(R1413/$S$2,"")</f>
        <v/>
      </c>
      <c r="N1413" s="99">
        <f>IFERROR(L1413/M1413,0)</f>
        <v>0</v>
      </c>
      <c r="O1413" s="59">
        <f>IFERROR(SUMIF(ETM!$A:$A,$Q1413,ETM!$E:$E),"")</f>
        <v>0</v>
      </c>
      <c r="P1413" s="741">
        <f>IFERROR(L1413/O1413,0)</f>
        <v>0</v>
      </c>
      <c r="Q1413" s="809" t="s">
        <v>1159</v>
      </c>
      <c r="R1413" s="785" t="str">
        <f>IFERROR(VLOOKUP($Q1413,'391'!$S:$Z,8,0),"")</f>
        <v/>
      </c>
      <c r="S1413" s="796"/>
      <c r="T1413" s="797"/>
      <c r="U1413" s="797"/>
      <c r="V1413" s="797"/>
      <c r="W1413" s="785">
        <f>IFERROR(VLOOKUP($Q1413,'391'!$S:$AG,15,0),0)</f>
        <v>0</v>
      </c>
      <c r="X1413" s="1090">
        <f t="shared" si="820"/>
        <v>0</v>
      </c>
      <c r="Y1413" s="785"/>
      <c r="Z1413" s="785"/>
      <c r="AA1413" s="797"/>
      <c r="AB1413" s="797"/>
      <c r="AC1413" s="683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86" t="str">
        <f>IF(L1417=0,"",MAX($A$16:A1413)+1)</f>
        <v/>
      </c>
      <c r="B1414" s="2078" t="s">
        <v>1179</v>
      </c>
      <c r="C1414" s="574"/>
      <c r="D1414" s="881" t="s">
        <v>10</v>
      </c>
      <c r="E1414" s="882">
        <v>44761</v>
      </c>
      <c r="F1414" s="71">
        <f>$L$7-E1414</f>
        <v>1500</v>
      </c>
      <c r="G1414" s="64">
        <v>0</v>
      </c>
      <c r="H1414" s="64"/>
      <c r="I1414" s="64"/>
      <c r="J1414" s="1367"/>
      <c r="K1414" s="64">
        <f>IFERROR(SUMIF(INTAKE!$A:$A,$T1414,INTAKE!$P:$P),0)</f>
        <v>0</v>
      </c>
      <c r="L1414" s="1534">
        <f t="shared" si="842"/>
        <v>0</v>
      </c>
      <c r="M1414" s="102"/>
      <c r="N1414" s="103"/>
      <c r="O1414" s="102"/>
      <c r="P1414" s="739"/>
      <c r="Q1414" s="795"/>
      <c r="R1414" s="785">
        <f>IFERROR(VLOOKUP($Q1414,'391'!$S:$Z,8,0),"")</f>
        <v>0</v>
      </c>
      <c r="S1414" s="796"/>
      <c r="T1414" s="797" t="str">
        <f>$Q$1417&amp;C1414&amp;E1414</f>
        <v>XTRACT Nature (Switzerland)44761</v>
      </c>
      <c r="U1414" s="797"/>
      <c r="V1414" s="797"/>
      <c r="W1414" s="785">
        <f>IFERROR(VLOOKUP($Q1414,'391'!$S:$AG,15,0),0)</f>
        <v>0</v>
      </c>
      <c r="X1414" s="1090">
        <f t="shared" si="820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2087"/>
      <c r="B1415" s="2079"/>
      <c r="C1415" s="574"/>
      <c r="D1415" s="881" t="s">
        <v>10</v>
      </c>
      <c r="E1415" s="882">
        <v>44566</v>
      </c>
      <c r="F1415" s="71">
        <f>$L$7-E1415</f>
        <v>1695</v>
      </c>
      <c r="G1415" s="64">
        <v>0</v>
      </c>
      <c r="H1415" s="64"/>
      <c r="I1415" s="64"/>
      <c r="J1415" s="1367"/>
      <c r="K1415" s="64">
        <f>IFERROR(SUMIF(INTAKE!$A:$A,$T1415,INTAKE!$P:$P),0)</f>
        <v>0</v>
      </c>
      <c r="L1415" s="1534">
        <f t="shared" si="842"/>
        <v>0</v>
      </c>
      <c r="M1415" s="102"/>
      <c r="N1415" s="103"/>
      <c r="O1415" s="102"/>
      <c r="P1415" s="739"/>
      <c r="Q1415" s="795"/>
      <c r="R1415" s="785">
        <f>IFERROR(VLOOKUP($Q1415,'391'!$S:$Z,8,0),"")</f>
        <v>0</v>
      </c>
      <c r="S1415" s="796"/>
      <c r="T1415" s="797" t="str">
        <f>$Q$1417&amp;C1415&amp;E1415</f>
        <v>XTRACT Nature (Switzerland)44566</v>
      </c>
      <c r="U1415" s="797"/>
      <c r="V1415" s="797"/>
      <c r="W1415" s="785">
        <f>IFERROR(VLOOKUP($Q1415,'391'!$S:$AG,15,0),0)</f>
        <v>0</v>
      </c>
      <c r="X1415" s="1090">
        <f t="shared" si="820"/>
        <v>0</v>
      </c>
      <c r="Y1415" s="785"/>
      <c r="Z1415" s="785"/>
      <c r="AA1415" s="797"/>
      <c r="AB1415" s="797"/>
      <c r="AC1415" s="551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88"/>
      <c r="B1416" s="2071"/>
      <c r="C1416" s="138" t="s">
        <v>76</v>
      </c>
      <c r="D1416" s="884" t="s">
        <v>10</v>
      </c>
      <c r="E1416" s="885">
        <v>44761</v>
      </c>
      <c r="F1416" s="293">
        <f>$L$7-E1416</f>
        <v>1500</v>
      </c>
      <c r="G1416" s="1214">
        <v>0</v>
      </c>
      <c r="H1416" s="37"/>
      <c r="I1416" s="37">
        <f>+K1415+K1414</f>
        <v>0</v>
      </c>
      <c r="J1416" s="1385">
        <f>usage!I174</f>
        <v>0</v>
      </c>
      <c r="K1416" s="64">
        <f>IFERROR(SUMIF(INTAKE!$A:$A,$T1416,INTAKE!$P:$P),0)</f>
        <v>0</v>
      </c>
      <c r="L1416" s="1534">
        <f t="shared" si="842"/>
        <v>0</v>
      </c>
      <c r="M1416" s="98"/>
      <c r="N1416" s="1473"/>
      <c r="O1416" s="98"/>
      <c r="P1416" s="759"/>
      <c r="Q1416" s="795"/>
      <c r="R1416" s="785">
        <f>IFERROR(VLOOKUP($Q1416,'391'!$S:$Z,8,0),"")</f>
        <v>0</v>
      </c>
      <c r="S1416" s="796"/>
      <c r="T1416" s="797" t="str">
        <f>$Q$1417&amp;C1416&amp;E1416</f>
        <v>XTRACT Nature (Switzerland)Feedmil44761</v>
      </c>
      <c r="U1416" s="797"/>
      <c r="V1416" s="797"/>
      <c r="W1416" s="785">
        <f>IFERROR(VLOOKUP($Q1416,'391'!$S:$AG,15,0),0)</f>
        <v>0</v>
      </c>
      <c r="X1416" s="1090">
        <f t="shared" si="820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184"/>
      <c r="B1417" s="184" t="s">
        <v>1180</v>
      </c>
      <c r="C1417" s="575"/>
      <c r="D1417" s="900"/>
      <c r="E1417" s="901"/>
      <c r="F1417" s="902"/>
      <c r="G1417" s="1297">
        <v>0</v>
      </c>
      <c r="H1417" s="1297">
        <f>+SUM(H1414:H1416)</f>
        <v>0</v>
      </c>
      <c r="I1417" s="1297">
        <f t="shared" ref="I1417:K1417" si="846">+SUM(I1414:I1416)</f>
        <v>0</v>
      </c>
      <c r="J1417" s="1297">
        <f t="shared" si="846"/>
        <v>0</v>
      </c>
      <c r="K1417" s="1297">
        <f t="shared" si="846"/>
        <v>0</v>
      </c>
      <c r="L1417" s="1534">
        <f t="shared" si="842"/>
        <v>0</v>
      </c>
      <c r="M1417" s="59" t="str">
        <f>IFERROR(R1417/$S$2,"")</f>
        <v/>
      </c>
      <c r="N1417" s="99">
        <f>IFERROR(L1417/M1417,0)</f>
        <v>0</v>
      </c>
      <c r="O1417" s="59">
        <f>IFERROR(SUMIF(ETM!$A:$A,$Q1417,ETM!$E:$E),"")</f>
        <v>0</v>
      </c>
      <c r="P1417" s="741">
        <f>IFERROR(L1417/O1417,0)</f>
        <v>0</v>
      </c>
      <c r="Q1417" s="809" t="s">
        <v>1179</v>
      </c>
      <c r="R1417" s="785" t="str">
        <f>IFERROR(VLOOKUP($Q1417,'391'!$S:$Z,8,0),"")</f>
        <v/>
      </c>
      <c r="S1417" s="796"/>
      <c r="T1417" s="797"/>
      <c r="U1417" s="797"/>
      <c r="V1417" s="797"/>
      <c r="W1417" s="785">
        <f>IFERROR(VLOOKUP($Q1417,'391'!$S:$AG,15,0),0)</f>
        <v>0</v>
      </c>
      <c r="X1417" s="1090">
        <f t="shared" si="820"/>
        <v>0</v>
      </c>
      <c r="Y1417" s="785"/>
      <c r="Z1417" s="785"/>
      <c r="AA1417" s="797"/>
      <c r="AB1417" s="797"/>
      <c r="AC1417" s="683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86" t="str">
        <f>IF(L1423=0,"",MAX($A$16:A1417)+1)</f>
        <v/>
      </c>
      <c r="B1418" s="2078" t="s">
        <v>1185</v>
      </c>
      <c r="C1418" s="574" t="s">
        <v>1693</v>
      </c>
      <c r="D1418" s="881" t="s">
        <v>10</v>
      </c>
      <c r="E1418" s="882">
        <v>46043</v>
      </c>
      <c r="F1418" s="71">
        <f>$L$7-E1418</f>
        <v>218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42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$Q$1423&amp;C1418&amp;E1418</f>
        <v>Novipel S ( Belgium)Y1.146043</v>
      </c>
      <c r="U1418" s="797"/>
      <c r="V1418" s="797"/>
      <c r="W1418" s="785">
        <f>IFERROR(VLOOKUP($Q1418,'391'!$S:$AG,15,0),0)</f>
        <v>0</v>
      </c>
      <c r="X1418" s="1090">
        <f t="shared" si="820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124"/>
      <c r="B1419" s="2085"/>
      <c r="C1419" s="574"/>
      <c r="D1419" s="881" t="s">
        <v>10</v>
      </c>
      <c r="E1419" s="882">
        <v>46043</v>
      </c>
      <c r="F1419" s="71">
        <f>$L$7-E1419</f>
        <v>218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ref="L1419:L1420" si="847">+G1419+H1419+I1419-J1419-K1419</f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$Q$1423&amp;C1419&amp;E1419</f>
        <v>Novipel S ( Belgium)46043</v>
      </c>
      <c r="U1419" s="797"/>
      <c r="V1419" s="797"/>
      <c r="W1419" s="785">
        <f>IFERROR(VLOOKUP($Q1419,'391'!$S:$AG,15,0),0)</f>
        <v>0</v>
      </c>
      <c r="X1419" s="1090">
        <f t="shared" ref="X1419:X1420" si="848">G1419-W1419</f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124"/>
      <c r="B1420" s="2085"/>
      <c r="C1420" s="574"/>
      <c r="D1420" s="881" t="s">
        <v>10</v>
      </c>
      <c r="E1420" s="882">
        <v>46024</v>
      </c>
      <c r="F1420" s="71">
        <f>$L$7-E1420</f>
        <v>237</v>
      </c>
      <c r="G1420" s="64">
        <v>0</v>
      </c>
      <c r="H1420" s="64"/>
      <c r="I1420" s="64"/>
      <c r="J1420" s="1367"/>
      <c r="K1420" s="64">
        <f>IFERROR(SUMIF(INTAKE!$A:$A,$T1420,INTAKE!$P:$P),0)</f>
        <v>0</v>
      </c>
      <c r="L1420" s="1703">
        <f t="shared" si="847"/>
        <v>0</v>
      </c>
      <c r="M1420" s="102"/>
      <c r="N1420" s="103"/>
      <c r="O1420" s="102"/>
      <c r="P1420" s="739"/>
      <c r="Q1420" s="795"/>
      <c r="R1420" s="785">
        <f>IFERROR(VLOOKUP($Q1420,'391'!$S:$Z,8,0),"")</f>
        <v>0</v>
      </c>
      <c r="S1420" s="796"/>
      <c r="T1420" s="797" t="str">
        <f>$Q$1423&amp;C1420&amp;E1420</f>
        <v>Novipel S ( Belgium)46024</v>
      </c>
      <c r="U1420" s="797"/>
      <c r="V1420" s="797"/>
      <c r="W1420" s="785">
        <f>IFERROR(VLOOKUP($Q1420,'391'!$S:$AG,15,0),0)</f>
        <v>0</v>
      </c>
      <c r="X1420" s="1090">
        <f t="shared" si="848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2087"/>
      <c r="B1421" s="2079"/>
      <c r="C1421" s="574"/>
      <c r="D1421" s="881" t="s">
        <v>10</v>
      </c>
      <c r="E1421" s="882">
        <v>46024</v>
      </c>
      <c r="F1421" s="71">
        <f>$L$7-E1421</f>
        <v>237</v>
      </c>
      <c r="G1421" s="64">
        <v>0</v>
      </c>
      <c r="H1421" s="64"/>
      <c r="I1421" s="64"/>
      <c r="J1421" s="1367"/>
      <c r="K1421" s="64">
        <f>IFERROR(SUMIF(INTAKE!$A:$A,$T1421,INTAKE!$P:$P),0)</f>
        <v>0</v>
      </c>
      <c r="L1421" s="1703">
        <f t="shared" si="842"/>
        <v>0</v>
      </c>
      <c r="M1421" s="102"/>
      <c r="N1421" s="103"/>
      <c r="O1421" s="102"/>
      <c r="P1421" s="739"/>
      <c r="Q1421" s="795"/>
      <c r="R1421" s="785">
        <f>IFERROR(VLOOKUP($Q1421,'391'!$S:$Z,8,0),"")</f>
        <v>0</v>
      </c>
      <c r="S1421" s="796"/>
      <c r="T1421" s="797" t="str">
        <f>$Q$1423&amp;C1421&amp;E1421</f>
        <v>Novipel S ( Belgium)46024</v>
      </c>
      <c r="U1421" s="797"/>
      <c r="V1421" s="797"/>
      <c r="W1421" s="785">
        <f>IFERROR(VLOOKUP($Q1421,'391'!$S:$AG,15,0),0)</f>
        <v>0</v>
      </c>
      <c r="X1421" s="1090">
        <f t="shared" si="820"/>
        <v>0</v>
      </c>
      <c r="Y1421" s="785"/>
      <c r="Z1421" s="785"/>
      <c r="AA1421" s="797"/>
      <c r="AB1421" s="797"/>
      <c r="AC1421" s="551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265" customFormat="1" ht="30" hidden="1" customHeight="1" x14ac:dyDescent="0.25">
      <c r="A1422" s="2088"/>
      <c r="B1422" s="2071"/>
      <c r="C1422" s="138" t="s">
        <v>76</v>
      </c>
      <c r="D1422" s="884" t="s">
        <v>10</v>
      </c>
      <c r="E1422" s="885">
        <v>46043</v>
      </c>
      <c r="F1422" s="293">
        <f>$L$7-E1422</f>
        <v>218</v>
      </c>
      <c r="G1422" s="1214">
        <v>0</v>
      </c>
      <c r="H1422" s="37"/>
      <c r="I1422" s="37">
        <f>SUM(K1418:K1421)</f>
        <v>0</v>
      </c>
      <c r="J1422" s="1385">
        <f>usage!I176</f>
        <v>0</v>
      </c>
      <c r="K1422" s="64">
        <f>IFERROR(SUMIF(INTAKE!$A:$A,$T1422,INTAKE!$P:$P),0)</f>
        <v>0</v>
      </c>
      <c r="L1422" s="1534">
        <f t="shared" si="842"/>
        <v>0</v>
      </c>
      <c r="M1422" s="98"/>
      <c r="N1422" s="1473"/>
      <c r="O1422" s="98"/>
      <c r="P1422" s="759"/>
      <c r="Q1422" s="795"/>
      <c r="R1422" s="785">
        <f>IFERROR(VLOOKUP($Q1422,'391'!$S:$Z,8,0),"")</f>
        <v>0</v>
      </c>
      <c r="S1422" s="796"/>
      <c r="T1422" s="797" t="str">
        <f>$Q$1423&amp;C1422&amp;E1422</f>
        <v>Novipel S ( Belgium)Feedmil46043</v>
      </c>
      <c r="U1422" s="797"/>
      <c r="V1422" s="797"/>
      <c r="W1422" s="785">
        <f>IFERROR(VLOOKUP($Q1422,'391'!$S:$AG,15,0),0)</f>
        <v>0</v>
      </c>
      <c r="X1422" s="1090">
        <f t="shared" si="820"/>
        <v>0</v>
      </c>
      <c r="Y1422" s="785"/>
      <c r="Z1422" s="785"/>
      <c r="AA1422" s="797"/>
      <c r="AB1422" s="797"/>
      <c r="AC1422" s="551"/>
      <c r="AD1422" s="551"/>
      <c r="AE1422" s="551"/>
      <c r="AF1422" s="551"/>
      <c r="AG1422" s="551"/>
      <c r="AH1422" s="551"/>
      <c r="AI1422" s="704"/>
      <c r="AJ1422" s="704"/>
      <c r="AK1422" s="704"/>
      <c r="AL1422" s="704"/>
      <c r="AM1422" s="704"/>
      <c r="AN1422" s="704"/>
      <c r="AO1422" s="704"/>
      <c r="AP1422" s="704"/>
      <c r="AQ1422" s="704"/>
      <c r="AR1422" s="704"/>
      <c r="AS1422" s="704"/>
    </row>
    <row r="1423" spans="1:45" s="265" customFormat="1" ht="30" hidden="1" customHeight="1" x14ac:dyDescent="0.25">
      <c r="A1423" s="184"/>
      <c r="B1423" s="184" t="s">
        <v>1188</v>
      </c>
      <c r="C1423" s="575"/>
      <c r="D1423" s="900"/>
      <c r="E1423" s="901"/>
      <c r="F1423" s="902"/>
      <c r="G1423" s="1297">
        <v>0</v>
      </c>
      <c r="H1423" s="1297">
        <f>+SUM(H1418:H1422)</f>
        <v>0</v>
      </c>
      <c r="I1423" s="1297">
        <f t="shared" ref="I1423:L1423" si="849">+SUM(I1418:I1422)</f>
        <v>0</v>
      </c>
      <c r="J1423" s="1297">
        <f t="shared" si="849"/>
        <v>0</v>
      </c>
      <c r="K1423" s="1297">
        <f t="shared" si="849"/>
        <v>0</v>
      </c>
      <c r="L1423" s="1297">
        <f t="shared" si="849"/>
        <v>0</v>
      </c>
      <c r="M1423" s="59" t="str">
        <f>IFERROR(R1423/$S$2,"")</f>
        <v/>
      </c>
      <c r="N1423" s="99">
        <f>IFERROR(L1423/M1423,0)</f>
        <v>0</v>
      </c>
      <c r="O1423" s="59">
        <f>IFERROR(SUMIF(ETM!$A:$A,$Q1423,ETM!$E:$E),"")</f>
        <v>0</v>
      </c>
      <c r="P1423" s="741">
        <f>IFERROR(L1423/O1423,0)</f>
        <v>0</v>
      </c>
      <c r="Q1423" s="809" t="s">
        <v>1192</v>
      </c>
      <c r="R1423" s="785" t="str">
        <f>IFERROR(VLOOKUP($Q1423,'391'!$S:$Z,8,0),"")</f>
        <v/>
      </c>
      <c r="S1423" s="796"/>
      <c r="T1423" s="797"/>
      <c r="U1423" s="797"/>
      <c r="V1423" s="797"/>
      <c r="W1423" s="785">
        <f>IFERROR(VLOOKUP($Q1423,'391'!$S:$AG,15,0),0)</f>
        <v>0</v>
      </c>
      <c r="X1423" s="1090">
        <f t="shared" ref="X1423:X1613" si="850">G1423-W1423</f>
        <v>0</v>
      </c>
      <c r="Y1423" s="785"/>
      <c r="Z1423" s="785"/>
      <c r="AA1423" s="797"/>
      <c r="AB1423" s="797"/>
      <c r="AC1423" s="683"/>
      <c r="AD1423" s="551"/>
      <c r="AE1423" s="551"/>
      <c r="AF1423" s="551"/>
      <c r="AG1423" s="551"/>
      <c r="AH1423" s="551"/>
      <c r="AI1423" s="704"/>
      <c r="AJ1423" s="704"/>
      <c r="AK1423" s="704"/>
      <c r="AL1423" s="704"/>
      <c r="AM1423" s="704"/>
      <c r="AN1423" s="704"/>
      <c r="AO1423" s="704"/>
      <c r="AP1423" s="704"/>
      <c r="AQ1423" s="704"/>
      <c r="AR1423" s="704"/>
      <c r="AS1423" s="704"/>
    </row>
    <row r="1424" spans="1:45" s="13" customFormat="1" ht="30" hidden="1" customHeight="1" x14ac:dyDescent="0.25">
      <c r="A1424" s="2086">
        <f>IF(L1429=0,"",MAX($A$16:A1423)+1)</f>
        <v>95</v>
      </c>
      <c r="B1424" s="2078" t="s">
        <v>1404</v>
      </c>
      <c r="C1424" s="574"/>
      <c r="D1424" s="881" t="s">
        <v>10</v>
      </c>
      <c r="E1424" s="882">
        <v>46064</v>
      </c>
      <c r="F1424" s="75">
        <f>$L$7-E1424</f>
        <v>197</v>
      </c>
      <c r="G1424" s="300">
        <v>0</v>
      </c>
      <c r="H1424" s="300"/>
      <c r="I1424" s="300"/>
      <c r="J1424" s="1300"/>
      <c r="K1424" s="64">
        <f>IFERROR(SUMIF(INTAKE!$A:$A,$T1424,INTAKE!$P:$P),0)</f>
        <v>0</v>
      </c>
      <c r="L1424" s="1703">
        <f t="shared" si="842"/>
        <v>0</v>
      </c>
      <c r="M1424" s="48"/>
      <c r="N1424" s="163"/>
      <c r="O1424" s="48"/>
      <c r="P1424" s="857"/>
      <c r="Q1424" s="795"/>
      <c r="R1424" s="785">
        <f>IFERROR(VLOOKUP($Q1424,'391'!$S:$Z,8,0),"")</f>
        <v>0</v>
      </c>
      <c r="S1424" s="796"/>
      <c r="T1424" s="797" t="str">
        <f>$Q$1428&amp;C1424&amp;E1424</f>
        <v>TOXY-NIL# (T©y Ban Nha)46064</v>
      </c>
      <c r="U1424" s="797"/>
      <c r="V1424" s="797"/>
      <c r="W1424" s="785">
        <f>IFERROR(VLOOKUP($Q1424,'391'!$S:$AG,15,0),0)</f>
        <v>0</v>
      </c>
      <c r="X1424" s="799">
        <f t="shared" si="850"/>
        <v>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124"/>
      <c r="B1425" s="2085"/>
      <c r="C1425" s="574"/>
      <c r="D1425" s="881" t="s">
        <v>10</v>
      </c>
      <c r="E1425" s="882">
        <v>46087</v>
      </c>
      <c r="F1425" s="75">
        <f>$L$7-E1425</f>
        <v>174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3">
        <f t="shared" si="842"/>
        <v>0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$Q$1428&amp;C1425&amp;E1425</f>
        <v>TOXY-NIL# (T©y Ban Nha)46087</v>
      </c>
      <c r="U1425" s="797"/>
      <c r="V1425" s="797"/>
      <c r="W1425" s="785">
        <f>IFERROR(VLOOKUP($Q1425,'391'!$S:$AG,15,0),0)</f>
        <v>0</v>
      </c>
      <c r="X1425" s="799">
        <f t="shared" si="850"/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124"/>
      <c r="B1426" s="2085"/>
      <c r="C1426" s="574" t="s">
        <v>324</v>
      </c>
      <c r="D1426" s="881" t="s">
        <v>10</v>
      </c>
      <c r="E1426" s="882">
        <v>46239</v>
      </c>
      <c r="F1426" s="75">
        <f>$L$7-E1426</f>
        <v>22</v>
      </c>
      <c r="G1426" s="300">
        <v>1300</v>
      </c>
      <c r="H1426" s="300"/>
      <c r="I1426" s="300"/>
      <c r="J1426" s="1300"/>
      <c r="K1426" s="64">
        <f>IFERROR(SUMIF(INTAKE!$A:$A,$T1426,INTAKE!$P:$P),0)</f>
        <v>50</v>
      </c>
      <c r="L1426" s="1703">
        <f t="shared" si="842"/>
        <v>1250</v>
      </c>
      <c r="M1426" s="48"/>
      <c r="N1426" s="163"/>
      <c r="O1426" s="48"/>
      <c r="P1426" s="1774"/>
      <c r="Q1426" s="795"/>
      <c r="R1426" s="785">
        <f>IFERROR(VLOOKUP($Q1426,'391'!$S:$Z,8,0),"")</f>
        <v>0</v>
      </c>
      <c r="S1426" s="796"/>
      <c r="T1426" s="797" t="str">
        <f>$Q$1428&amp;C1426&amp;E1426</f>
        <v>TOXY-NIL# (T©y Ban Nha)A19.446239</v>
      </c>
      <c r="U1426" s="797"/>
      <c r="V1426" s="797"/>
      <c r="W1426" s="785">
        <f>IFERROR(VLOOKUP($Q1426,'391'!$S:$AG,15,0),0)</f>
        <v>0</v>
      </c>
      <c r="X1426" s="799">
        <f t="shared" si="850"/>
        <v>1300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13" customFormat="1" ht="30" hidden="1" customHeight="1" x14ac:dyDescent="0.25">
      <c r="A1427" s="2124"/>
      <c r="B1427" s="2085"/>
      <c r="C1427" s="574"/>
      <c r="D1427" s="881" t="s">
        <v>10</v>
      </c>
      <c r="E1427" s="882">
        <v>46239</v>
      </c>
      <c r="F1427" s="75">
        <f>$L$7-E1427</f>
        <v>22</v>
      </c>
      <c r="G1427" s="300">
        <v>0</v>
      </c>
      <c r="H1427" s="300"/>
      <c r="I1427" s="300"/>
      <c r="J1427" s="1300"/>
      <c r="K1427" s="64">
        <f>IFERROR(SUMIF(INTAKE!$A:$A,$T1427,INTAKE!$P:$P),0)</f>
        <v>0</v>
      </c>
      <c r="L1427" s="1703">
        <f t="shared" ref="L1427" si="851">+G1427+H1427+I1427-J1427-K1427</f>
        <v>0</v>
      </c>
      <c r="M1427" s="48"/>
      <c r="N1427" s="163"/>
      <c r="O1427" s="48"/>
      <c r="P1427" s="1774"/>
      <c r="Q1427" s="795"/>
      <c r="R1427" s="785">
        <f>IFERROR(VLOOKUP($Q1427,'391'!$S:$Z,8,0),"")</f>
        <v>0</v>
      </c>
      <c r="S1427" s="796"/>
      <c r="T1427" s="797" t="str">
        <f>$Q$1428&amp;C1427&amp;E1427</f>
        <v>TOXY-NIL# (T©y Ban Nha)46239</v>
      </c>
      <c r="U1427" s="797"/>
      <c r="V1427" s="797"/>
      <c r="W1427" s="785">
        <f>IFERROR(VLOOKUP($Q1427,'391'!$S:$AG,15,0),0)</f>
        <v>0</v>
      </c>
      <c r="X1427" s="799">
        <f t="shared" ref="X1427" si="852">G1427-W1427</f>
        <v>0</v>
      </c>
      <c r="Y1427" s="797"/>
      <c r="Z1427" s="785"/>
      <c r="AA1427" s="797"/>
      <c r="AB1427" s="797"/>
      <c r="AC1427" s="683"/>
      <c r="AD1427" s="683"/>
      <c r="AE1427" s="683"/>
      <c r="AF1427" s="683"/>
      <c r="AG1427" s="683"/>
      <c r="AH1427" s="683"/>
      <c r="AI1427" s="705"/>
      <c r="AJ1427" s="705"/>
      <c r="AK1427" s="705"/>
      <c r="AL1427" s="705"/>
      <c r="AM1427" s="705"/>
      <c r="AN1427" s="705"/>
      <c r="AO1427" s="705"/>
      <c r="AP1427" s="705"/>
      <c r="AQ1427" s="705"/>
      <c r="AR1427" s="705"/>
      <c r="AS1427" s="705"/>
    </row>
    <row r="1428" spans="1:45" s="13" customFormat="1" ht="30" customHeight="1" x14ac:dyDescent="0.25">
      <c r="A1428" s="2088"/>
      <c r="B1428" s="2071"/>
      <c r="C1428" s="108" t="s">
        <v>46</v>
      </c>
      <c r="D1428" s="884" t="s">
        <v>10</v>
      </c>
      <c r="E1428" s="882">
        <v>46239</v>
      </c>
      <c r="F1428" s="75">
        <f>$L$7-E1428</f>
        <v>22</v>
      </c>
      <c r="G1428" s="1214">
        <v>308.12</v>
      </c>
      <c r="H1428" s="28"/>
      <c r="I1428" s="37">
        <f>+K1427+K1425+K1424+K1426</f>
        <v>50</v>
      </c>
      <c r="J1428" s="1295">
        <f>usage!E188</f>
        <v>141.28</v>
      </c>
      <c r="K1428" s="28"/>
      <c r="L1428" s="1534">
        <f t="shared" si="842"/>
        <v>216.84</v>
      </c>
      <c r="M1428" s="35"/>
      <c r="N1428" s="920"/>
      <c r="O1428" s="35"/>
      <c r="P1428" s="1275"/>
      <c r="Q1428" s="666" t="s">
        <v>1658</v>
      </c>
      <c r="R1428" s="785">
        <f>IFERROR(VLOOKUP($Q1428,'391'!$S:$Z,8,0),"")</f>
        <v>661.98</v>
      </c>
      <c r="S1428" s="796"/>
      <c r="T1428" s="797" t="str">
        <f>$Q$1429&amp;C1428&amp;E1428</f>
        <v>Toxy-Nil Dry ( Belgium)Feedmill46239</v>
      </c>
      <c r="U1428" s="797"/>
      <c r="V1428" s="797"/>
      <c r="W1428" s="785">
        <f>IFERROR(VLOOKUP($Q1428,'391'!$S:$AG,15,0),0)</f>
        <v>2148.2600000000002</v>
      </c>
      <c r="X1428" s="799">
        <f t="shared" si="850"/>
        <v>-1840.1400000000003</v>
      </c>
      <c r="Y1428" s="797"/>
      <c r="Z1428" s="785"/>
      <c r="AA1428" s="797"/>
      <c r="AB1428" s="797"/>
      <c r="AC1428" s="683"/>
      <c r="AD1428" s="683"/>
      <c r="AE1428" s="683"/>
      <c r="AF1428" s="683"/>
      <c r="AG1428" s="683"/>
      <c r="AH1428" s="683"/>
      <c r="AI1428" s="705"/>
      <c r="AJ1428" s="705"/>
      <c r="AK1428" s="705"/>
      <c r="AL1428" s="705"/>
      <c r="AM1428" s="705"/>
      <c r="AN1428" s="705"/>
      <c r="AO1428" s="705"/>
      <c r="AP1428" s="705"/>
      <c r="AQ1428" s="705"/>
      <c r="AR1428" s="705"/>
      <c r="AS1428" s="705"/>
    </row>
    <row r="1429" spans="1:45" s="265" customFormat="1" ht="30" customHeight="1" x14ac:dyDescent="0.25">
      <c r="A1429" s="184"/>
      <c r="B1429" s="184" t="s">
        <v>1405</v>
      </c>
      <c r="C1429" s="575"/>
      <c r="D1429" s="900"/>
      <c r="E1429" s="901"/>
      <c r="F1429" s="902"/>
      <c r="G1429" s="1337">
        <v>1608.12</v>
      </c>
      <c r="H1429" s="1336">
        <f>+SUM(H1424:H1428)</f>
        <v>0</v>
      </c>
      <c r="I1429" s="1297">
        <f>+SUM(I1424:I1428)</f>
        <v>50</v>
      </c>
      <c r="J1429" s="1336">
        <f t="shared" ref="J1429" si="853">+SUM(J1424:J1428)</f>
        <v>141.28</v>
      </c>
      <c r="K1429" s="1297">
        <f>+SUM(K1424:K1428)</f>
        <v>50</v>
      </c>
      <c r="L1429" s="1337">
        <f>+SUM(L1424:L1428)</f>
        <v>1466.84</v>
      </c>
      <c r="M1429" s="59">
        <f>IFERROR(S1429/$S$2,"")</f>
        <v>110.33</v>
      </c>
      <c r="N1429" s="366">
        <f>IFERROR(L1429/M1429,0)</f>
        <v>13.295024018852533</v>
      </c>
      <c r="O1429" s="59">
        <f>IFERROR(SUMIF(ETM!$A:$A,$Q1429,ETM!$E:$E),"")</f>
        <v>161.66666666666666</v>
      </c>
      <c r="P1429" s="855">
        <f>IFERROR(L1429/O1429,0)</f>
        <v>9.0732371134020617</v>
      </c>
      <c r="Q1429" s="1183" t="s">
        <v>1404</v>
      </c>
      <c r="R1429" s="785" t="str">
        <f>IFERROR(VLOOKUP($Q1429,'391'!$S:$Z,8,0),"0")</f>
        <v>0</v>
      </c>
      <c r="S1429" s="796">
        <f>+R1429+R1428</f>
        <v>661.98</v>
      </c>
      <c r="T1429" s="797"/>
      <c r="U1429" s="797"/>
      <c r="V1429" s="797"/>
      <c r="W1429" s="785">
        <f>IFERROR(VLOOKUP($Q1429,'391'!$S:$AG,15,0),0)</f>
        <v>0</v>
      </c>
      <c r="X1429" s="1231">
        <f>G1429-W1429-W1428</f>
        <v>-540.14000000000033</v>
      </c>
      <c r="Y1429" s="797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hidden="1" customHeight="1" x14ac:dyDescent="0.25">
      <c r="A1430" s="2086">
        <f>IF(L1434=0,"",MAX($A$16:A1429)+1)</f>
        <v>96</v>
      </c>
      <c r="B1430" s="2078" t="s">
        <v>2219</v>
      </c>
      <c r="C1430" s="574"/>
      <c r="D1430" s="881" t="s">
        <v>10</v>
      </c>
      <c r="E1430" s="882">
        <v>45986</v>
      </c>
      <c r="F1430" s="71">
        <f>$L$7-E1430</f>
        <v>275</v>
      </c>
      <c r="G1430" s="64">
        <v>0</v>
      </c>
      <c r="H1430" s="64"/>
      <c r="I1430" s="64"/>
      <c r="J1430" s="1367"/>
      <c r="K1430" s="64">
        <f>IFERROR(SUMIF(INTAKE!$A:$A,$T1430,INTAKE!$P:$P),0)</f>
        <v>0</v>
      </c>
      <c r="L1430" s="1703">
        <f>+G1430+H1430+I1430-J1430-K1430</f>
        <v>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$Q$1434&amp;C1430&amp;E1430</f>
        <v>Levucell sb 10 me titan (Poland)45986</v>
      </c>
      <c r="U1430" s="797"/>
      <c r="V1430" s="797"/>
      <c r="W1430" s="785">
        <f>IFERROR(VLOOKUP($Q1430,'391'!$S:$AG,15,0),0)</f>
        <v>0</v>
      </c>
      <c r="X1430" s="1090">
        <f t="shared" si="850"/>
        <v>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87"/>
      <c r="B1431" s="2079"/>
      <c r="C1431" s="574" t="s">
        <v>2110</v>
      </c>
      <c r="D1431" s="881" t="s">
        <v>10</v>
      </c>
      <c r="E1431" s="882">
        <v>46237</v>
      </c>
      <c r="F1431" s="71">
        <f>$L$7-E1431</f>
        <v>24</v>
      </c>
      <c r="G1431" s="64">
        <v>180</v>
      </c>
      <c r="H1431" s="64"/>
      <c r="I1431" s="64"/>
      <c r="J1431" s="1367"/>
      <c r="K1431" s="64">
        <f>IFERROR(SUMIF(INTAKE!$A:$A,$T1431,INTAKE!$P:$P),0)</f>
        <v>0</v>
      </c>
      <c r="L1431" s="1703">
        <f>+G1431+H1431+I1431-J1431-K1431</f>
        <v>180</v>
      </c>
      <c r="M1431" s="102"/>
      <c r="N1431" s="103"/>
      <c r="O1431" s="102"/>
      <c r="P1431" s="739"/>
      <c r="Q1431" s="795"/>
      <c r="R1431" s="785">
        <f>IFERROR(VLOOKUP($Q1431,'391'!$S:$Z,8,0),"")</f>
        <v>0</v>
      </c>
      <c r="S1431" s="796"/>
      <c r="T1431" s="797" t="str">
        <f>$Q$1434&amp;C1431&amp;E1431</f>
        <v>Levucell sb 10 me titan (Poland)D246237</v>
      </c>
      <c r="U1431" s="797"/>
      <c r="V1431" s="797"/>
      <c r="W1431" s="785">
        <f>IFERROR(VLOOKUP($Q1431,'391'!$S:$AG,15,0),0)</f>
        <v>0</v>
      </c>
      <c r="X1431" s="1090">
        <f t="shared" si="850"/>
        <v>180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hidden="1" customHeight="1" x14ac:dyDescent="0.25">
      <c r="A1432" s="2124"/>
      <c r="B1432" s="2085"/>
      <c r="C1432" s="574"/>
      <c r="D1432" s="881" t="s">
        <v>10</v>
      </c>
      <c r="E1432" s="882">
        <v>46255</v>
      </c>
      <c r="F1432" s="71">
        <f>$L$7-E1432</f>
        <v>6</v>
      </c>
      <c r="G1432" s="64">
        <v>0</v>
      </c>
      <c r="H1432" s="64"/>
      <c r="I1432" s="64"/>
      <c r="J1432" s="1367"/>
      <c r="K1432" s="64">
        <f>IFERROR(SUMIF(INTAKE!$A:$A,$T1432,INTAKE!$P:$P),0)</f>
        <v>0</v>
      </c>
      <c r="L1432" s="1703">
        <f>+G1432+H1432+I1432-J1432-K1432</f>
        <v>0</v>
      </c>
      <c r="M1432" s="102"/>
      <c r="N1432" s="103"/>
      <c r="O1432" s="102"/>
      <c r="P1432" s="739"/>
      <c r="Q1432" s="795"/>
      <c r="R1432" s="785">
        <f>IFERROR(VLOOKUP($Q1432,'391'!$S:$Z,8,0),"")</f>
        <v>0</v>
      </c>
      <c r="S1432" s="796"/>
      <c r="T1432" s="797" t="str">
        <f>$Q$1433&amp;C1432&amp;E1432</f>
        <v>Levucell sb 10 me titan( Germany )46255</v>
      </c>
      <c r="U1432" s="797"/>
      <c r="V1432" s="797"/>
      <c r="W1432" s="785">
        <f>IFERROR(VLOOKUP($Q1432,'391'!$S:$AG,15,0),0)</f>
        <v>0</v>
      </c>
      <c r="X1432" s="1090">
        <f t="shared" si="850"/>
        <v>0</v>
      </c>
      <c r="Y1432" s="785"/>
      <c r="Z1432" s="785"/>
      <c r="AA1432" s="797"/>
      <c r="AB1432" s="797"/>
      <c r="AC1432" s="551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customHeight="1" x14ac:dyDescent="0.25">
      <c r="A1433" s="2088"/>
      <c r="B1433" s="2071"/>
      <c r="C1433" s="108" t="s">
        <v>46</v>
      </c>
      <c r="D1433" s="884" t="s">
        <v>10</v>
      </c>
      <c r="E1433" s="885">
        <v>46237</v>
      </c>
      <c r="F1433" s="293">
        <f>$L$7-E1433</f>
        <v>24</v>
      </c>
      <c r="G1433" s="1214">
        <v>93.900000000000034</v>
      </c>
      <c r="H1433" s="37"/>
      <c r="I1433" s="37">
        <f>+K1431+K1430+K1432</f>
        <v>0</v>
      </c>
      <c r="J1433" s="1385">
        <f>usage!I99</f>
        <v>20.66</v>
      </c>
      <c r="K1433" s="64">
        <f>IFERROR(SUMIF(INTAKE!$A:$A,$T1433,INTAKE!$P:$P),0)</f>
        <v>0</v>
      </c>
      <c r="L1433" s="1534">
        <f>+G1433+H1433+I1433-J1433-K1433</f>
        <v>73.240000000000038</v>
      </c>
      <c r="M1433" s="98"/>
      <c r="N1433" s="1473"/>
      <c r="O1433" s="98"/>
      <c r="P1433" s="759"/>
      <c r="Q1433" s="666" t="s">
        <v>1729</v>
      </c>
      <c r="R1433" s="785">
        <f>IFERROR(VLOOKUP($Q1433,'391'!$S:$Z,8,0),"0")</f>
        <v>0</v>
      </c>
      <c r="S1433" s="796"/>
      <c r="T1433" s="797" t="str">
        <f>$Q$1434&amp;C1433&amp;E1433</f>
        <v>Levucell sb 10 me titan (Poland)Feedmill46237</v>
      </c>
      <c r="U1433" s="797"/>
      <c r="V1433" s="797"/>
      <c r="W1433" s="785">
        <f>IFERROR(VLOOKUP($Q1433,'391'!$S:$AG,15,0),0)</f>
        <v>27.84</v>
      </c>
      <c r="X1433" s="1090">
        <f t="shared" si="850"/>
        <v>66.060000000000031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customHeight="1" x14ac:dyDescent="0.25">
      <c r="A1434" s="184"/>
      <c r="B1434" s="184" t="s">
        <v>1197</v>
      </c>
      <c r="C1434" s="575"/>
      <c r="D1434" s="900"/>
      <c r="E1434" s="901"/>
      <c r="F1434" s="902"/>
      <c r="G1434" s="1297">
        <v>273.90000000000003</v>
      </c>
      <c r="H1434" s="1297">
        <f>+SUM(H1430:H1433)</f>
        <v>0</v>
      </c>
      <c r="I1434" s="1297">
        <f t="shared" ref="I1434:L1434" si="854">+SUM(I1430:I1433)</f>
        <v>0</v>
      </c>
      <c r="J1434" s="1297">
        <f t="shared" si="854"/>
        <v>20.66</v>
      </c>
      <c r="K1434" s="1297">
        <f t="shared" si="854"/>
        <v>0</v>
      </c>
      <c r="L1434" s="1297">
        <f t="shared" si="854"/>
        <v>253.24000000000004</v>
      </c>
      <c r="M1434" s="59">
        <f>IFERROR($S$1434/$S$2,"")</f>
        <v>16.911666666666665</v>
      </c>
      <c r="N1434" s="99">
        <f>IFERROR(L1434/M1434,0)</f>
        <v>14.974278111757172</v>
      </c>
      <c r="O1434" s="59">
        <f>IFERROR(SUMIF(ETM!$A:$A,$Q1434,ETM!$E:$E),"")</f>
        <v>22.500000000000004</v>
      </c>
      <c r="P1434" s="741">
        <f>IFERROR(L1434/O1434,0)</f>
        <v>11.255111111111111</v>
      </c>
      <c r="Q1434" s="809" t="s">
        <v>1198</v>
      </c>
      <c r="R1434" s="785">
        <f>IFERROR(VLOOKUP($Q1434,'391'!$S:$Z,8,0),"0")</f>
        <v>101.47</v>
      </c>
      <c r="S1434" s="796">
        <f>+R1433+R1434</f>
        <v>101.47</v>
      </c>
      <c r="T1434" s="797"/>
      <c r="U1434" s="797"/>
      <c r="V1434" s="797"/>
      <c r="W1434" s="821">
        <f>IFERROR(VLOOKUP($Q1434,'391'!$S:$AG,15,0),0)</f>
        <v>321.01</v>
      </c>
      <c r="X1434" s="1231">
        <f>G1434-W1434-W1433</f>
        <v>-74.94999999999996</v>
      </c>
      <c r="Y1434" s="785"/>
      <c r="Z1434" s="785"/>
      <c r="AA1434" s="797"/>
      <c r="AB1434" s="797"/>
      <c r="AC1434" s="683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86" t="str">
        <f>IF(L1438=0,"",MAX($A$16:A1434)+1)</f>
        <v/>
      </c>
      <c r="B1435" s="2078" t="s">
        <v>1260</v>
      </c>
      <c r="C1435" s="574"/>
      <c r="D1435" s="881" t="s">
        <v>10</v>
      </c>
      <c r="E1435" s="882">
        <v>44972</v>
      </c>
      <c r="F1435" s="71">
        <f>$L$7-E1435</f>
        <v>1289</v>
      </c>
      <c r="G1435" s="64">
        <v>0</v>
      </c>
      <c r="H1435" s="64"/>
      <c r="I1435" s="64"/>
      <c r="J1435" s="1367"/>
      <c r="K1435" s="64">
        <f>IFERROR(SUMIF(INTAKE!$A:$A,$T1435,INTAKE!$P:$P),0)</f>
        <v>0</v>
      </c>
      <c r="L1435" s="1534">
        <f t="shared" ref="L1435:L1487" si="855">+G1435+H1435+I1435-J1435-K1435</f>
        <v>0</v>
      </c>
      <c r="M1435" s="102"/>
      <c r="N1435" s="103"/>
      <c r="O1435" s="102"/>
      <c r="P1435" s="739"/>
      <c r="Q1435" s="795"/>
      <c r="R1435" s="785">
        <f>IFERROR(VLOOKUP($Q1435,'391'!$S:$Z,8,0),"")</f>
        <v>0</v>
      </c>
      <c r="S1435" s="796"/>
      <c r="T1435" s="797" t="str">
        <f>$Q$1438&amp;C1435&amp;E1435</f>
        <v>Megacid-F (singapore)44972</v>
      </c>
      <c r="U1435" s="797"/>
      <c r="V1435" s="797"/>
      <c r="W1435" s="785">
        <f>IFERROR(VLOOKUP($Q1435,'391'!$S:$AG,15,0),0)</f>
        <v>0</v>
      </c>
      <c r="X1435" s="1090">
        <f t="shared" si="850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2087"/>
      <c r="B1436" s="2079"/>
      <c r="C1436" s="574"/>
      <c r="D1436" s="881" t="s">
        <v>10</v>
      </c>
      <c r="E1436" s="882">
        <v>44924</v>
      </c>
      <c r="F1436" s="71">
        <f>$L$7-E1436</f>
        <v>1337</v>
      </c>
      <c r="G1436" s="64">
        <v>0</v>
      </c>
      <c r="H1436" s="64"/>
      <c r="I1436" s="64"/>
      <c r="J1436" s="1367"/>
      <c r="K1436" s="64">
        <f>IFERROR(SUMIF(INTAKE!$A:$A,$T1436,INTAKE!$P:$P),0)</f>
        <v>0</v>
      </c>
      <c r="L1436" s="1534">
        <f t="shared" si="855"/>
        <v>0</v>
      </c>
      <c r="M1436" s="102"/>
      <c r="N1436" s="103"/>
      <c r="O1436" s="102"/>
      <c r="P1436" s="739"/>
      <c r="Q1436" s="795"/>
      <c r="R1436" s="785">
        <f>IFERROR(VLOOKUP($Q1436,'391'!$S:$Z,8,0),"")</f>
        <v>0</v>
      </c>
      <c r="S1436" s="796"/>
      <c r="T1436" s="797" t="str">
        <f>$Q$1438&amp;C1436&amp;E1436</f>
        <v>Megacid-F (singapore)44924</v>
      </c>
      <c r="U1436" s="797"/>
      <c r="V1436" s="797"/>
      <c r="W1436" s="785">
        <f>IFERROR(VLOOKUP($Q1436,'391'!$S:$AG,15,0),0)</f>
        <v>0</v>
      </c>
      <c r="X1436" s="1090">
        <f t="shared" si="850"/>
        <v>0</v>
      </c>
      <c r="Y1436" s="785"/>
      <c r="Z1436" s="785"/>
      <c r="AA1436" s="797"/>
      <c r="AB1436" s="797"/>
      <c r="AC1436" s="551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88"/>
      <c r="B1437" s="2071"/>
      <c r="C1437" s="138" t="s">
        <v>76</v>
      </c>
      <c r="D1437" s="884" t="s">
        <v>10</v>
      </c>
      <c r="E1437" s="885">
        <v>44972</v>
      </c>
      <c r="F1437" s="293">
        <f>$L$7-E1437</f>
        <v>1289</v>
      </c>
      <c r="G1437" s="1214">
        <v>0</v>
      </c>
      <c r="H1437" s="37"/>
      <c r="I1437" s="37">
        <f>+K1436+K1435</f>
        <v>0</v>
      </c>
      <c r="J1437" s="1385">
        <f>usage!I177</f>
        <v>0</v>
      </c>
      <c r="K1437" s="64">
        <f>IFERROR(SUMIF(INTAKE!$A:$A,$T1437,INTAKE!$P:$P),0)</f>
        <v>0</v>
      </c>
      <c r="L1437" s="1534">
        <f t="shared" si="855"/>
        <v>0</v>
      </c>
      <c r="M1437" s="98"/>
      <c r="N1437" s="1473"/>
      <c r="O1437" s="98"/>
      <c r="P1437" s="759"/>
      <c r="Q1437" s="795"/>
      <c r="R1437" s="785">
        <f>IFERROR(VLOOKUP($Q1437,'391'!$S:$Z,8,0),"")</f>
        <v>0</v>
      </c>
      <c r="S1437" s="796"/>
      <c r="T1437" s="797" t="str">
        <f>$Q$1438&amp;C1437&amp;E1437</f>
        <v>Megacid-F (singapore)Feedmil44972</v>
      </c>
      <c r="U1437" s="797"/>
      <c r="V1437" s="797"/>
      <c r="W1437" s="785">
        <f>IFERROR(VLOOKUP($Q1437,'391'!$S:$AG,15,0),0)</f>
        <v>0</v>
      </c>
      <c r="X1437" s="1090">
        <f t="shared" si="850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184"/>
      <c r="B1438" s="184" t="s">
        <v>1262</v>
      </c>
      <c r="C1438" s="575"/>
      <c r="D1438" s="900"/>
      <c r="E1438" s="901"/>
      <c r="F1438" s="902"/>
      <c r="G1438" s="1297">
        <v>0</v>
      </c>
      <c r="H1438" s="1297">
        <f>+SUM(H1435:H1437)</f>
        <v>0</v>
      </c>
      <c r="I1438" s="1297">
        <f t="shared" ref="I1438:K1438" si="856">+SUM(I1435:I1437)</f>
        <v>0</v>
      </c>
      <c r="J1438" s="1297">
        <f t="shared" si="856"/>
        <v>0</v>
      </c>
      <c r="K1438" s="1297">
        <f t="shared" si="856"/>
        <v>0</v>
      </c>
      <c r="L1438" s="1534">
        <f t="shared" si="855"/>
        <v>0</v>
      </c>
      <c r="M1438" s="59" t="str">
        <f>IFERROR(R1438/$S$2,"")</f>
        <v/>
      </c>
      <c r="N1438" s="99">
        <f>IFERROR(L1438/M1438,0)</f>
        <v>0</v>
      </c>
      <c r="O1438" s="59">
        <f>IFERROR(SUMIF(ETM!$A:$A,$Q1438,ETM!$E:$E),"")</f>
        <v>0</v>
      </c>
      <c r="P1438" s="741">
        <f>IFERROR(L1438/O1438,0)</f>
        <v>0</v>
      </c>
      <c r="Q1438" s="809" t="s">
        <v>1260</v>
      </c>
      <c r="R1438" s="785" t="str">
        <f>IFERROR(VLOOKUP($Q1438,'391'!$S:$Z,8,0),"")</f>
        <v/>
      </c>
      <c r="S1438" s="796"/>
      <c r="T1438" s="797"/>
      <c r="U1438" s="797"/>
      <c r="V1438" s="797"/>
      <c r="W1438" s="785">
        <f>IFERROR(VLOOKUP($Q1438,'391'!$S:$AG,15,0),0)</f>
        <v>0</v>
      </c>
      <c r="X1438" s="1090">
        <f t="shared" si="850"/>
        <v>0</v>
      </c>
      <c r="Y1438" s="785"/>
      <c r="Z1438" s="785"/>
      <c r="AA1438" s="797"/>
      <c r="AB1438" s="797"/>
      <c r="AC1438" s="683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86" t="str">
        <f>IF(L1442=0,"",MAX($A$16:A1438)+1)</f>
        <v/>
      </c>
      <c r="B1439" s="2078" t="s">
        <v>1265</v>
      </c>
      <c r="C1439" s="574" t="s">
        <v>579</v>
      </c>
      <c r="D1439" s="881" t="s">
        <v>10</v>
      </c>
      <c r="E1439" s="882">
        <v>44978</v>
      </c>
      <c r="F1439" s="71">
        <f>$L$7-E1439</f>
        <v>1283</v>
      </c>
      <c r="G1439" s="64">
        <v>0</v>
      </c>
      <c r="H1439" s="64"/>
      <c r="I1439" s="64"/>
      <c r="J1439" s="1367"/>
      <c r="K1439" s="64">
        <f>IFERROR(SUMIF(INTAKE!$A:$A,$T1439,INTAKE!$P:$P),0)</f>
        <v>0</v>
      </c>
      <c r="L1439" s="1534">
        <f t="shared" si="855"/>
        <v>0</v>
      </c>
      <c r="M1439" s="102"/>
      <c r="N1439" s="103"/>
      <c r="O1439" s="102"/>
      <c r="P1439" s="739"/>
      <c r="Q1439" s="795"/>
      <c r="R1439" s="785">
        <f>IFERROR(VLOOKUP($Q1439,'391'!$S:$Z,8,0),"")</f>
        <v>0</v>
      </c>
      <c r="S1439" s="796"/>
      <c r="T1439" s="797" t="str">
        <f>$Q$1442&amp;C1439&amp;E1439</f>
        <v>FRA Butyrin Ultra (Netherlands)V8.144978</v>
      </c>
      <c r="U1439" s="797"/>
      <c r="V1439" s="797"/>
      <c r="W1439" s="785">
        <f>IFERROR(VLOOKUP($Q1439,'391'!$S:$AG,15,0),0)</f>
        <v>0</v>
      </c>
      <c r="X1439" s="1090">
        <f t="shared" si="850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2087"/>
      <c r="B1440" s="2079"/>
      <c r="C1440" s="574"/>
      <c r="D1440" s="881" t="s">
        <v>10</v>
      </c>
      <c r="E1440" s="882">
        <v>44924</v>
      </c>
      <c r="F1440" s="71">
        <f>$L$7-E1440</f>
        <v>1337</v>
      </c>
      <c r="G1440" s="64">
        <v>0</v>
      </c>
      <c r="H1440" s="64"/>
      <c r="I1440" s="64"/>
      <c r="J1440" s="1367"/>
      <c r="K1440" s="64">
        <f>IFERROR(SUMIF(INTAKE!$A:$A,$T1440,INTAKE!$P:$P),0)</f>
        <v>0</v>
      </c>
      <c r="L1440" s="1534">
        <f t="shared" si="855"/>
        <v>0</v>
      </c>
      <c r="M1440" s="102"/>
      <c r="N1440" s="103"/>
      <c r="O1440" s="102"/>
      <c r="P1440" s="739"/>
      <c r="Q1440" s="795"/>
      <c r="R1440" s="785">
        <f>IFERROR(VLOOKUP($Q1440,'391'!$S:$Z,8,0),"")</f>
        <v>0</v>
      </c>
      <c r="S1440" s="796"/>
      <c r="T1440" s="797" t="str">
        <f>$Q$1442&amp;C1440&amp;E1440</f>
        <v>FRA Butyrin Ultra (Netherlands)44924</v>
      </c>
      <c r="U1440" s="797"/>
      <c r="V1440" s="797"/>
      <c r="W1440" s="785">
        <f>IFERROR(VLOOKUP($Q1440,'391'!$S:$AG,15,0),0)</f>
        <v>0</v>
      </c>
      <c r="X1440" s="1090">
        <f t="shared" si="850"/>
        <v>0</v>
      </c>
      <c r="Y1440" s="785"/>
      <c r="Z1440" s="785"/>
      <c r="AA1440" s="797"/>
      <c r="AB1440" s="797"/>
      <c r="AC1440" s="551"/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88"/>
      <c r="B1441" s="2071"/>
      <c r="C1441" s="138" t="s">
        <v>76</v>
      </c>
      <c r="D1441" s="884" t="s">
        <v>10</v>
      </c>
      <c r="E1441" s="885">
        <v>44978</v>
      </c>
      <c r="F1441" s="293">
        <f>$L$7-E1441</f>
        <v>1283</v>
      </c>
      <c r="G1441" s="1214">
        <v>0</v>
      </c>
      <c r="H1441" s="37"/>
      <c r="I1441" s="37">
        <f>+K1440+K1439</f>
        <v>0</v>
      </c>
      <c r="J1441" s="1385">
        <f>usage!I178</f>
        <v>0</v>
      </c>
      <c r="K1441" s="64">
        <f>IFERROR(SUMIF(INTAKE!$A:$A,$T1441,INTAKE!$P:$P),0)</f>
        <v>0</v>
      </c>
      <c r="L1441" s="1534">
        <f t="shared" si="855"/>
        <v>0</v>
      </c>
      <c r="M1441" s="98"/>
      <c r="N1441" s="1473"/>
      <c r="O1441" s="98"/>
      <c r="P1441" s="759"/>
      <c r="Q1441" s="795"/>
      <c r="R1441" s="785">
        <f>IFERROR(VLOOKUP($Q1441,'391'!$S:$Z,8,0),"")</f>
        <v>0</v>
      </c>
      <c r="S1441" s="796"/>
      <c r="T1441" s="797" t="str">
        <f>$Q$1442&amp;C1441&amp;E1441</f>
        <v>FRA Butyrin Ultra (Netherlands)Feedmil44978</v>
      </c>
      <c r="U1441" s="797"/>
      <c r="V1441" s="797"/>
      <c r="W1441" s="785">
        <f>IFERROR(VLOOKUP($Q1441,'391'!$S:$AG,15,0),0)</f>
        <v>0</v>
      </c>
      <c r="X1441" s="1090">
        <f t="shared" si="850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184"/>
      <c r="B1442" s="184" t="s">
        <v>1266</v>
      </c>
      <c r="C1442" s="575"/>
      <c r="D1442" s="900"/>
      <c r="E1442" s="901"/>
      <c r="F1442" s="902"/>
      <c r="G1442" s="1297">
        <v>0</v>
      </c>
      <c r="H1442" s="1297">
        <f>+SUM(H1439:H1441)</f>
        <v>0</v>
      </c>
      <c r="I1442" s="1297">
        <f t="shared" ref="I1442:K1442" si="857">+SUM(I1439:I1441)</f>
        <v>0</v>
      </c>
      <c r="J1442" s="1297">
        <f t="shared" si="857"/>
        <v>0</v>
      </c>
      <c r="K1442" s="1297">
        <f t="shared" si="857"/>
        <v>0</v>
      </c>
      <c r="L1442" s="1534">
        <f t="shared" si="855"/>
        <v>0</v>
      </c>
      <c r="M1442" s="59" t="str">
        <f>IFERROR(R1442/$S$2,"")</f>
        <v/>
      </c>
      <c r="N1442" s="99">
        <f>IFERROR(L1442/M1442,0)</f>
        <v>0</v>
      </c>
      <c r="O1442" s="59">
        <f>IFERROR(SUMIF(ETM!$A:$A,$Q1442,ETM!$E:$E),"")</f>
        <v>0</v>
      </c>
      <c r="P1442" s="741">
        <f>IFERROR(L1442/O1442,0)</f>
        <v>0</v>
      </c>
      <c r="Q1442" s="809" t="s">
        <v>1265</v>
      </c>
      <c r="R1442" s="785" t="str">
        <f>IFERROR(VLOOKUP($Q1442,'391'!$S:$Z,8,0),"")</f>
        <v/>
      </c>
      <c r="S1442" s="796"/>
      <c r="T1442" s="797"/>
      <c r="U1442" s="797"/>
      <c r="V1442" s="797"/>
      <c r="W1442" s="785">
        <f>IFERROR(VLOOKUP($Q1442,'391'!$S:$AG,15,0),0)</f>
        <v>0</v>
      </c>
      <c r="X1442" s="1090">
        <f t="shared" si="850"/>
        <v>0</v>
      </c>
      <c r="Y1442" s="785"/>
      <c r="Z1442" s="785"/>
      <c r="AA1442" s="797"/>
      <c r="AB1442" s="797"/>
      <c r="AC1442" s="683">
        <v>0.69999999999998863</v>
      </c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86" t="str">
        <f>IF(L1446=0,"",MAX($A$16:A1442)+1)</f>
        <v/>
      </c>
      <c r="B1443" s="2078" t="s">
        <v>1267</v>
      </c>
      <c r="C1443" s="574" t="s">
        <v>579</v>
      </c>
      <c r="D1443" s="881" t="s">
        <v>10</v>
      </c>
      <c r="E1443" s="882">
        <v>44978</v>
      </c>
      <c r="F1443" s="71">
        <f>$L$7-E1443</f>
        <v>1283</v>
      </c>
      <c r="G1443" s="64">
        <v>0</v>
      </c>
      <c r="H1443" s="64"/>
      <c r="I1443" s="64"/>
      <c r="J1443" s="1367"/>
      <c r="K1443" s="64">
        <f>IFERROR(SUMIF(INTAKE!$A:$A,$T1443,INTAKE!$P:$P),0)</f>
        <v>0</v>
      </c>
      <c r="L1443" s="1534">
        <f t="shared" si="855"/>
        <v>0</v>
      </c>
      <c r="M1443" s="102"/>
      <c r="N1443" s="103"/>
      <c r="O1443" s="102"/>
      <c r="P1443" s="739"/>
      <c r="Q1443" s="795"/>
      <c r="R1443" s="785">
        <f>IFERROR(VLOOKUP($Q1443,'391'!$S:$Z,8,0),"")</f>
        <v>0</v>
      </c>
      <c r="S1443" s="796"/>
      <c r="T1443" s="797" t="str">
        <f>$Q$1446&amp;C1443&amp;E1443</f>
        <v>FRA Butyrin Mono (Netherlands)V8.144978</v>
      </c>
      <c r="U1443" s="797"/>
      <c r="V1443" s="797"/>
      <c r="W1443" s="785">
        <f>IFERROR(VLOOKUP($Q1443,'391'!$S:$AG,15,0),0)</f>
        <v>0</v>
      </c>
      <c r="X1443" s="1090">
        <f t="shared" si="850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2087"/>
      <c r="B1444" s="2079"/>
      <c r="C1444" s="574"/>
      <c r="D1444" s="881" t="s">
        <v>10</v>
      </c>
      <c r="E1444" s="882">
        <v>44924</v>
      </c>
      <c r="F1444" s="71">
        <f>$L$7-E1444</f>
        <v>1337</v>
      </c>
      <c r="G1444" s="64">
        <v>0</v>
      </c>
      <c r="H1444" s="64"/>
      <c r="I1444" s="64"/>
      <c r="J1444" s="1367"/>
      <c r="K1444" s="64">
        <f>IFERROR(SUMIF(INTAKE!$A:$A,$T1444,INTAKE!$P:$P),0)</f>
        <v>0</v>
      </c>
      <c r="L1444" s="1534">
        <f t="shared" si="855"/>
        <v>0</v>
      </c>
      <c r="M1444" s="102"/>
      <c r="N1444" s="103"/>
      <c r="O1444" s="102"/>
      <c r="P1444" s="739"/>
      <c r="Q1444" s="795"/>
      <c r="R1444" s="785">
        <f>IFERROR(VLOOKUP($Q1444,'391'!$S:$Z,8,0),"")</f>
        <v>0</v>
      </c>
      <c r="S1444" s="796"/>
      <c r="T1444" s="797" t="str">
        <f>$Q$1446&amp;C1444&amp;E1444</f>
        <v>FRA Butyrin Mono (Netherlands)44924</v>
      </c>
      <c r="U1444" s="797"/>
      <c r="V1444" s="797"/>
      <c r="W1444" s="785">
        <f>IFERROR(VLOOKUP($Q1444,'391'!$S:$AG,15,0),0)</f>
        <v>0</v>
      </c>
      <c r="X1444" s="1090">
        <f t="shared" si="850"/>
        <v>0</v>
      </c>
      <c r="Y1444" s="785"/>
      <c r="Z1444" s="785"/>
      <c r="AA1444" s="797"/>
      <c r="AB1444" s="797"/>
      <c r="AC1444" s="551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88"/>
      <c r="B1445" s="2071"/>
      <c r="C1445" s="138" t="s">
        <v>76</v>
      </c>
      <c r="D1445" s="884" t="s">
        <v>10</v>
      </c>
      <c r="E1445" s="885">
        <v>44978</v>
      </c>
      <c r="F1445" s="293">
        <f>$L$7-E1445</f>
        <v>1283</v>
      </c>
      <c r="G1445" s="1214">
        <v>0</v>
      </c>
      <c r="H1445" s="37"/>
      <c r="I1445" s="37">
        <f>+K1444+K1443</f>
        <v>0</v>
      </c>
      <c r="J1445" s="1385">
        <f>usage!I179</f>
        <v>0</v>
      </c>
      <c r="K1445" s="64">
        <f>IFERROR(SUMIF(INTAKE!$A:$A,$T1445,INTAKE!$P:$P),0)</f>
        <v>0</v>
      </c>
      <c r="L1445" s="1534">
        <f t="shared" si="855"/>
        <v>0</v>
      </c>
      <c r="M1445" s="98"/>
      <c r="N1445" s="1473"/>
      <c r="O1445" s="98"/>
      <c r="P1445" s="759"/>
      <c r="Q1445" s="795"/>
      <c r="R1445" s="785">
        <f>IFERROR(VLOOKUP($Q1445,'391'!$S:$Z,8,0),"")</f>
        <v>0</v>
      </c>
      <c r="S1445" s="796"/>
      <c r="T1445" s="797" t="str">
        <f>$Q$1446&amp;C1445&amp;E1445</f>
        <v>FRA Butyrin Mono (Netherlands)Feedmil44978</v>
      </c>
      <c r="U1445" s="797"/>
      <c r="V1445" s="797"/>
      <c r="W1445" s="785">
        <f>IFERROR(VLOOKUP($Q1445,'391'!$S:$AG,15,0),0)</f>
        <v>0</v>
      </c>
      <c r="X1445" s="1090">
        <f t="shared" si="850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184"/>
      <c r="B1446" s="184" t="s">
        <v>1268</v>
      </c>
      <c r="C1446" s="575"/>
      <c r="D1446" s="900"/>
      <c r="E1446" s="901"/>
      <c r="F1446" s="902"/>
      <c r="G1446" s="1297">
        <v>0</v>
      </c>
      <c r="H1446" s="1297">
        <f>+SUM(H1443:H1445)</f>
        <v>0</v>
      </c>
      <c r="I1446" s="1297">
        <f t="shared" ref="I1446:K1446" si="858">+SUM(I1443:I1445)</f>
        <v>0</v>
      </c>
      <c r="J1446" s="1297">
        <f t="shared" si="858"/>
        <v>0</v>
      </c>
      <c r="K1446" s="1297">
        <f t="shared" si="858"/>
        <v>0</v>
      </c>
      <c r="L1446" s="1534">
        <f t="shared" si="855"/>
        <v>0</v>
      </c>
      <c r="M1446" s="59" t="str">
        <f>IFERROR(R1446/$S$2,"")</f>
        <v/>
      </c>
      <c r="N1446" s="99">
        <f>IFERROR(L1446/M1446,0)</f>
        <v>0</v>
      </c>
      <c r="O1446" s="59">
        <f>IFERROR(SUMIF(ETM!$A:$A,$Q1446,ETM!$E:$E),"")</f>
        <v>0</v>
      </c>
      <c r="P1446" s="741">
        <f>IFERROR(L1446/O1446,0)</f>
        <v>0</v>
      </c>
      <c r="Q1446" s="809" t="s">
        <v>1267</v>
      </c>
      <c r="R1446" s="785" t="str">
        <f>IFERROR(VLOOKUP($Q1446,'391'!$S:$Z,8,0),"")</f>
        <v/>
      </c>
      <c r="S1446" s="796"/>
      <c r="T1446" s="797"/>
      <c r="U1446" s="797"/>
      <c r="V1446" s="797"/>
      <c r="W1446" s="785">
        <f>IFERROR(VLOOKUP($Q1446,'391'!$S:$AG,15,0),0)</f>
        <v>0</v>
      </c>
      <c r="X1446" s="1090">
        <f t="shared" si="850"/>
        <v>0</v>
      </c>
      <c r="Y1446" s="785"/>
      <c r="Z1446" s="785"/>
      <c r="AA1446" s="797"/>
      <c r="AB1446" s="797"/>
      <c r="AC1446" s="683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86" t="str">
        <f>IF(L1450=0,"",MAX($A$16:A1446)+1)</f>
        <v/>
      </c>
      <c r="B1447" s="2078" t="s">
        <v>1273</v>
      </c>
      <c r="C1447" s="574" t="s">
        <v>227</v>
      </c>
      <c r="D1447" s="881" t="s">
        <v>10</v>
      </c>
      <c r="E1447" s="882">
        <v>44986</v>
      </c>
      <c r="F1447" s="71">
        <f>$L$7-E1447</f>
        <v>1275</v>
      </c>
      <c r="G1447" s="64">
        <v>0</v>
      </c>
      <c r="H1447" s="64"/>
      <c r="I1447" s="64"/>
      <c r="J1447" s="1367"/>
      <c r="K1447" s="64">
        <f>IFERROR(SUMIF(INTAKE!$A:$A,$T1447,INTAKE!$P:$P),0)</f>
        <v>0</v>
      </c>
      <c r="L1447" s="1534">
        <f t="shared" si="855"/>
        <v>0</v>
      </c>
      <c r="M1447" s="102"/>
      <c r="N1447" s="103"/>
      <c r="O1447" s="102"/>
      <c r="P1447" s="739"/>
      <c r="Q1447" s="795"/>
      <c r="R1447" s="785">
        <f>IFERROR(VLOOKUP($Q1447,'391'!$S:$Z,8,0),"")</f>
        <v>0</v>
      </c>
      <c r="S1447" s="796"/>
      <c r="T1447" s="797" t="str">
        <f>$Q$1450&amp;C1447&amp;E1447</f>
        <v>Citrex Powder (Malaysia)V9.144986</v>
      </c>
      <c r="U1447" s="797"/>
      <c r="V1447" s="797"/>
      <c r="W1447" s="785">
        <f>IFERROR(VLOOKUP($Q1447,'391'!$S:$AG,15,0),0)</f>
        <v>0</v>
      </c>
      <c r="X1447" s="1090">
        <f t="shared" si="850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2087"/>
      <c r="B1448" s="2079"/>
      <c r="C1448" s="574"/>
      <c r="D1448" s="881" t="s">
        <v>10</v>
      </c>
      <c r="E1448" s="882">
        <v>44924</v>
      </c>
      <c r="F1448" s="71">
        <f>$L$7-E1448</f>
        <v>1337</v>
      </c>
      <c r="G1448" s="64">
        <v>0</v>
      </c>
      <c r="H1448" s="64"/>
      <c r="I1448" s="64"/>
      <c r="J1448" s="1367"/>
      <c r="K1448" s="64">
        <f>IFERROR(SUMIF(INTAKE!$A:$A,$T1448,INTAKE!$P:$P),0)</f>
        <v>0</v>
      </c>
      <c r="L1448" s="1534">
        <f t="shared" si="855"/>
        <v>0</v>
      </c>
      <c r="M1448" s="102"/>
      <c r="N1448" s="103"/>
      <c r="O1448" s="102"/>
      <c r="P1448" s="739"/>
      <c r="Q1448" s="795"/>
      <c r="R1448" s="785">
        <f>IFERROR(VLOOKUP($Q1448,'391'!$S:$Z,8,0),"")</f>
        <v>0</v>
      </c>
      <c r="S1448" s="796"/>
      <c r="T1448" s="797" t="str">
        <f>$Q$1450&amp;C1448&amp;E1448</f>
        <v>Citrex Powder (Malaysia)44924</v>
      </c>
      <c r="U1448" s="797"/>
      <c r="V1448" s="797"/>
      <c r="W1448" s="785">
        <f>IFERROR(VLOOKUP($Q1448,'391'!$S:$AG,15,0),0)</f>
        <v>0</v>
      </c>
      <c r="X1448" s="1090">
        <f t="shared" si="850"/>
        <v>0</v>
      </c>
      <c r="Y1448" s="785"/>
      <c r="Z1448" s="785"/>
      <c r="AA1448" s="797"/>
      <c r="AB1448" s="797"/>
      <c r="AC1448" s="551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88"/>
      <c r="B1449" s="2071"/>
      <c r="C1449" s="138" t="s">
        <v>76</v>
      </c>
      <c r="D1449" s="884" t="s">
        <v>10</v>
      </c>
      <c r="E1449" s="885">
        <v>44986</v>
      </c>
      <c r="F1449" s="293">
        <f>$L$7-E1449</f>
        <v>1275</v>
      </c>
      <c r="G1449" s="1214">
        <v>0</v>
      </c>
      <c r="H1449" s="37"/>
      <c r="I1449" s="37">
        <f>+K1448+K1447</f>
        <v>0</v>
      </c>
      <c r="J1449" s="1385">
        <f>usage!I181</f>
        <v>0</v>
      </c>
      <c r="K1449" s="64">
        <f>IFERROR(SUMIF(INTAKE!$A:$A,$T1449,INTAKE!$P:$P),0)</f>
        <v>0</v>
      </c>
      <c r="L1449" s="1534">
        <f t="shared" si="855"/>
        <v>0</v>
      </c>
      <c r="M1449" s="98"/>
      <c r="N1449" s="1473"/>
      <c r="O1449" s="98"/>
      <c r="P1449" s="759"/>
      <c r="Q1449" s="795"/>
      <c r="R1449" s="785">
        <f>IFERROR(VLOOKUP($Q1449,'391'!$S:$Z,8,0),"")</f>
        <v>0</v>
      </c>
      <c r="S1449" s="796"/>
      <c r="T1449" s="797" t="str">
        <f>$Q$1450&amp;C1449&amp;E1449</f>
        <v>Citrex Powder (Malaysia)Feedmil44986</v>
      </c>
      <c r="U1449" s="797"/>
      <c r="V1449" s="797"/>
      <c r="W1449" s="785">
        <f>IFERROR(VLOOKUP($Q1449,'391'!$S:$AG,15,0),0)</f>
        <v>0</v>
      </c>
      <c r="X1449" s="1090">
        <f t="shared" si="850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184"/>
      <c r="B1450" s="184" t="s">
        <v>1274</v>
      </c>
      <c r="C1450" s="575"/>
      <c r="D1450" s="900"/>
      <c r="E1450" s="901"/>
      <c r="F1450" s="902"/>
      <c r="G1450" s="1297">
        <v>0</v>
      </c>
      <c r="H1450" s="1297">
        <f>+SUM(H1447:H1449)</f>
        <v>0</v>
      </c>
      <c r="I1450" s="1297">
        <f t="shared" ref="I1450:K1450" si="859">+SUM(I1447:I1449)</f>
        <v>0</v>
      </c>
      <c r="J1450" s="1297">
        <f t="shared" si="859"/>
        <v>0</v>
      </c>
      <c r="K1450" s="1297">
        <f t="shared" si="859"/>
        <v>0</v>
      </c>
      <c r="L1450" s="1534">
        <f t="shared" si="855"/>
        <v>0</v>
      </c>
      <c r="M1450" s="59" t="str">
        <f>IFERROR(R1450/$S$2,"")</f>
        <v/>
      </c>
      <c r="N1450" s="99">
        <f>IFERROR(L1450/M1450,0)</f>
        <v>0</v>
      </c>
      <c r="O1450" s="59">
        <f>IFERROR(SUMIF(ETM!$A:$A,$Q1450,ETM!$E:$E),"")</f>
        <v>0</v>
      </c>
      <c r="P1450" s="741">
        <f>IFERROR(L1450/O1450,0)</f>
        <v>0</v>
      </c>
      <c r="Q1450" s="809" t="s">
        <v>1273</v>
      </c>
      <c r="R1450" s="785" t="str">
        <f>IFERROR(VLOOKUP($Q1450,'391'!$S:$Z,8,0),"")</f>
        <v/>
      </c>
      <c r="S1450" s="796"/>
      <c r="T1450" s="797"/>
      <c r="U1450" s="797"/>
      <c r="V1450" s="797"/>
      <c r="W1450" s="785">
        <f>IFERROR(VLOOKUP($Q1450,'391'!$S:$AG,15,0),0)</f>
        <v>0</v>
      </c>
      <c r="X1450" s="1090">
        <f t="shared" si="850"/>
        <v>0</v>
      </c>
      <c r="Y1450" s="785"/>
      <c r="Z1450" s="785"/>
      <c r="AA1450" s="797"/>
      <c r="AB1450" s="797"/>
      <c r="AC1450" s="683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86" t="str">
        <f>IF(L1454=0,"",MAX($A$16:A1450)+1)</f>
        <v/>
      </c>
      <c r="B1451" s="2078" t="s">
        <v>1290</v>
      </c>
      <c r="C1451" s="574"/>
      <c r="D1451" s="881" t="s">
        <v>10</v>
      </c>
      <c r="E1451" s="882">
        <v>45027</v>
      </c>
      <c r="F1451" s="71">
        <f>$L$7-E1451</f>
        <v>1234</v>
      </c>
      <c r="G1451" s="64">
        <v>0</v>
      </c>
      <c r="H1451" s="64"/>
      <c r="I1451" s="64"/>
      <c r="J1451" s="1367"/>
      <c r="K1451" s="64">
        <f>IFERROR(SUMIF(INTAKE!$A:$A,$T1451,INTAKE!$P:$P),0)</f>
        <v>0</v>
      </c>
      <c r="L1451" s="1534">
        <f t="shared" si="855"/>
        <v>0</v>
      </c>
      <c r="M1451" s="102"/>
      <c r="N1451" s="103"/>
      <c r="O1451" s="102"/>
      <c r="P1451" s="739"/>
      <c r="Q1451" s="795"/>
      <c r="R1451" s="785">
        <f>IFERROR(VLOOKUP($Q1451,'391'!$S:$Z,8,0),"")</f>
        <v>0</v>
      </c>
      <c r="S1451" s="796"/>
      <c r="T1451" s="797" t="str">
        <f>$Q$1450&amp;C1451&amp;E1451</f>
        <v>Citrex Powder (Malaysia)45027</v>
      </c>
      <c r="U1451" s="797"/>
      <c r="V1451" s="797"/>
      <c r="W1451" s="785">
        <f>IFERROR(VLOOKUP($Q1451,'391'!$S:$AG,15,0),0)</f>
        <v>0</v>
      </c>
      <c r="X1451" s="1090">
        <f t="shared" si="850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2087"/>
      <c r="B1452" s="2079"/>
      <c r="C1452" s="574"/>
      <c r="D1452" s="881" t="s">
        <v>10</v>
      </c>
      <c r="E1452" s="882">
        <v>44924</v>
      </c>
      <c r="F1452" s="71">
        <f>$L$7-E1452</f>
        <v>1337</v>
      </c>
      <c r="G1452" s="64">
        <v>0</v>
      </c>
      <c r="H1452" s="64"/>
      <c r="I1452" s="64"/>
      <c r="J1452" s="1367"/>
      <c r="K1452" s="64">
        <f>IFERROR(SUMIF(INTAKE!$A:$A,$T1452,INTAKE!$P:$P),0)</f>
        <v>0</v>
      </c>
      <c r="L1452" s="1534">
        <f t="shared" si="855"/>
        <v>0</v>
      </c>
      <c r="M1452" s="102"/>
      <c r="N1452" s="103"/>
      <c r="O1452" s="102"/>
      <c r="P1452" s="739"/>
      <c r="Q1452" s="795"/>
      <c r="R1452" s="785">
        <f>IFERROR(VLOOKUP($Q1452,'391'!$S:$Z,8,0),"")</f>
        <v>0</v>
      </c>
      <c r="S1452" s="796"/>
      <c r="T1452" s="797" t="str">
        <f>$Q$1450&amp;C1452&amp;E1452</f>
        <v>Citrex Powder (Malaysia)44924</v>
      </c>
      <c r="U1452" s="797"/>
      <c r="V1452" s="797"/>
      <c r="W1452" s="785">
        <f>IFERROR(VLOOKUP($Q1452,'391'!$S:$AG,15,0),0)</f>
        <v>0</v>
      </c>
      <c r="X1452" s="1090">
        <f t="shared" si="850"/>
        <v>0</v>
      </c>
      <c r="Y1452" s="785"/>
      <c r="Z1452" s="785"/>
      <c r="AA1452" s="797"/>
      <c r="AB1452" s="797"/>
      <c r="AC1452" s="551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88"/>
      <c r="B1453" s="2071"/>
      <c r="C1453" s="138" t="s">
        <v>76</v>
      </c>
      <c r="D1453" s="884" t="s">
        <v>10</v>
      </c>
      <c r="E1453" s="885">
        <v>45027</v>
      </c>
      <c r="F1453" s="293">
        <f>$L$7-E1453</f>
        <v>1234</v>
      </c>
      <c r="G1453" s="1214">
        <v>0</v>
      </c>
      <c r="H1453" s="37"/>
      <c r="I1453" s="37">
        <f>+K1452+K1451</f>
        <v>0</v>
      </c>
      <c r="J1453" s="1385">
        <f>usage!I180</f>
        <v>0</v>
      </c>
      <c r="K1453" s="64">
        <f>IFERROR(SUMIF(INTAKE!$A:$A,$T1453,INTAKE!$P:$P),0)</f>
        <v>0</v>
      </c>
      <c r="L1453" s="1534">
        <f t="shared" si="855"/>
        <v>0</v>
      </c>
      <c r="M1453" s="98"/>
      <c r="N1453" s="1473"/>
      <c r="O1453" s="98"/>
      <c r="P1453" s="759"/>
      <c r="Q1453" s="795"/>
      <c r="R1453" s="785">
        <f>IFERROR(VLOOKUP($Q1453,'391'!$S:$Z,8,0),"")</f>
        <v>0</v>
      </c>
      <c r="S1453" s="796"/>
      <c r="T1453" s="797" t="str">
        <f>$Q$1450&amp;C1453&amp;E1453</f>
        <v>Citrex Powder (Malaysia)Feedmil45027</v>
      </c>
      <c r="U1453" s="797"/>
      <c r="V1453" s="797"/>
      <c r="W1453" s="785">
        <f>IFERROR(VLOOKUP($Q1453,'391'!$S:$AG,15,0),0)</f>
        <v>0</v>
      </c>
      <c r="X1453" s="1090">
        <f t="shared" si="850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184"/>
      <c r="B1454" s="184" t="s">
        <v>1291</v>
      </c>
      <c r="C1454" s="575"/>
      <c r="D1454" s="900"/>
      <c r="E1454" s="901"/>
      <c r="F1454" s="902"/>
      <c r="G1454" s="1297">
        <v>0</v>
      </c>
      <c r="H1454" s="1297">
        <f>+SUM(H1451:H1453)</f>
        <v>0</v>
      </c>
      <c r="I1454" s="1297">
        <f t="shared" ref="I1454:K1454" si="860">+SUM(I1451:I1453)</f>
        <v>0</v>
      </c>
      <c r="J1454" s="1297">
        <f t="shared" si="860"/>
        <v>0</v>
      </c>
      <c r="K1454" s="1297">
        <f t="shared" si="860"/>
        <v>0</v>
      </c>
      <c r="L1454" s="1534">
        <f t="shared" si="855"/>
        <v>0</v>
      </c>
      <c r="M1454" s="59" t="str">
        <f>IFERROR(R1454/$S$2,"")</f>
        <v/>
      </c>
      <c r="N1454" s="99">
        <f>IFERROR(L1454/M1454,0)</f>
        <v>0</v>
      </c>
      <c r="O1454" s="59">
        <f>IFERROR(SUMIF(ETM!$A:$A,$Q1454,ETM!$E:$E),"")</f>
        <v>0</v>
      </c>
      <c r="P1454" s="741">
        <f>IFERROR(L1454/O1454,0)</f>
        <v>0</v>
      </c>
      <c r="Q1454" s="666" t="s">
        <v>1298</v>
      </c>
      <c r="R1454" s="785" t="str">
        <f>IFERROR(VLOOKUP($Q1454,'391'!$S:$Z,8,0),"")</f>
        <v/>
      </c>
      <c r="S1454" s="796"/>
      <c r="T1454" s="797"/>
      <c r="U1454" s="797"/>
      <c r="V1454" s="797"/>
      <c r="W1454" s="785">
        <f>IFERROR(VLOOKUP($Q1454,'391'!$S:$AG,15,0),0)</f>
        <v>0</v>
      </c>
      <c r="X1454" s="1090">
        <f t="shared" si="850"/>
        <v>0</v>
      </c>
      <c r="Y1454" s="785"/>
      <c r="Z1454" s="785"/>
      <c r="AA1454" s="797"/>
      <c r="AB1454" s="797"/>
      <c r="AC1454" s="683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86" t="str">
        <f>IF(L1458=0,"",MAX($A$16:A1454)+1)</f>
        <v/>
      </c>
      <c r="B1455" s="2078" t="s">
        <v>1333</v>
      </c>
      <c r="C1455" s="574" t="s">
        <v>1313</v>
      </c>
      <c r="D1455" s="881" t="s">
        <v>10</v>
      </c>
      <c r="E1455" s="882">
        <v>45155</v>
      </c>
      <c r="F1455" s="71">
        <f>$L$7-E1455</f>
        <v>1106</v>
      </c>
      <c r="G1455" s="64">
        <v>0</v>
      </c>
      <c r="H1455" s="64"/>
      <c r="I1455" s="64"/>
      <c r="J1455" s="1367"/>
      <c r="K1455" s="64">
        <f>IFERROR(SUMIF(INTAKE!$A:$A,$T1455,INTAKE!$P:$P),0)</f>
        <v>0</v>
      </c>
      <c r="L1455" s="1534">
        <f t="shared" si="855"/>
        <v>0</v>
      </c>
      <c r="M1455" s="102"/>
      <c r="N1455" s="103"/>
      <c r="O1455" s="102"/>
      <c r="P1455" s="739"/>
      <c r="Q1455" s="795"/>
      <c r="R1455" s="785">
        <f>IFERROR(VLOOKUP($Q1455,'391'!$S:$Z,8,0),"")</f>
        <v>0</v>
      </c>
      <c r="S1455" s="796"/>
      <c r="T1455" s="797" t="str">
        <f>$Q$1458&amp;C1455&amp;E1455</f>
        <v>Hemicell HT (usa)E245155</v>
      </c>
      <c r="U1455" s="797"/>
      <c r="V1455" s="797"/>
      <c r="W1455" s="785">
        <f>IFERROR(VLOOKUP($Q1455,'391'!$S:$AG,15,0),0)</f>
        <v>0</v>
      </c>
      <c r="X1455" s="1090">
        <f t="shared" si="850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2087"/>
      <c r="B1456" s="2079"/>
      <c r="C1456" s="574"/>
      <c r="D1456" s="881" t="s">
        <v>10</v>
      </c>
      <c r="E1456" s="882">
        <v>44924</v>
      </c>
      <c r="F1456" s="71">
        <f>$L$7-E1456</f>
        <v>1337</v>
      </c>
      <c r="G1456" s="64">
        <v>0</v>
      </c>
      <c r="H1456" s="64"/>
      <c r="I1456" s="64"/>
      <c r="J1456" s="1367"/>
      <c r="K1456" s="64">
        <f>IFERROR(SUMIF(INTAKE!$A:$A,$T1456,INTAKE!$P:$P),0)</f>
        <v>0</v>
      </c>
      <c r="L1456" s="1534">
        <f t="shared" si="855"/>
        <v>0</v>
      </c>
      <c r="M1456" s="102"/>
      <c r="N1456" s="103"/>
      <c r="O1456" s="102"/>
      <c r="P1456" s="739"/>
      <c r="Q1456" s="795"/>
      <c r="R1456" s="785">
        <f>IFERROR(VLOOKUP($Q1456,'391'!$S:$Z,8,0),"")</f>
        <v>0</v>
      </c>
      <c r="S1456" s="796"/>
      <c r="T1456" s="797" t="str">
        <f>$Q$1458&amp;C1456&amp;E1456</f>
        <v>Hemicell HT (usa)44924</v>
      </c>
      <c r="U1456" s="797"/>
      <c r="V1456" s="797"/>
      <c r="W1456" s="785">
        <f>IFERROR(VLOOKUP($Q1456,'391'!$S:$AG,15,0),0)</f>
        <v>0</v>
      </c>
      <c r="X1456" s="1090">
        <f t="shared" si="850"/>
        <v>0</v>
      </c>
      <c r="Y1456" s="785"/>
      <c r="Z1456" s="785"/>
      <c r="AA1456" s="797"/>
      <c r="AB1456" s="797"/>
      <c r="AC1456" s="551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88"/>
      <c r="B1457" s="2071"/>
      <c r="C1457" s="138" t="s">
        <v>76</v>
      </c>
      <c r="D1457" s="884" t="s">
        <v>10</v>
      </c>
      <c r="E1457" s="885">
        <v>45155</v>
      </c>
      <c r="F1457" s="293">
        <f>$L$7-E1457</f>
        <v>1106</v>
      </c>
      <c r="G1457" s="1214">
        <v>0</v>
      </c>
      <c r="H1457" s="37"/>
      <c r="I1457" s="37">
        <f>+K1456+K1455</f>
        <v>0</v>
      </c>
      <c r="J1457" s="1385">
        <f>usage!I185</f>
        <v>0</v>
      </c>
      <c r="K1457" s="64">
        <f>IFERROR(SUMIF(INTAKE!$A:$A,$T1457,INTAKE!$P:$P),0)</f>
        <v>0</v>
      </c>
      <c r="L1457" s="1534">
        <f t="shared" si="855"/>
        <v>0</v>
      </c>
      <c r="M1457" s="98"/>
      <c r="N1457" s="1473"/>
      <c r="O1457" s="98"/>
      <c r="P1457" s="759"/>
      <c r="Q1457" s="795"/>
      <c r="R1457" s="785">
        <f>IFERROR(VLOOKUP($Q1457,'391'!$S:$Z,8,0),"")</f>
        <v>0</v>
      </c>
      <c r="S1457" s="796"/>
      <c r="T1457" s="797" t="str">
        <f>$Q$1458&amp;C1457&amp;E1457</f>
        <v>Hemicell HT (usa)Feedmil45155</v>
      </c>
      <c r="U1457" s="797"/>
      <c r="V1457" s="797"/>
      <c r="W1457" s="785">
        <f>IFERROR(VLOOKUP($Q1457,'391'!$S:$AG,15,0),0)</f>
        <v>0</v>
      </c>
      <c r="X1457" s="1090">
        <f t="shared" si="850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184"/>
      <c r="B1458" s="184" t="s">
        <v>1335</v>
      </c>
      <c r="C1458" s="575"/>
      <c r="D1458" s="900"/>
      <c r="E1458" s="901"/>
      <c r="F1458" s="902"/>
      <c r="G1458" s="1297">
        <v>0</v>
      </c>
      <c r="H1458" s="1297">
        <f>+SUM(H1455:H1457)</f>
        <v>0</v>
      </c>
      <c r="I1458" s="1297">
        <f t="shared" ref="I1458:K1458" si="861">+SUM(I1455:I1457)</f>
        <v>0</v>
      </c>
      <c r="J1458" s="1297">
        <f t="shared" si="861"/>
        <v>0</v>
      </c>
      <c r="K1458" s="1297">
        <f t="shared" si="861"/>
        <v>0</v>
      </c>
      <c r="L1458" s="1534">
        <f t="shared" si="855"/>
        <v>0</v>
      </c>
      <c r="M1458" s="59" t="str">
        <f>IFERROR(R1458/$S$2,"")</f>
        <v/>
      </c>
      <c r="N1458" s="99">
        <f>IFERROR(L1458/M1458,0)</f>
        <v>0</v>
      </c>
      <c r="O1458" s="59">
        <f>IFERROR(SUMIF(ETM!$A:$A,$Q1458,ETM!$E:$E),"")</f>
        <v>0</v>
      </c>
      <c r="P1458" s="741">
        <f>IFERROR(L1458/O1458,0)</f>
        <v>0</v>
      </c>
      <c r="Q1458" s="1183" t="s">
        <v>1333</v>
      </c>
      <c r="R1458" s="785" t="str">
        <f>IFERROR(VLOOKUP($Q1458,'391'!$S:$Z,8,0),"")</f>
        <v/>
      </c>
      <c r="S1458" s="796"/>
      <c r="T1458" s="797"/>
      <c r="U1458" s="797"/>
      <c r="V1458" s="797"/>
      <c r="W1458" s="785">
        <f>IFERROR(VLOOKUP($Q1458,'391'!$S:$AG,15,0),0)</f>
        <v>0</v>
      </c>
      <c r="X1458" s="1090">
        <f t="shared" si="850"/>
        <v>0</v>
      </c>
      <c r="Y1458" s="785"/>
      <c r="Z1458" s="785"/>
      <c r="AA1458" s="797"/>
      <c r="AB1458" s="797"/>
      <c r="AC1458" s="683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86" t="str">
        <f>IF(L1462=0,"",MAX($A$16:A1454)+1)</f>
        <v/>
      </c>
      <c r="B1459" s="2078" t="s">
        <v>1215</v>
      </c>
      <c r="C1459" s="574"/>
      <c r="D1459" s="881" t="s">
        <v>10</v>
      </c>
      <c r="E1459" s="882">
        <v>44847</v>
      </c>
      <c r="F1459" s="71">
        <f>$L$7-E1459</f>
        <v>1414</v>
      </c>
      <c r="G1459" s="64">
        <v>0</v>
      </c>
      <c r="H1459" s="64"/>
      <c r="I1459" s="64"/>
      <c r="J1459" s="1367"/>
      <c r="K1459" s="64">
        <f>IFERROR(SUMIF(INTAKE!$A:$A,$T1459,INTAKE!$P:$P),0)</f>
        <v>0</v>
      </c>
      <c r="L1459" s="1534">
        <f t="shared" si="855"/>
        <v>0</v>
      </c>
      <c r="M1459" s="102"/>
      <c r="N1459" s="103"/>
      <c r="O1459" s="102"/>
      <c r="P1459" s="739"/>
      <c r="Q1459" s="795"/>
      <c r="R1459" s="785">
        <f>IFERROR(VLOOKUP($Q1459,'391'!$S:$Z,8,0),"")</f>
        <v>0</v>
      </c>
      <c r="S1459" s="796"/>
      <c r="T1459" s="797" t="str">
        <f>$Q$1462&amp;C1459&amp;E1459</f>
        <v>Mix oil powder (Italy)44847</v>
      </c>
      <c r="U1459" s="797"/>
      <c r="V1459" s="797"/>
      <c r="W1459" s="785">
        <f>IFERROR(VLOOKUP($Q1459,'391'!$S:$AG,15,0),0)</f>
        <v>0</v>
      </c>
      <c r="X1459" s="1090">
        <f t="shared" si="850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2087"/>
      <c r="B1460" s="2079"/>
      <c r="C1460" s="574"/>
      <c r="D1460" s="881" t="s">
        <v>10</v>
      </c>
      <c r="E1460" s="882">
        <v>44566</v>
      </c>
      <c r="F1460" s="71">
        <f>$L$7-E1460</f>
        <v>1695</v>
      </c>
      <c r="G1460" s="64">
        <v>0</v>
      </c>
      <c r="H1460" s="64"/>
      <c r="I1460" s="64"/>
      <c r="J1460" s="1367"/>
      <c r="K1460" s="64">
        <f>IFERROR(SUMIF(INTAKE!$A:$A,$T1460,INTAKE!$P:$P),0)</f>
        <v>0</v>
      </c>
      <c r="L1460" s="1534">
        <f t="shared" si="855"/>
        <v>0</v>
      </c>
      <c r="M1460" s="102"/>
      <c r="N1460" s="103"/>
      <c r="O1460" s="102"/>
      <c r="P1460" s="739"/>
      <c r="Q1460" s="795"/>
      <c r="R1460" s="785">
        <f>IFERROR(VLOOKUP($Q1460,'391'!$S:$Z,8,0),"")</f>
        <v>0</v>
      </c>
      <c r="S1460" s="796"/>
      <c r="T1460" s="797" t="str">
        <f>$Q$1462&amp;C1460&amp;E1460</f>
        <v>Mix oil powder (Italy)44566</v>
      </c>
      <c r="U1460" s="797"/>
      <c r="V1460" s="797"/>
      <c r="W1460" s="785">
        <f>IFERROR(VLOOKUP($Q1460,'391'!$S:$AG,15,0),0)</f>
        <v>0</v>
      </c>
      <c r="X1460" s="1090">
        <f t="shared" si="850"/>
        <v>0</v>
      </c>
      <c r="Y1460" s="785"/>
      <c r="Z1460" s="785"/>
      <c r="AA1460" s="797"/>
      <c r="AB1460" s="797"/>
      <c r="AC1460" s="551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88"/>
      <c r="B1461" s="2071"/>
      <c r="C1461" s="138" t="s">
        <v>76</v>
      </c>
      <c r="D1461" s="884" t="s">
        <v>10</v>
      </c>
      <c r="E1461" s="885">
        <v>44847</v>
      </c>
      <c r="F1461" s="293">
        <f>$L$7-E1461</f>
        <v>1414</v>
      </c>
      <c r="G1461" s="1214">
        <v>0</v>
      </c>
      <c r="H1461" s="37"/>
      <c r="I1461" s="37">
        <f>+K1460+K1459</f>
        <v>0</v>
      </c>
      <c r="J1461" s="1385">
        <f>usage!I182</f>
        <v>0</v>
      </c>
      <c r="K1461" s="64">
        <f>IFERROR(SUMIF(INTAKE!$A:$A,$T1461,INTAKE!$P:$P),0)</f>
        <v>0</v>
      </c>
      <c r="L1461" s="1534">
        <f t="shared" si="855"/>
        <v>0</v>
      </c>
      <c r="M1461" s="98"/>
      <c r="N1461" s="1473"/>
      <c r="O1461" s="98"/>
      <c r="P1461" s="759"/>
      <c r="Q1461" s="795"/>
      <c r="R1461" s="785">
        <f>IFERROR(VLOOKUP($Q1461,'391'!$S:$Z,8,0),"")</f>
        <v>0</v>
      </c>
      <c r="S1461" s="796"/>
      <c r="T1461" s="797" t="str">
        <f>$Q$1462&amp;C1461&amp;E1461</f>
        <v>Mix oil powder (Italy)Feedmil44847</v>
      </c>
      <c r="U1461" s="797"/>
      <c r="V1461" s="797"/>
      <c r="W1461" s="785">
        <f>IFERROR(VLOOKUP($Q1461,'391'!$S:$AG,15,0),0)</f>
        <v>0</v>
      </c>
      <c r="X1461" s="1090">
        <f t="shared" si="850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184"/>
      <c r="B1462" s="184" t="s">
        <v>1216</v>
      </c>
      <c r="C1462" s="575"/>
      <c r="D1462" s="900"/>
      <c r="E1462" s="901"/>
      <c r="F1462" s="902"/>
      <c r="G1462" s="1297">
        <v>0</v>
      </c>
      <c r="H1462" s="1297">
        <f>+SUM(H1459:H1461)</f>
        <v>0</v>
      </c>
      <c r="I1462" s="1297">
        <f t="shared" ref="I1462:K1462" si="862">+SUM(I1459:I1461)</f>
        <v>0</v>
      </c>
      <c r="J1462" s="1297">
        <f t="shared" si="862"/>
        <v>0</v>
      </c>
      <c r="K1462" s="1297">
        <f t="shared" si="862"/>
        <v>0</v>
      </c>
      <c r="L1462" s="1534">
        <f t="shared" si="855"/>
        <v>0</v>
      </c>
      <c r="M1462" s="59" t="str">
        <f>IFERROR(R1462/$S$2,"")</f>
        <v/>
      </c>
      <c r="N1462" s="99">
        <f>IFERROR(L1462/M1462,0)</f>
        <v>0</v>
      </c>
      <c r="O1462" s="59">
        <f>IFERROR(SUMIF(ETM!$A:$A,$Q1462,ETM!$E:$E),"")</f>
        <v>0</v>
      </c>
      <c r="P1462" s="741">
        <f>IFERROR(L1462/O1462,0)</f>
        <v>0</v>
      </c>
      <c r="Q1462" s="809" t="s">
        <v>1219</v>
      </c>
      <c r="R1462" s="785" t="str">
        <f>IFERROR(VLOOKUP($Q1462,'391'!$S:$Z,8,0),"")</f>
        <v/>
      </c>
      <c r="S1462" s="796"/>
      <c r="T1462" s="797"/>
      <c r="U1462" s="797"/>
      <c r="V1462" s="797"/>
      <c r="W1462" s="785">
        <f>IFERROR(VLOOKUP($Q1462,'391'!$S:$AG,15,0),0)</f>
        <v>0</v>
      </c>
      <c r="X1462" s="1090">
        <f t="shared" si="850"/>
        <v>0</v>
      </c>
      <c r="Y1462" s="785"/>
      <c r="Z1462" s="785"/>
      <c r="AA1462" s="797"/>
      <c r="AB1462" s="797"/>
      <c r="AC1462" s="683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86" t="str">
        <f>IF(L1466=0,"",MAX($A$16:A1462)+1)</f>
        <v/>
      </c>
      <c r="B1463" s="2078" t="s">
        <v>1169</v>
      </c>
      <c r="C1463" s="574" t="s">
        <v>1211</v>
      </c>
      <c r="D1463" s="881" t="s">
        <v>10</v>
      </c>
      <c r="E1463" s="882">
        <v>44729</v>
      </c>
      <c r="F1463" s="71">
        <f>$L$7-E1463</f>
        <v>1532</v>
      </c>
      <c r="G1463" s="64">
        <v>0</v>
      </c>
      <c r="H1463" s="64"/>
      <c r="I1463" s="64"/>
      <c r="J1463" s="1367"/>
      <c r="K1463" s="64">
        <f>IFERROR(SUMIF(INTAKE!$A:$A,$T1463,INTAKE!$P:$P),0)</f>
        <v>0</v>
      </c>
      <c r="L1463" s="1534">
        <f t="shared" si="855"/>
        <v>0</v>
      </c>
      <c r="M1463" s="102"/>
      <c r="N1463" s="103"/>
      <c r="O1463" s="102"/>
      <c r="P1463" s="739"/>
      <c r="Q1463" s="795"/>
      <c r="R1463" s="785">
        <f>IFERROR(VLOOKUP($Q1463,'391'!$S:$Z,8,0),"")</f>
        <v>0</v>
      </c>
      <c r="S1463" s="796"/>
      <c r="T1463" s="797" t="str">
        <f>$Q$1466&amp;C1463&amp;E1463</f>
        <v>ID PHYT CAPCIN P2T 02.50 (Switzerland)D144729</v>
      </c>
      <c r="U1463" s="797"/>
      <c r="V1463" s="797"/>
      <c r="W1463" s="785">
        <f>IFERROR(VLOOKUP($Q1463,'391'!$S:$AG,15,0),0)</f>
        <v>0</v>
      </c>
      <c r="X1463" s="1090">
        <f t="shared" si="850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2087"/>
      <c r="B1464" s="2079"/>
      <c r="C1464" s="574"/>
      <c r="D1464" s="881" t="s">
        <v>10</v>
      </c>
      <c r="E1464" s="882">
        <v>44729</v>
      </c>
      <c r="F1464" s="71">
        <f>$L$7-E1464</f>
        <v>1532</v>
      </c>
      <c r="G1464" s="64">
        <v>0</v>
      </c>
      <c r="H1464" s="64"/>
      <c r="I1464" s="64"/>
      <c r="J1464" s="1367"/>
      <c r="K1464" s="64">
        <f>IFERROR(SUMIF(INTAKE!$A:$A,$T1464,INTAKE!$P:$P),0)</f>
        <v>0</v>
      </c>
      <c r="L1464" s="1534">
        <f t="shared" si="855"/>
        <v>0</v>
      </c>
      <c r="M1464" s="102"/>
      <c r="N1464" s="103"/>
      <c r="O1464" s="102"/>
      <c r="P1464" s="739"/>
      <c r="Q1464" s="795"/>
      <c r="R1464" s="785">
        <f>IFERROR(VLOOKUP($Q1464,'391'!$S:$Z,8,0),"")</f>
        <v>0</v>
      </c>
      <c r="S1464" s="796"/>
      <c r="T1464" s="797" t="str">
        <f>$Q$1466&amp;C1464&amp;E1464</f>
        <v>ID PHYT CAPCIN P2T 02.50 (Switzerland)44729</v>
      </c>
      <c r="U1464" s="797"/>
      <c r="V1464" s="797"/>
      <c r="W1464" s="785">
        <f>IFERROR(VLOOKUP($Q1464,'391'!$S:$AG,15,0),0)</f>
        <v>0</v>
      </c>
      <c r="X1464" s="1090">
        <f t="shared" si="850"/>
        <v>0</v>
      </c>
      <c r="Y1464" s="785"/>
      <c r="Z1464" s="785"/>
      <c r="AA1464" s="797"/>
      <c r="AB1464" s="797"/>
      <c r="AC1464" s="551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88"/>
      <c r="B1465" s="2071"/>
      <c r="C1465" s="138" t="s">
        <v>76</v>
      </c>
      <c r="D1465" s="884" t="s">
        <v>10</v>
      </c>
      <c r="E1465" s="885">
        <v>44729</v>
      </c>
      <c r="F1465" s="293">
        <f>$L$7-E1465</f>
        <v>1532</v>
      </c>
      <c r="G1465" s="1214">
        <v>0</v>
      </c>
      <c r="H1465" s="37"/>
      <c r="I1465" s="37">
        <f>+K1464+K1463</f>
        <v>0</v>
      </c>
      <c r="J1465" s="1385">
        <f>usage!I175</f>
        <v>0</v>
      </c>
      <c r="K1465" s="64">
        <f>IFERROR(SUMIF(INTAKE!$A:$A,$T1465,INTAKE!$P:$P),0)</f>
        <v>0</v>
      </c>
      <c r="L1465" s="1534">
        <f t="shared" si="855"/>
        <v>0</v>
      </c>
      <c r="M1465" s="98"/>
      <c r="N1465" s="1473"/>
      <c r="O1465" s="98"/>
      <c r="P1465" s="759"/>
      <c r="Q1465" s="795"/>
      <c r="R1465" s="785">
        <f>IFERROR(VLOOKUP($Q1465,'391'!$S:$Z,8,0),"")</f>
        <v>0</v>
      </c>
      <c r="S1465" s="796"/>
      <c r="T1465" s="797" t="str">
        <f>$Q$1466&amp;C1465&amp;E1465</f>
        <v>ID PHYT CAPCIN P2T 02.50 (Switzerland)Feedmil44729</v>
      </c>
      <c r="U1465" s="797"/>
      <c r="V1465" s="797"/>
      <c r="W1465" s="785">
        <f>IFERROR(VLOOKUP($Q1465,'391'!$S:$AG,15,0),0)</f>
        <v>0</v>
      </c>
      <c r="X1465" s="1090">
        <f t="shared" si="850"/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184"/>
      <c r="B1466" s="184" t="s">
        <v>1170</v>
      </c>
      <c r="C1466" s="575"/>
      <c r="D1466" s="900"/>
      <c r="E1466" s="901"/>
      <c r="F1466" s="902"/>
      <c r="G1466" s="1297">
        <v>0</v>
      </c>
      <c r="H1466" s="1297">
        <f>+SUM(H1463:H1465)</f>
        <v>0</v>
      </c>
      <c r="I1466" s="1297">
        <f t="shared" ref="I1466:K1466" si="863">+SUM(I1463:I1465)</f>
        <v>0</v>
      </c>
      <c r="J1466" s="1297">
        <f t="shared" si="863"/>
        <v>0</v>
      </c>
      <c r="K1466" s="1297">
        <f t="shared" si="863"/>
        <v>0</v>
      </c>
      <c r="L1466" s="1534">
        <f t="shared" si="855"/>
        <v>0</v>
      </c>
      <c r="M1466" s="59" t="str">
        <f>IFERROR(R1466/$S$2,"")</f>
        <v/>
      </c>
      <c r="N1466" s="99">
        <f>IFERROR(L1466/M1466,0)</f>
        <v>0</v>
      </c>
      <c r="O1466" s="59">
        <f>IFERROR(SUMIF(ETM!$A:$A,$Q1466,ETM!$E:$E),"")</f>
        <v>0</v>
      </c>
      <c r="P1466" s="741">
        <f>IFERROR(L1466/O1466,0)</f>
        <v>0</v>
      </c>
      <c r="Q1466" s="809" t="s">
        <v>1169</v>
      </c>
      <c r="R1466" s="785" t="str">
        <f>IFERROR(VLOOKUP($Q1466,'391'!$S:$Z,8,0),"")</f>
        <v/>
      </c>
      <c r="S1466" s="796"/>
      <c r="T1466" s="797"/>
      <c r="U1466" s="797"/>
      <c r="V1466" s="797"/>
      <c r="W1466" s="785">
        <f>IFERROR(VLOOKUP($Q1466,'391'!$S:$AG,15,0),0)</f>
        <v>0</v>
      </c>
      <c r="X1466" s="1090">
        <f t="shared" si="850"/>
        <v>0</v>
      </c>
      <c r="Y1466" s="785"/>
      <c r="Z1466" s="785"/>
      <c r="AA1466" s="797"/>
      <c r="AB1466" s="797"/>
      <c r="AC1466" s="683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86" t="str">
        <f>IF(L1471=0,"",MAX($A$16:A1466)+1)</f>
        <v/>
      </c>
      <c r="B1467" s="2078" t="s">
        <v>1607</v>
      </c>
      <c r="C1467" s="574" t="s">
        <v>251</v>
      </c>
      <c r="D1467" s="881" t="s">
        <v>10</v>
      </c>
      <c r="E1467" s="882">
        <v>45716</v>
      </c>
      <c r="F1467" s="71">
        <f>$L$7-E1467</f>
        <v>545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ref="L1467:L1469" si="864">+G1467+H1467+I1467-J1467-K1467</f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>$Q$1471&amp;C1467&amp;E1467</f>
        <v>Valosin FG50 (England)Z7.145716</v>
      </c>
      <c r="U1467" s="797"/>
      <c r="V1467" s="797"/>
      <c r="W1467" s="785">
        <f>IFERROR(VLOOKUP($Q1467,'391'!$S:$AG,15,0),0)</f>
        <v>0</v>
      </c>
      <c r="X1467" s="1090">
        <f t="shared" ref="X1467:X1471" si="865">G1467-W1467</f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124"/>
      <c r="B1468" s="2085"/>
      <c r="C1468" s="574"/>
      <c r="D1468" s="881" t="s">
        <v>10</v>
      </c>
      <c r="E1468" s="882">
        <v>45716</v>
      </c>
      <c r="F1468" s="71">
        <f>$L$7-E1468</f>
        <v>545</v>
      </c>
      <c r="G1468" s="64">
        <v>0</v>
      </c>
      <c r="H1468" s="64"/>
      <c r="I1468" s="64"/>
      <c r="J1468" s="1367"/>
      <c r="K1468" s="64">
        <f>IFERROR(SUMIF(INTAKE!$A:$A,$T1468,INTAKE!$P:$P),0)</f>
        <v>0</v>
      </c>
      <c r="L1468" s="1703">
        <f t="shared" ref="L1468" si="866">+G1468+H1468+I1468-J1468-K1468</f>
        <v>0</v>
      </c>
      <c r="M1468" s="102"/>
      <c r="N1468" s="103"/>
      <c r="O1468" s="102"/>
      <c r="P1468" s="739"/>
      <c r="Q1468" s="795"/>
      <c r="R1468" s="785">
        <f>IFERROR(VLOOKUP($Q1468,'391'!$S:$Z,8,0),"")</f>
        <v>0</v>
      </c>
      <c r="S1468" s="796"/>
      <c r="T1468" s="797" t="str">
        <f t="shared" ref="T1468" si="867">$Q$1471&amp;C1468&amp;E1468</f>
        <v>Valosin FG50 (England)45716</v>
      </c>
      <c r="U1468" s="797"/>
      <c r="V1468" s="797"/>
      <c r="W1468" s="785">
        <f>IFERROR(VLOOKUP($Q1468,'391'!$S:$AG,15,0),0)</f>
        <v>0</v>
      </c>
      <c r="X1468" s="1090">
        <f t="shared" ref="X1468" si="868">G1468-W1468</f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2087"/>
      <c r="B1469" s="2079"/>
      <c r="C1469" s="574"/>
      <c r="D1469" s="881" t="s">
        <v>10</v>
      </c>
      <c r="E1469" s="882">
        <v>45716</v>
      </c>
      <c r="F1469" s="71">
        <f>$L$7-E1469</f>
        <v>545</v>
      </c>
      <c r="G1469" s="64">
        <v>0</v>
      </c>
      <c r="H1469" s="64"/>
      <c r="I1469" s="64"/>
      <c r="J1469" s="1367"/>
      <c r="K1469" s="64">
        <f>IFERROR(SUMIF(INTAKE!$A:$A,$T1469,INTAKE!$P:$P),0)</f>
        <v>0</v>
      </c>
      <c r="L1469" s="1703">
        <f t="shared" si="864"/>
        <v>0</v>
      </c>
      <c r="M1469" s="102"/>
      <c r="N1469" s="103"/>
      <c r="O1469" s="102"/>
      <c r="P1469" s="739"/>
      <c r="Q1469" s="795"/>
      <c r="R1469" s="785">
        <f>IFERROR(VLOOKUP($Q1469,'391'!$S:$Z,8,0),"")</f>
        <v>0</v>
      </c>
      <c r="S1469" s="796"/>
      <c r="T1469" s="797" t="str">
        <f t="shared" ref="T1469:T1470" si="869">$Q$1471&amp;C1469&amp;E1469</f>
        <v>Valosin FG50 (England)45716</v>
      </c>
      <c r="U1469" s="797"/>
      <c r="V1469" s="797"/>
      <c r="W1469" s="785">
        <f>IFERROR(VLOOKUP($Q1469,'391'!$S:$AG,15,0),0)</f>
        <v>0</v>
      </c>
      <c r="X1469" s="1090">
        <f t="shared" si="865"/>
        <v>0</v>
      </c>
      <c r="Y1469" s="785"/>
      <c r="Z1469" s="785"/>
      <c r="AA1469" s="797"/>
      <c r="AB1469" s="797"/>
      <c r="AC1469" s="551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hidden="1" customHeight="1" x14ac:dyDescent="0.25">
      <c r="A1470" s="2088"/>
      <c r="B1470" s="2071"/>
      <c r="C1470" s="138" t="s">
        <v>76</v>
      </c>
      <c r="D1470" s="884" t="s">
        <v>10</v>
      </c>
      <c r="E1470" s="885">
        <v>45700</v>
      </c>
      <c r="F1470" s="293">
        <f>$L$7-E1470</f>
        <v>561</v>
      </c>
      <c r="G1470" s="1214">
        <v>0</v>
      </c>
      <c r="H1470" s="37"/>
      <c r="I1470" s="37">
        <f>+K1469+K1467+K1468</f>
        <v>0</v>
      </c>
      <c r="J1470" s="1385">
        <f>usage!I189</f>
        <v>0</v>
      </c>
      <c r="K1470" s="64">
        <f>IFERROR(SUMIF(INTAKE!$A:$A,$T1470,INTAKE!$P:$P),0)</f>
        <v>0</v>
      </c>
      <c r="L1470" s="1534">
        <f>+G1470+H1470+I1470-J1470-K1470</f>
        <v>0</v>
      </c>
      <c r="M1470" s="98"/>
      <c r="N1470" s="1473"/>
      <c r="O1470" s="98"/>
      <c r="P1470" s="759"/>
      <c r="Q1470" s="795"/>
      <c r="R1470" s="785">
        <f>IFERROR(VLOOKUP($Q1470,'391'!$S:$Z,8,0),"")</f>
        <v>0</v>
      </c>
      <c r="S1470" s="796"/>
      <c r="T1470" s="797" t="str">
        <f t="shared" si="869"/>
        <v>Valosin FG50 (England)Feedmil45700</v>
      </c>
      <c r="U1470" s="797"/>
      <c r="V1470" s="797"/>
      <c r="W1470" s="785">
        <f>IFERROR(VLOOKUP($Q1470,'391'!$S:$AG,15,0),0)</f>
        <v>0</v>
      </c>
      <c r="X1470" s="1090">
        <f t="shared" si="865"/>
        <v>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hidden="1" customHeight="1" x14ac:dyDescent="0.25">
      <c r="A1471" s="184"/>
      <c r="B1471" s="184" t="s">
        <v>1518</v>
      </c>
      <c r="C1471" s="575"/>
      <c r="D1471" s="900"/>
      <c r="E1471" s="901"/>
      <c r="F1471" s="902"/>
      <c r="G1471" s="1297">
        <v>0</v>
      </c>
      <c r="H1471" s="1297">
        <f>+SUM(H1467:H1470)</f>
        <v>0</v>
      </c>
      <c r="I1471" s="1297">
        <f t="shared" ref="I1471:L1471" si="870">+SUM(I1467:I1470)</f>
        <v>0</v>
      </c>
      <c r="J1471" s="1297">
        <f t="shared" si="870"/>
        <v>0</v>
      </c>
      <c r="K1471" s="1297">
        <f t="shared" si="870"/>
        <v>0</v>
      </c>
      <c r="L1471" s="1297">
        <f t="shared" si="870"/>
        <v>0</v>
      </c>
      <c r="M1471" s="59" t="str">
        <f>IFERROR(R1471/$S$2,"")</f>
        <v/>
      </c>
      <c r="N1471" s="99">
        <f>IFERROR(L1471/M1471,0)</f>
        <v>0</v>
      </c>
      <c r="O1471" s="59">
        <f>IFERROR(SUMIF(ETM!$A:$A,$Q1471,ETM!$E:$E),"")</f>
        <v>0</v>
      </c>
      <c r="P1471" s="741">
        <f>IFERROR(L1471/O1471,0)</f>
        <v>0</v>
      </c>
      <c r="Q1471" s="809" t="s">
        <v>1517</v>
      </c>
      <c r="R1471" s="785" t="str">
        <f>IFERROR(VLOOKUP($Q1471,'391'!$S:$Z,8,0),"")</f>
        <v/>
      </c>
      <c r="S1471" s="796"/>
      <c r="T1471" s="797"/>
      <c r="U1471" s="797"/>
      <c r="V1471" s="797"/>
      <c r="W1471" s="785">
        <f>IFERROR(VLOOKUP($Q1471,'391'!$S:$AG,15,0),0)</f>
        <v>0</v>
      </c>
      <c r="X1471" s="1090">
        <f t="shared" si="865"/>
        <v>0</v>
      </c>
      <c r="Y1471" s="785"/>
      <c r="Z1471" s="785"/>
      <c r="AA1471" s="797"/>
      <c r="AB1471" s="797"/>
      <c r="AC1471" s="683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customHeight="1" x14ac:dyDescent="0.25">
      <c r="A1472" s="2086">
        <f>IF(L1477=0,"",MAX($A$16:A1471)+1)</f>
        <v>97</v>
      </c>
      <c r="B1472" s="2078" t="s">
        <v>1520</v>
      </c>
      <c r="C1472" s="1742" t="s">
        <v>2110</v>
      </c>
      <c r="D1472" s="881" t="s">
        <v>10</v>
      </c>
      <c r="E1472" s="882">
        <v>46220</v>
      </c>
      <c r="F1472" s="71">
        <f>$L$7-E1472</f>
        <v>41</v>
      </c>
      <c r="G1472" s="64">
        <v>125</v>
      </c>
      <c r="H1472" s="64"/>
      <c r="I1472" s="64"/>
      <c r="J1472" s="1367"/>
      <c r="K1472" s="64">
        <f>IFERROR(SUMIF(INTAKE!$A:$A,$T1472,INTAKE!$P:$P),0)</f>
        <v>0</v>
      </c>
      <c r="L1472" s="1703">
        <f t="shared" ref="L1472:L1474" si="871">+G1472+H1472+I1472-J1472-K1472</f>
        <v>125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$Q$1477&amp;C1472&amp;E1472</f>
        <v>CIBENZA DP100 (USA)D246220</v>
      </c>
      <c r="U1472" s="797"/>
      <c r="V1472" s="797"/>
      <c r="W1472" s="785">
        <f>IFERROR(VLOOKUP($Q1472,'391'!$S:$AG,15,0),0)</f>
        <v>0</v>
      </c>
      <c r="X1472" s="1090">
        <f t="shared" ref="X1472:X1477" si="872">G1472-W1472</f>
        <v>125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customHeight="1" x14ac:dyDescent="0.25">
      <c r="A1473" s="2124"/>
      <c r="B1473" s="2085"/>
      <c r="C1473" s="1742" t="s">
        <v>2110</v>
      </c>
      <c r="D1473" s="881" t="s">
        <v>10</v>
      </c>
      <c r="E1473" s="882">
        <v>46241</v>
      </c>
      <c r="F1473" s="71">
        <f>$L$7-E1473</f>
        <v>20</v>
      </c>
      <c r="G1473" s="64">
        <v>500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73">+G1473+H1473+I1473-J1473-K1473</f>
        <v>500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 t="shared" ref="T1473" si="874">$Q$1477&amp;C1473&amp;E1473</f>
        <v>CIBENZA DP100 (USA)D246241</v>
      </c>
      <c r="U1473" s="797"/>
      <c r="V1473" s="797"/>
      <c r="W1473" s="785">
        <f>IFERROR(VLOOKUP($Q1473,'391'!$S:$AG,15,0),0)</f>
        <v>0</v>
      </c>
      <c r="X1473" s="1090">
        <f t="shared" ref="X1473" si="875">G1473-W1473</f>
        <v>500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hidden="1" customHeight="1" x14ac:dyDescent="0.25">
      <c r="A1474" s="2087"/>
      <c r="B1474" s="2079"/>
      <c r="C1474" s="1742"/>
      <c r="D1474" s="881" t="s">
        <v>10</v>
      </c>
      <c r="E1474" s="882">
        <v>46134</v>
      </c>
      <c r="F1474" s="71">
        <f>$L$7-E1474</f>
        <v>127</v>
      </c>
      <c r="G1474" s="64">
        <v>0</v>
      </c>
      <c r="H1474" s="64"/>
      <c r="I1474" s="64"/>
      <c r="J1474" s="1367"/>
      <c r="K1474" s="64">
        <f>IFERROR(SUMIF(INTAKE!$A:$A,$T1474,INTAKE!$P:$P),0)</f>
        <v>0</v>
      </c>
      <c r="L1474" s="1703">
        <f t="shared" si="871"/>
        <v>0</v>
      </c>
      <c r="M1474" s="102"/>
      <c r="N1474" s="103"/>
      <c r="O1474" s="102"/>
      <c r="P1474" s="739"/>
      <c r="Q1474" s="795"/>
      <c r="R1474" s="785">
        <f>IFERROR(VLOOKUP($Q1474,'391'!$S:$Z,8,0),"")</f>
        <v>0</v>
      </c>
      <c r="S1474" s="796"/>
      <c r="T1474" s="797" t="str">
        <f>$Q$1477&amp;C1474&amp;E1474</f>
        <v>CIBENZA DP100 (USA)46134</v>
      </c>
      <c r="U1474" s="797"/>
      <c r="V1474" s="797"/>
      <c r="W1474" s="785">
        <f>IFERROR(VLOOKUP($Q1474,'391'!$S:$AG,15,0),0)</f>
        <v>0</v>
      </c>
      <c r="X1474" s="1090">
        <f t="shared" si="872"/>
        <v>0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hidden="1" customHeight="1" x14ac:dyDescent="0.25">
      <c r="A1475" s="2124"/>
      <c r="B1475" s="2085"/>
      <c r="C1475" s="1742"/>
      <c r="D1475" s="881" t="s">
        <v>10</v>
      </c>
      <c r="E1475" s="882">
        <v>46064</v>
      </c>
      <c r="F1475" s="71">
        <f>$L$7-E1475</f>
        <v>197</v>
      </c>
      <c r="G1475" s="64">
        <v>0</v>
      </c>
      <c r="H1475" s="64"/>
      <c r="I1475" s="64"/>
      <c r="J1475" s="1367"/>
      <c r="K1475" s="64">
        <f>IFERROR(SUMIF(INTAKE!$A:$A,$T1475,INTAKE!$P:$P),0)</f>
        <v>0</v>
      </c>
      <c r="L1475" s="1703">
        <f t="shared" ref="L1475" si="876">+G1475+H1475+I1475-J1475-K1475</f>
        <v>0</v>
      </c>
      <c r="M1475" s="102"/>
      <c r="N1475" s="103"/>
      <c r="O1475" s="102"/>
      <c r="P1475" s="739"/>
      <c r="Q1475" s="795"/>
      <c r="R1475" s="785">
        <f>IFERROR(VLOOKUP($Q1475,'391'!$S:$Z,8,0),"")</f>
        <v>0</v>
      </c>
      <c r="S1475" s="796"/>
      <c r="T1475" s="797" t="str">
        <f>$Q$1477&amp;C1475&amp;E1475</f>
        <v>CIBENZA DP100 (USA)46064</v>
      </c>
      <c r="U1475" s="797"/>
      <c r="V1475" s="797"/>
      <c r="W1475" s="785">
        <f>IFERROR(VLOOKUP($Q1475,'391'!$S:$AG,15,0),0)</f>
        <v>0</v>
      </c>
      <c r="X1475" s="1090">
        <f t="shared" ref="X1475" si="877">G1475-W1475</f>
        <v>0</v>
      </c>
      <c r="Y1475" s="785"/>
      <c r="Z1475" s="785"/>
      <c r="AA1475" s="797"/>
      <c r="AB1475" s="797"/>
      <c r="AC1475" s="551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customHeight="1" x14ac:dyDescent="0.25">
      <c r="A1476" s="2088"/>
      <c r="B1476" s="2071"/>
      <c r="C1476" s="138" t="s">
        <v>76</v>
      </c>
      <c r="D1476" s="884" t="s">
        <v>10</v>
      </c>
      <c r="E1476" s="885">
        <v>46220</v>
      </c>
      <c r="F1476" s="293">
        <f>$L$7-E1476</f>
        <v>41</v>
      </c>
      <c r="G1476" s="1214">
        <v>91.709999999999951</v>
      </c>
      <c r="H1476" s="37"/>
      <c r="I1476" s="37">
        <f>SUM(K1472:K1475)</f>
        <v>0</v>
      </c>
      <c r="J1476" s="1385">
        <f>usage!I193</f>
        <v>0</v>
      </c>
      <c r="K1476" s="64">
        <f>IFERROR(SUMIF(INTAKE!$A:$A,$T1476,INTAKE!$P:$P),0)</f>
        <v>0</v>
      </c>
      <c r="L1476" s="1534">
        <f>+G1476+H1476+I1476-J1476-K1476</f>
        <v>91.709999999999951</v>
      </c>
      <c r="M1476" s="98"/>
      <c r="N1476" s="1473"/>
      <c r="O1476" s="98"/>
      <c r="P1476" s="759"/>
      <c r="Q1476" s="795"/>
      <c r="R1476" s="785">
        <f>IFERROR(VLOOKUP($Q1476,'391'!$S:$Z,8,0),"")</f>
        <v>0</v>
      </c>
      <c r="S1476" s="796"/>
      <c r="T1476" s="797" t="str">
        <f>$Q$1477&amp;C1476&amp;E1476</f>
        <v>CIBENZA DP100 (USA)Feedmil46220</v>
      </c>
      <c r="U1476" s="797"/>
      <c r="V1476" s="797"/>
      <c r="W1476" s="785">
        <f>IFERROR(VLOOKUP($Q1476,'391'!$S:$AG,15,0),0)</f>
        <v>0</v>
      </c>
      <c r="X1476" s="1090">
        <f t="shared" si="872"/>
        <v>91.709999999999951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customHeight="1" x14ac:dyDescent="0.25">
      <c r="A1477" s="184"/>
      <c r="B1477" s="184" t="s">
        <v>1521</v>
      </c>
      <c r="C1477" s="575"/>
      <c r="D1477" s="900"/>
      <c r="E1477" s="901"/>
      <c r="F1477" s="902"/>
      <c r="G1477" s="1297">
        <v>716.70999999999992</v>
      </c>
      <c r="H1477" s="1297">
        <f>+SUM(H1472:H1476)</f>
        <v>0</v>
      </c>
      <c r="I1477" s="1297">
        <f t="shared" ref="I1477:L1477" si="878">+SUM(I1472:I1476)</f>
        <v>0</v>
      </c>
      <c r="J1477" s="1297">
        <f t="shared" si="878"/>
        <v>0</v>
      </c>
      <c r="K1477" s="1297">
        <f t="shared" si="878"/>
        <v>0</v>
      </c>
      <c r="L1477" s="1297">
        <f t="shared" si="878"/>
        <v>716.70999999999992</v>
      </c>
      <c r="M1477" s="59">
        <f>IFERROR(R1477/$S$2,"")</f>
        <v>32.545000000000002</v>
      </c>
      <c r="N1477" s="99">
        <f>IFERROR(L1477/M1477,0)</f>
        <v>22.022123214011366</v>
      </c>
      <c r="O1477" s="59">
        <f>IFERROR(SUMIF(ETM!$A:$A,$Q1477,ETM!$E:$E),"")</f>
        <v>31</v>
      </c>
      <c r="P1477" s="741">
        <f>IFERROR(L1477/O1477,0)</f>
        <v>23.119677419354836</v>
      </c>
      <c r="Q1477" s="809" t="s">
        <v>1522</v>
      </c>
      <c r="R1477" s="785">
        <f>IFERROR(VLOOKUP($Q1477,'391'!$S:$Z,8,0),"")</f>
        <v>195.27</v>
      </c>
      <c r="S1477" s="796"/>
      <c r="T1477" s="797"/>
      <c r="U1477" s="797"/>
      <c r="V1477" s="797"/>
      <c r="W1477" s="785">
        <f>IFERROR(VLOOKUP($Q1477,'391'!$S:$AG,15,0),0)</f>
        <v>762.39</v>
      </c>
      <c r="X1477" s="1090">
        <f t="shared" si="872"/>
        <v>-45.680000000000064</v>
      </c>
      <c r="Y1477" s="785"/>
      <c r="Z1477" s="785"/>
      <c r="AA1477" s="797"/>
      <c r="AB1477" s="797"/>
      <c r="AC1477" s="683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86" t="str">
        <f>IF(L1482=0,"",MAX($A$16:A1477)+1)</f>
        <v/>
      </c>
      <c r="B1478" s="2078" t="s">
        <v>1533</v>
      </c>
      <c r="C1478" s="1742" t="s">
        <v>1313</v>
      </c>
      <c r="D1478" s="881" t="s">
        <v>10</v>
      </c>
      <c r="E1478" s="882">
        <v>45758</v>
      </c>
      <c r="F1478" s="71">
        <f>$L$7-E1478</f>
        <v>503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ref="L1478:L1481" si="879">+G1478+H1478+I1478-J1478-K1478</f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>$Q$1482&amp;C1478&amp;E1478</f>
        <v>Alterion Ne20 (Singapore)E245758</v>
      </c>
      <c r="U1478" s="797"/>
      <c r="V1478" s="797"/>
      <c r="W1478" s="785">
        <f>IFERROR(VLOOKUP($Q1478,'391'!$S:$AG,15,0),0)</f>
        <v>0</v>
      </c>
      <c r="X1478" s="1090">
        <f t="shared" ref="X1478:X1482" si="880">G1478-W1478</f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124"/>
      <c r="B1479" s="2085"/>
      <c r="C1479" s="1742"/>
      <c r="D1479" s="881" t="s">
        <v>10</v>
      </c>
      <c r="E1479" s="882">
        <v>45758</v>
      </c>
      <c r="F1479" s="71">
        <f>$L$7-E1479</f>
        <v>503</v>
      </c>
      <c r="G1479" s="64">
        <v>0</v>
      </c>
      <c r="H1479" s="64"/>
      <c r="I1479" s="64"/>
      <c r="J1479" s="1367"/>
      <c r="K1479" s="64">
        <f>IFERROR(SUMIF(INTAKE!$A:$A,$T1479,INTAKE!$P:$P),0)</f>
        <v>0</v>
      </c>
      <c r="L1479" s="1703">
        <f t="shared" ref="L1479" si="881">+G1479+H1479+I1479-J1479-K1479</f>
        <v>0</v>
      </c>
      <c r="M1479" s="102"/>
      <c r="N1479" s="103"/>
      <c r="O1479" s="102"/>
      <c r="P1479" s="739"/>
      <c r="Q1479" s="795"/>
      <c r="R1479" s="785">
        <f>IFERROR(VLOOKUP($Q1479,'391'!$S:$Z,8,0),"")</f>
        <v>0</v>
      </c>
      <c r="S1479" s="796"/>
      <c r="T1479" s="797" t="str">
        <f t="shared" ref="T1479" si="882">$Q$1482&amp;C1479&amp;E1479</f>
        <v>Alterion Ne20 (Singapore)45758</v>
      </c>
      <c r="U1479" s="797"/>
      <c r="V1479" s="797"/>
      <c r="W1479" s="785">
        <f>IFERROR(VLOOKUP($Q1479,'391'!$S:$AG,15,0),0)</f>
        <v>0</v>
      </c>
      <c r="X1479" s="1090">
        <f t="shared" ref="X1479" si="883">G1479-W1479</f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2087"/>
      <c r="B1480" s="2079"/>
      <c r="C1480" s="1742"/>
      <c r="D1480" s="881" t="s">
        <v>10</v>
      </c>
      <c r="E1480" s="882">
        <v>45758</v>
      </c>
      <c r="F1480" s="71">
        <f>$L$7-E1480</f>
        <v>503</v>
      </c>
      <c r="G1480" s="64">
        <v>0</v>
      </c>
      <c r="H1480" s="64"/>
      <c r="I1480" s="64"/>
      <c r="J1480" s="1367"/>
      <c r="K1480" s="64">
        <f>IFERROR(SUMIF(INTAKE!$A:$A,$T1480,INTAKE!$P:$P),0)</f>
        <v>0</v>
      </c>
      <c r="L1480" s="1703">
        <f t="shared" si="879"/>
        <v>0</v>
      </c>
      <c r="M1480" s="102"/>
      <c r="N1480" s="103"/>
      <c r="O1480" s="102"/>
      <c r="P1480" s="739"/>
      <c r="Q1480" s="795"/>
      <c r="R1480" s="785">
        <f>IFERROR(VLOOKUP($Q1480,'391'!$S:$Z,8,0),"")</f>
        <v>0</v>
      </c>
      <c r="S1480" s="796"/>
      <c r="T1480" s="797" t="str">
        <f t="shared" ref="T1480:T1481" si="884">$Q$1482&amp;C1480&amp;E1480</f>
        <v>Alterion Ne20 (Singapore)45758</v>
      </c>
      <c r="U1480" s="797"/>
      <c r="V1480" s="797"/>
      <c r="W1480" s="785">
        <f>IFERROR(VLOOKUP($Q1480,'391'!$S:$AG,15,0),0)</f>
        <v>0</v>
      </c>
      <c r="X1480" s="1090">
        <f t="shared" si="880"/>
        <v>0</v>
      </c>
      <c r="Y1480" s="785"/>
      <c r="Z1480" s="785"/>
      <c r="AA1480" s="797"/>
      <c r="AB1480" s="797"/>
      <c r="AC1480" s="551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88"/>
      <c r="B1481" s="2071"/>
      <c r="C1481" s="138" t="s">
        <v>76</v>
      </c>
      <c r="D1481" s="884" t="s">
        <v>10</v>
      </c>
      <c r="E1481" s="885">
        <v>45737</v>
      </c>
      <c r="F1481" s="293">
        <f>$L$7-E1481</f>
        <v>524</v>
      </c>
      <c r="G1481" s="1214">
        <v>0</v>
      </c>
      <c r="H1481" s="37"/>
      <c r="I1481" s="37">
        <f>+K1480+K1478</f>
        <v>0</v>
      </c>
      <c r="J1481" s="1385">
        <f>usage!I194</f>
        <v>0</v>
      </c>
      <c r="K1481" s="64">
        <f>IFERROR(SUMIF(INTAKE!$A:$A,$T1481,INTAKE!$P:$P),0)</f>
        <v>0</v>
      </c>
      <c r="L1481" s="1534">
        <f t="shared" si="879"/>
        <v>0</v>
      </c>
      <c r="M1481" s="98"/>
      <c r="N1481" s="1473"/>
      <c r="O1481" s="98"/>
      <c r="P1481" s="759"/>
      <c r="Q1481" s="795"/>
      <c r="R1481" s="785">
        <f>IFERROR(VLOOKUP($Q1481,'391'!$S:$Z,8,0),"")</f>
        <v>0</v>
      </c>
      <c r="S1481" s="796"/>
      <c r="T1481" s="797" t="str">
        <f t="shared" si="884"/>
        <v>Alterion Ne20 (Singapore)Feedmil45737</v>
      </c>
      <c r="U1481" s="797"/>
      <c r="V1481" s="797"/>
      <c r="W1481" s="785">
        <f>IFERROR(VLOOKUP($Q1481,'391'!$S:$AG,15,0),0)</f>
        <v>0</v>
      </c>
      <c r="X1481" s="1090">
        <f t="shared" si="880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184"/>
      <c r="B1482" s="184" t="s">
        <v>1535</v>
      </c>
      <c r="C1482" s="575"/>
      <c r="D1482" s="900"/>
      <c r="E1482" s="901"/>
      <c r="F1482" s="902"/>
      <c r="G1482" s="1297">
        <v>0</v>
      </c>
      <c r="H1482" s="1297">
        <f>+SUM(H1478:H1481)</f>
        <v>0</v>
      </c>
      <c r="I1482" s="1297">
        <f t="shared" ref="I1482:L1482" si="885">+SUM(I1478:I1481)</f>
        <v>0</v>
      </c>
      <c r="J1482" s="1297">
        <f t="shared" si="885"/>
        <v>0</v>
      </c>
      <c r="K1482" s="1297">
        <f t="shared" si="885"/>
        <v>0</v>
      </c>
      <c r="L1482" s="1297">
        <f t="shared" si="885"/>
        <v>0</v>
      </c>
      <c r="M1482" s="59" t="str">
        <f>IFERROR(R1482/$S$2,"")</f>
        <v/>
      </c>
      <c r="N1482" s="99">
        <f>IFERROR(L1482/M1482,0)</f>
        <v>0</v>
      </c>
      <c r="O1482" s="59">
        <f>IFERROR(SUMIF(ETM!$A:$A,$Q1482,ETM!$E:$E),"")</f>
        <v>0</v>
      </c>
      <c r="P1482" s="741">
        <f>IFERROR(L1482/O1482,0)</f>
        <v>0</v>
      </c>
      <c r="Q1482" s="666" t="s">
        <v>1536</v>
      </c>
      <c r="R1482" s="785" t="str">
        <f>IFERROR(VLOOKUP($Q1482,'391'!$S:$Z,8,0),"")</f>
        <v/>
      </c>
      <c r="S1482" s="796"/>
      <c r="T1482" s="797"/>
      <c r="U1482" s="797"/>
      <c r="V1482" s="797"/>
      <c r="W1482" s="785">
        <f>IFERROR(VLOOKUP($Q1482,'391'!$S:$AG,15,0),0)</f>
        <v>0</v>
      </c>
      <c r="X1482" s="1090">
        <f t="shared" si="880"/>
        <v>0</v>
      </c>
      <c r="Y1482" s="785"/>
      <c r="Z1482" s="785"/>
      <c r="AA1482" s="797"/>
      <c r="AB1482" s="797"/>
      <c r="AC1482" s="683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86" t="str">
        <f>IF(L1488=0,"",MAX($A$16:A1482)+1)</f>
        <v/>
      </c>
      <c r="B1483" s="2078" t="s">
        <v>976</v>
      </c>
      <c r="C1483" s="574"/>
      <c r="D1483" s="881" t="s">
        <v>10</v>
      </c>
      <c r="E1483" s="882">
        <v>45637</v>
      </c>
      <c r="F1483" s="71">
        <f>$L$7-E1483</f>
        <v>624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si="855"/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$Q$1488&amp;C1483&amp;E1483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si="850"/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124"/>
      <c r="B1484" s="2085"/>
      <c r="C1484" s="574"/>
      <c r="D1484" s="881" t="s">
        <v>10</v>
      </c>
      <c r="E1484" s="882">
        <v>45637</v>
      </c>
      <c r="F1484" s="71">
        <f>$L$7-E1484</f>
        <v>624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55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$Q$1488&amp;C1484&amp;E1484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0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124"/>
      <c r="B1485" s="2085"/>
      <c r="C1485" s="574"/>
      <c r="D1485" s="881" t="s">
        <v>10</v>
      </c>
      <c r="E1485" s="882">
        <v>45637</v>
      </c>
      <c r="F1485" s="71">
        <f>$L$7-E1485</f>
        <v>624</v>
      </c>
      <c r="G1485" s="64">
        <v>0</v>
      </c>
      <c r="H1485" s="64"/>
      <c r="I1485" s="64"/>
      <c r="J1485" s="1367"/>
      <c r="K1485" s="64">
        <f>IFERROR(SUMIF(INTAKE!$A:$A,$T1485,INTAKE!$P:$P),0)</f>
        <v>0</v>
      </c>
      <c r="L1485" s="1703">
        <f t="shared" ref="L1485" si="886">+G1485+H1485+I1485-J1485-K1485</f>
        <v>0</v>
      </c>
      <c r="M1485" s="102"/>
      <c r="N1485" s="103"/>
      <c r="O1485" s="102"/>
      <c r="P1485" s="739"/>
      <c r="Q1485" s="795"/>
      <c r="R1485" s="785">
        <f>IFERROR(VLOOKUP($Q1485,'391'!$S:$Z,8,0),"")</f>
        <v>0</v>
      </c>
      <c r="S1485" s="796"/>
      <c r="T1485" s="797" t="str">
        <f>$Q$1488&amp;C1485&amp;E1485</f>
        <v>Dia-V Nursery (USA)45637</v>
      </c>
      <c r="U1485" s="797"/>
      <c r="V1485" s="797"/>
      <c r="W1485" s="785">
        <f>IFERROR(VLOOKUP($Q1485,'391'!$S:$AG,15,0),0)</f>
        <v>0</v>
      </c>
      <c r="X1485" s="1090">
        <f t="shared" ref="X1485" si="887">G1485-W1485</f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2087"/>
      <c r="B1486" s="2079"/>
      <c r="C1486" s="574"/>
      <c r="D1486" s="881" t="s">
        <v>10</v>
      </c>
      <c r="E1486" s="882">
        <v>45637</v>
      </c>
      <c r="F1486" s="71">
        <f>$L$7-E1486</f>
        <v>624</v>
      </c>
      <c r="G1486" s="64">
        <v>0</v>
      </c>
      <c r="H1486" s="64"/>
      <c r="I1486" s="64"/>
      <c r="J1486" s="1367"/>
      <c r="K1486" s="64">
        <f>IFERROR(SUMIF(INTAKE!$A:$A,$T1486,INTAKE!$P:$P),0)</f>
        <v>0</v>
      </c>
      <c r="L1486" s="1703">
        <f t="shared" si="855"/>
        <v>0</v>
      </c>
      <c r="M1486" s="102"/>
      <c r="N1486" s="103"/>
      <c r="O1486" s="102"/>
      <c r="P1486" s="739"/>
      <c r="Q1486" s="795"/>
      <c r="R1486" s="785">
        <f>IFERROR(VLOOKUP($Q1486,'391'!$S:$Z,8,0),"")</f>
        <v>0</v>
      </c>
      <c r="S1486" s="796"/>
      <c r="T1486" s="797" t="str">
        <f>$Q$1488&amp;C1486&amp;E1486</f>
        <v>Dia-V Nursery (USA)45637</v>
      </c>
      <c r="U1486" s="797"/>
      <c r="V1486" s="797"/>
      <c r="W1486" s="785">
        <f>IFERROR(VLOOKUP($Q1486,'391'!$S:$AG,15,0),0)</f>
        <v>0</v>
      </c>
      <c r="X1486" s="1090">
        <f t="shared" si="850"/>
        <v>0</v>
      </c>
      <c r="Y1486" s="785"/>
      <c r="Z1486" s="785"/>
      <c r="AA1486" s="797"/>
      <c r="AB1486" s="797"/>
      <c r="AC1486" s="551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88"/>
      <c r="B1487" s="2071"/>
      <c r="C1487" s="108" t="s">
        <v>46</v>
      </c>
      <c r="D1487" s="884" t="s">
        <v>10</v>
      </c>
      <c r="E1487" s="885">
        <v>45637</v>
      </c>
      <c r="F1487" s="293">
        <f>$L$7-E1487</f>
        <v>624</v>
      </c>
      <c r="G1487" s="1214">
        <v>0</v>
      </c>
      <c r="H1487" s="37"/>
      <c r="I1487" s="37">
        <f>SUM(K1483:K1487)</f>
        <v>0</v>
      </c>
      <c r="J1487" s="1385">
        <f>usage!I111</f>
        <v>0</v>
      </c>
      <c r="K1487" s="64">
        <f>IFERROR(SUMIF(INTAKE!$A:$A,$T1487,INTAKE!$P:$P),0)</f>
        <v>0</v>
      </c>
      <c r="L1487" s="1534">
        <f t="shared" si="855"/>
        <v>0</v>
      </c>
      <c r="M1487" s="98"/>
      <c r="N1487" s="1473"/>
      <c r="O1487" s="98"/>
      <c r="P1487" s="759"/>
      <c r="Q1487" s="795"/>
      <c r="R1487" s="785">
        <f>IFERROR(VLOOKUP($Q1487,'391'!$S:$Z,8,0),"")</f>
        <v>0</v>
      </c>
      <c r="S1487" s="796"/>
      <c r="T1487" s="797" t="str">
        <f>$Q$1488&amp;C1487&amp;E1487</f>
        <v>Dia-V Nursery (USA)Feedmill45637</v>
      </c>
      <c r="U1487" s="797"/>
      <c r="V1487" s="797"/>
      <c r="W1487" s="785">
        <f>IFERROR(VLOOKUP($Q1487,'391'!$S:$AG,15,0),0)</f>
        <v>0</v>
      </c>
      <c r="X1487" s="1090">
        <f t="shared" si="850"/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184"/>
      <c r="B1488" s="184" t="s">
        <v>977</v>
      </c>
      <c r="C1488" s="575"/>
      <c r="D1488" s="900"/>
      <c r="E1488" s="901"/>
      <c r="F1488" s="902"/>
      <c r="G1488" s="1297">
        <v>0</v>
      </c>
      <c r="H1488" s="1297">
        <f>+SUM(H1483:H1487)</f>
        <v>0</v>
      </c>
      <c r="I1488" s="1297">
        <f>+SUM(I1483:I1487)</f>
        <v>0</v>
      </c>
      <c r="J1488" s="1297">
        <f t="shared" ref="J1488:L1488" si="888">+SUM(J1483:J1487)</f>
        <v>0</v>
      </c>
      <c r="K1488" s="1297">
        <f t="shared" si="888"/>
        <v>0</v>
      </c>
      <c r="L1488" s="1297">
        <f t="shared" si="888"/>
        <v>0</v>
      </c>
      <c r="M1488" s="59" t="str">
        <f>IFERROR(R1488/$S$2,"")</f>
        <v/>
      </c>
      <c r="N1488" s="99">
        <f>IFERROR(L1488/M1488,0)</f>
        <v>0</v>
      </c>
      <c r="O1488" s="92">
        <f>O1599</f>
        <v>0</v>
      </c>
      <c r="P1488" s="741">
        <f>IFERROR(L1488/O1488,0)</f>
        <v>0</v>
      </c>
      <c r="Q1488" s="809" t="s">
        <v>978</v>
      </c>
      <c r="R1488" s="785" t="str">
        <f>IFERROR(VLOOKUP($Q1488,'391'!$S:$Z,8,0),"")</f>
        <v/>
      </c>
      <c r="S1488" s="796"/>
      <c r="T1488" s="797"/>
      <c r="U1488" s="797"/>
      <c r="V1488" s="797"/>
      <c r="W1488" s="785">
        <f>IFERROR(VLOOKUP($Q1488,'391'!$S:$AG,15,0),0)</f>
        <v>0</v>
      </c>
      <c r="X1488" s="1090">
        <f t="shared" si="850"/>
        <v>0</v>
      </c>
      <c r="Y1488" s="785"/>
      <c r="Z1488" s="785"/>
      <c r="AA1488" s="797"/>
      <c r="AB1488" s="797"/>
      <c r="AC1488" s="683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86" t="str">
        <f>IF(L1492=0,"",MAX($A$16:A1488)+1)</f>
        <v/>
      </c>
      <c r="B1489" s="2078" t="s">
        <v>1601</v>
      </c>
      <c r="C1489" s="574" t="s">
        <v>1249</v>
      </c>
      <c r="D1489" s="881" t="s">
        <v>10</v>
      </c>
      <c r="E1489" s="882">
        <v>45812</v>
      </c>
      <c r="F1489" s="71">
        <f>$L$7-E1489</f>
        <v>449</v>
      </c>
      <c r="G1489" s="64">
        <v>0</v>
      </c>
      <c r="H1489" s="64"/>
      <c r="I1489" s="64"/>
      <c r="J1489" s="1367"/>
      <c r="K1489" s="64">
        <f>IFERROR(SUMIF(INTAKE!$A:$A,$T1489,INTAKE!$P:$P),0)</f>
        <v>0</v>
      </c>
      <c r="L1489" s="1670">
        <f>+G1489+H1489+I1489-J1489-K1489</f>
        <v>0</v>
      </c>
      <c r="M1489" s="102"/>
      <c r="N1489" s="103"/>
      <c r="O1489" s="102"/>
      <c r="P1489" s="739"/>
      <c r="Q1489" s="795"/>
      <c r="R1489" s="785">
        <f>IFERROR(VLOOKUP($Q1489,'391'!$S:$Z,8,0),"")</f>
        <v>0</v>
      </c>
      <c r="S1489" s="796"/>
      <c r="T1489" s="797" t="str">
        <f>$Q$1492&amp;C1489&amp;E1489</f>
        <v>LUCTASWEET–  78049Z (China)E145812</v>
      </c>
      <c r="U1489" s="797"/>
      <c r="V1489" s="797"/>
      <c r="W1489" s="785">
        <f>IFERROR(VLOOKUP($Q1489,'391'!$S:$AG,15,0),0)</f>
        <v>0</v>
      </c>
      <c r="X1489" s="1090">
        <f t="shared" ref="X1489:X1492" si="889">G1489-W1489</f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2087"/>
      <c r="B1490" s="2079"/>
      <c r="C1490" s="574"/>
      <c r="D1490" s="881" t="s">
        <v>10</v>
      </c>
      <c r="E1490" s="882">
        <v>44200</v>
      </c>
      <c r="F1490" s="71">
        <f>$L$7-E1490</f>
        <v>2061</v>
      </c>
      <c r="G1490" s="64">
        <v>0</v>
      </c>
      <c r="H1490" s="64"/>
      <c r="I1490" s="64"/>
      <c r="J1490" s="1367"/>
      <c r="K1490" s="64">
        <f>IFERROR(SUMIF(INTAKE!$A:$A,$T1490,INTAKE!$P:$P),0)</f>
        <v>0</v>
      </c>
      <c r="L1490" s="531">
        <f>+G1490+H1490+I1490-J1490-K1490</f>
        <v>0</v>
      </c>
      <c r="M1490" s="102"/>
      <c r="N1490" s="103"/>
      <c r="O1490" s="102"/>
      <c r="P1490" s="739"/>
      <c r="Q1490" s="795"/>
      <c r="R1490" s="785">
        <f>IFERROR(VLOOKUP($Q1490,'391'!$S:$Z,8,0),"")</f>
        <v>0</v>
      </c>
      <c r="S1490" s="796"/>
      <c r="T1490" s="797" t="str">
        <f t="shared" ref="T1490:T1491" si="890">$Q$1492&amp;C1490&amp;E1490</f>
        <v>LUCTASWEET–  78049Z (China)44200</v>
      </c>
      <c r="U1490" s="797"/>
      <c r="V1490" s="797"/>
      <c r="W1490" s="785">
        <f>IFERROR(VLOOKUP($Q1490,'391'!$S:$AG,15,0),0)</f>
        <v>0</v>
      </c>
      <c r="X1490" s="1090">
        <f t="shared" si="889"/>
        <v>0</v>
      </c>
      <c r="Y1490" s="785"/>
      <c r="Z1490" s="785"/>
      <c r="AA1490" s="797"/>
      <c r="AB1490" s="797"/>
      <c r="AC1490" s="551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0" hidden="1" customHeight="1" x14ac:dyDescent="0.25">
      <c r="A1491" s="2088"/>
      <c r="B1491" s="2071"/>
      <c r="C1491" s="138" t="s">
        <v>76</v>
      </c>
      <c r="D1491" s="884" t="s">
        <v>10</v>
      </c>
      <c r="E1491" s="885">
        <v>45812</v>
      </c>
      <c r="F1491" s="293">
        <f>$L$7-E1491</f>
        <v>449</v>
      </c>
      <c r="G1491" s="1214">
        <v>0</v>
      </c>
      <c r="H1491" s="37"/>
      <c r="I1491" s="37">
        <f>+K1490+K1489</f>
        <v>0</v>
      </c>
      <c r="J1491" s="1385">
        <f>usage!I192</f>
        <v>0</v>
      </c>
      <c r="K1491" s="64">
        <f>IFERROR(SUMIF(INTAKE!$A:$A,$T1491,INTAKE!$P:$P),0)</f>
        <v>0</v>
      </c>
      <c r="L1491" s="1534">
        <f>+G1491+H1491+I1491-J1491-K1491</f>
        <v>0</v>
      </c>
      <c r="M1491" s="98"/>
      <c r="N1491" s="1473"/>
      <c r="O1491" s="98"/>
      <c r="P1491" s="759"/>
      <c r="Q1491" s="795"/>
      <c r="R1491" s="785">
        <f>IFERROR(VLOOKUP($Q1491,'391'!$S:$Z,8,0),"")</f>
        <v>0</v>
      </c>
      <c r="S1491" s="796"/>
      <c r="T1491" s="797" t="str">
        <f t="shared" si="890"/>
        <v>LUCTASWEET–  78049Z (China)Feedmil45812</v>
      </c>
      <c r="U1491" s="797"/>
      <c r="V1491" s="797"/>
      <c r="W1491" s="785">
        <f>IFERROR(VLOOKUP($Q1491,'391'!$S:$AG,15,0),0)</f>
        <v>0</v>
      </c>
      <c r="X1491" s="1090">
        <f t="shared" si="889"/>
        <v>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184"/>
      <c r="B1492" s="184" t="s">
        <v>1602</v>
      </c>
      <c r="C1492" s="575"/>
      <c r="D1492" s="900"/>
      <c r="E1492" s="901"/>
      <c r="F1492" s="902"/>
      <c r="G1492" s="1297">
        <v>0</v>
      </c>
      <c r="H1492" s="1297">
        <f>+SUM(H1489:H1491)</f>
        <v>0</v>
      </c>
      <c r="I1492" s="1297">
        <f t="shared" ref="I1492:L1492" si="891">+SUM(I1489:I1491)</f>
        <v>0</v>
      </c>
      <c r="J1492" s="1297">
        <f t="shared" si="891"/>
        <v>0</v>
      </c>
      <c r="K1492" s="1297">
        <f t="shared" si="891"/>
        <v>0</v>
      </c>
      <c r="L1492" s="1297">
        <f t="shared" si="891"/>
        <v>0</v>
      </c>
      <c r="M1492" s="92" t="str">
        <f>IFERROR(R1492/$S$2,"")</f>
        <v/>
      </c>
      <c r="N1492" s="99">
        <f>IFERROR(L1492/M1492,0)</f>
        <v>0</v>
      </c>
      <c r="O1492" s="92">
        <f>IFERROR(SUMIF(ETM!$A:$A,$Q1492,ETM!$E:$E),"")</f>
        <v>0</v>
      </c>
      <c r="P1492" s="741">
        <f>IFERROR(L1492/O1492,0)</f>
        <v>0</v>
      </c>
      <c r="Q1492" s="809" t="s">
        <v>1601</v>
      </c>
      <c r="R1492" s="785" t="str">
        <f>IFERROR(VLOOKUP($Q1492,'391'!$S:$Z,8,0),"")</f>
        <v/>
      </c>
      <c r="S1492" s="796"/>
      <c r="T1492" s="797"/>
      <c r="U1492" s="797"/>
      <c r="V1492" s="797"/>
      <c r="W1492" s="785">
        <f>IFERROR(VLOOKUP($Q1492,'391'!$S:$AG,15,0),0)</f>
        <v>0</v>
      </c>
      <c r="X1492" s="1090">
        <f t="shared" si="889"/>
        <v>0</v>
      </c>
      <c r="Y1492" s="785"/>
      <c r="Z1492" s="785"/>
      <c r="AA1492" s="797"/>
      <c r="AB1492" s="797"/>
      <c r="AC1492" s="683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1.15" customHeight="1" x14ac:dyDescent="0.25">
      <c r="A1493" s="2086">
        <f>IF(L1497=0,"",MAX($A$16:A1492)+1)</f>
        <v>98</v>
      </c>
      <c r="B1493" s="2078" t="s">
        <v>1634</v>
      </c>
      <c r="C1493" s="574" t="s">
        <v>510</v>
      </c>
      <c r="D1493" s="881" t="s">
        <v>10</v>
      </c>
      <c r="E1493" s="882">
        <v>46202</v>
      </c>
      <c r="F1493" s="71">
        <f>$L$7-E1493</f>
        <v>59</v>
      </c>
      <c r="G1493" s="64">
        <v>1000</v>
      </c>
      <c r="H1493" s="64"/>
      <c r="I1493" s="64"/>
      <c r="J1493" s="1367"/>
      <c r="K1493" s="64">
        <f>IFERROR(SUMIF(INTAKE!$A:$A,$T1493,INTAKE!$P:$P),0)</f>
        <v>1000</v>
      </c>
      <c r="L1493" s="1670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>$Q$1497&amp;C1493&amp;E1493</f>
        <v>Acid Buf 10 (Ireland)A18.646202</v>
      </c>
      <c r="U1493" s="797"/>
      <c r="V1493" s="797"/>
      <c r="W1493" s="785">
        <f>IFERROR(VLOOKUP($Q1493,'391'!$S:$AG,15,0),0)</f>
        <v>0</v>
      </c>
      <c r="X1493" s="1090">
        <f t="shared" ref="X1493:X1497" si="892">G1493-W1493</f>
        <v>1000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124"/>
      <c r="B1494" s="2085"/>
      <c r="C1494" s="574" t="s">
        <v>510</v>
      </c>
      <c r="D1494" s="881" t="s">
        <v>10</v>
      </c>
      <c r="E1494" s="882">
        <v>46218</v>
      </c>
      <c r="F1494" s="71">
        <f>$L$7-E1494</f>
        <v>43</v>
      </c>
      <c r="G1494" s="64">
        <v>13000</v>
      </c>
      <c r="H1494" s="64"/>
      <c r="I1494" s="64"/>
      <c r="J1494" s="1367"/>
      <c r="K1494" s="64">
        <f>IFERROR(SUMIF(INTAKE!$A:$A,$T1494,INTAKE!$P:$P),0)</f>
        <v>250</v>
      </c>
      <c r="L1494" s="1670">
        <f>+G1494+H1494+I1494-J1494-K1494</f>
        <v>12750</v>
      </c>
      <c r="M1494" s="102"/>
      <c r="N1494" s="103"/>
      <c r="O1494" s="102"/>
      <c r="P1494" s="739"/>
      <c r="Q1494" s="795"/>
      <c r="R1494" s="785">
        <f>IFERROR(VLOOKUP($Q1494,'391'!$S:$Z,8,0),"")</f>
        <v>0</v>
      </c>
      <c r="S1494" s="796"/>
      <c r="T1494" s="797" t="str">
        <f t="shared" ref="T1494" si="893">$Q$1497&amp;C1494&amp;E1494</f>
        <v>Acid Buf 10 (Ireland)A18.646218</v>
      </c>
      <c r="U1494" s="797"/>
      <c r="V1494" s="797"/>
      <c r="W1494" s="785">
        <f>IFERROR(VLOOKUP($Q1494,'391'!$S:$AG,15,0),0)</f>
        <v>0</v>
      </c>
      <c r="X1494" s="1090">
        <f t="shared" ref="X1494" si="894">G1494-W1494</f>
        <v>13000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hidden="1" customHeight="1" x14ac:dyDescent="0.25">
      <c r="A1495" s="2087"/>
      <c r="B1495" s="2079"/>
      <c r="C1495" s="574"/>
      <c r="D1495" s="881" t="s">
        <v>10</v>
      </c>
      <c r="E1495" s="882">
        <v>46255</v>
      </c>
      <c r="F1495" s="71">
        <f>$L$7-E1495</f>
        <v>6</v>
      </c>
      <c r="G1495" s="64">
        <v>0</v>
      </c>
      <c r="H1495" s="64"/>
      <c r="I1495" s="64"/>
      <c r="J1495" s="1367"/>
      <c r="K1495" s="64">
        <f>IFERROR(SUMIF(INTAKE!$A:$A,$T1495,INTAKE!$P:$P),0)</f>
        <v>0</v>
      </c>
      <c r="L1495" s="1670">
        <f>+G1495+H1495+I1495-J1495-K1495</f>
        <v>0</v>
      </c>
      <c r="M1495" s="102"/>
      <c r="N1495" s="103"/>
      <c r="O1495" s="102"/>
      <c r="P1495" s="739"/>
      <c r="Q1495" s="795"/>
      <c r="R1495" s="785">
        <f>IFERROR(VLOOKUP($Q1495,'391'!$S:$Z,8,0),"")</f>
        <v>0</v>
      </c>
      <c r="S1495" s="796"/>
      <c r="T1495" s="797" t="str">
        <f t="shared" ref="T1495:T1496" si="895">$Q$1497&amp;C1495&amp;E1495</f>
        <v>Acid Buf 10 (Ireland)46255</v>
      </c>
      <c r="U1495" s="797"/>
      <c r="V1495" s="797"/>
      <c r="W1495" s="785">
        <f>IFERROR(VLOOKUP($Q1495,'391'!$S:$AG,15,0),0)</f>
        <v>0</v>
      </c>
      <c r="X1495" s="1090">
        <f t="shared" si="892"/>
        <v>0</v>
      </c>
      <c r="Y1495" s="785"/>
      <c r="Z1495" s="785"/>
      <c r="AA1495" s="797"/>
      <c r="AB1495" s="797"/>
      <c r="AC1495" s="551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88"/>
      <c r="B1496" s="2071"/>
      <c r="C1496" s="138" t="s">
        <v>76</v>
      </c>
      <c r="D1496" s="884" t="s">
        <v>10</v>
      </c>
      <c r="E1496" s="885">
        <v>46202</v>
      </c>
      <c r="F1496" s="293">
        <f>$L$7-E1496</f>
        <v>59</v>
      </c>
      <c r="G1496" s="1214">
        <v>663.78000000000043</v>
      </c>
      <c r="H1496" s="37"/>
      <c r="I1496" s="37">
        <f>+K1495+K1493+K1494</f>
        <v>1250</v>
      </c>
      <c r="J1496" s="1385">
        <f>usage!I195</f>
        <v>264.47000000000003</v>
      </c>
      <c r="K1496" s="64">
        <f>IFERROR(SUMIF(INTAKE!$A:$A,$T1496,INTAKE!$P:$P),0)</f>
        <v>0</v>
      </c>
      <c r="L1496" s="1534">
        <f>+G1496+H1496+I1496-J1496-K1496</f>
        <v>1649.3100000000004</v>
      </c>
      <c r="M1496" s="98"/>
      <c r="N1496" s="1473"/>
      <c r="O1496" s="98"/>
      <c r="P1496" s="759"/>
      <c r="Q1496" s="795"/>
      <c r="R1496" s="785">
        <f>IFERROR(VLOOKUP($Q1496,'391'!$S:$Z,8,0),"")</f>
        <v>0</v>
      </c>
      <c r="S1496" s="796"/>
      <c r="T1496" s="797" t="str">
        <f t="shared" si="895"/>
        <v>Acid Buf 10 (Ireland)Feedmil46202</v>
      </c>
      <c r="U1496" s="797"/>
      <c r="V1496" s="797"/>
      <c r="W1496" s="785">
        <f>IFERROR(VLOOKUP($Q1496,'391'!$S:$AG,15,0),0)</f>
        <v>0</v>
      </c>
      <c r="X1496" s="1090">
        <f t="shared" si="892"/>
        <v>663.78000000000043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184"/>
      <c r="B1497" s="184" t="s">
        <v>1635</v>
      </c>
      <c r="C1497" s="575"/>
      <c r="D1497" s="900"/>
      <c r="E1497" s="901"/>
      <c r="F1497" s="902"/>
      <c r="G1497" s="1297">
        <v>14663.78</v>
      </c>
      <c r="H1497" s="1297">
        <f>+SUM(H1493:H1496)</f>
        <v>0</v>
      </c>
      <c r="I1497" s="1297">
        <f t="shared" ref="I1497:L1497" si="896">+SUM(I1493:I1496)</f>
        <v>1250</v>
      </c>
      <c r="J1497" s="1297">
        <f t="shared" si="896"/>
        <v>264.47000000000003</v>
      </c>
      <c r="K1497" s="1297">
        <f t="shared" si="896"/>
        <v>1250</v>
      </c>
      <c r="L1497" s="1297">
        <f t="shared" si="896"/>
        <v>14399.310000000001</v>
      </c>
      <c r="M1497" s="92">
        <f>IFERROR(R1497/$S$2,"")</f>
        <v>315.32833333333332</v>
      </c>
      <c r="N1497" s="99">
        <f>IFERROR(L1497/M1497,0)</f>
        <v>45.664497851445851</v>
      </c>
      <c r="O1497" s="92">
        <f>IFERROR(SUMIF(ETM!$A:$A,$Q1497,ETM!$E:$E),"")</f>
        <v>346.50000000000006</v>
      </c>
      <c r="P1497" s="741">
        <f>IFERROR(L1497/O1497,0)</f>
        <v>41.556450216450216</v>
      </c>
      <c r="Q1497" s="809" t="s">
        <v>1634</v>
      </c>
      <c r="R1497" s="785">
        <f>IFERROR(VLOOKUP($Q1497,'391'!$S:$Z,8,0),"")</f>
        <v>1891.97</v>
      </c>
      <c r="S1497" s="796"/>
      <c r="T1497" s="797"/>
      <c r="U1497" s="797"/>
      <c r="V1497" s="797"/>
      <c r="W1497" s="785">
        <f>IFERROR(VLOOKUP($Q1497,'391'!$S:$AG,15,0),0)</f>
        <v>15849.140000000001</v>
      </c>
      <c r="X1497" s="1090">
        <f t="shared" si="892"/>
        <v>-1185.3600000000006</v>
      </c>
      <c r="Y1497" s="785"/>
      <c r="Z1497" s="785"/>
      <c r="AA1497" s="797"/>
      <c r="AB1497" s="797"/>
      <c r="AC1497" s="683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86">
        <f>IF(L1502=0,"",MAX($A$16:A1497)+1)</f>
        <v>99</v>
      </c>
      <c r="B1498" s="2078" t="s">
        <v>1636</v>
      </c>
      <c r="C1498" s="1979" t="s">
        <v>250</v>
      </c>
      <c r="D1498" s="881" t="s">
        <v>10</v>
      </c>
      <c r="E1498" s="882">
        <v>46218</v>
      </c>
      <c r="F1498" s="71">
        <f>$L$7-E1498</f>
        <v>43</v>
      </c>
      <c r="G1498" s="64">
        <v>2075</v>
      </c>
      <c r="H1498" s="64"/>
      <c r="I1498" s="64"/>
      <c r="J1498" s="1367"/>
      <c r="K1498" s="64">
        <f>IFERROR(SUMIF(INTAKE!$A:$A,$T1498,INTAKE!$P:$P),0)</f>
        <v>75</v>
      </c>
      <c r="L1498" s="1670">
        <f>+G1498+H1498+I1498-J1498-K1498</f>
        <v>2000</v>
      </c>
      <c r="M1498" s="102"/>
      <c r="N1498" s="103"/>
      <c r="O1498" s="102"/>
      <c r="P1498" s="739"/>
      <c r="Q1498" s="795"/>
      <c r="R1498" s="785">
        <f>IFERROR(VLOOKUP($Q1498,'391'!$S:$Z,8,0),"")</f>
        <v>0</v>
      </c>
      <c r="S1498" s="796"/>
      <c r="T1498" s="797" t="str">
        <f>$Q$1502&amp;C1498&amp;E1498</f>
        <v>DH VITAMIN PREMIX (ViÖt Nam)Y3.146218</v>
      </c>
      <c r="U1498" s="797"/>
      <c r="V1498" s="797"/>
      <c r="W1498" s="785">
        <f>IFERROR(VLOOKUP($Q1498,'391'!$S:$AG,15,0),0)</f>
        <v>0</v>
      </c>
      <c r="X1498" s="1090">
        <f t="shared" ref="X1498:X1502" si="897">G1498-W1498</f>
        <v>2075</v>
      </c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87"/>
      <c r="B1499" s="2079"/>
      <c r="C1499" s="1953" t="s">
        <v>248</v>
      </c>
      <c r="D1499" s="881" t="s">
        <v>10</v>
      </c>
      <c r="E1499" s="882">
        <v>46245</v>
      </c>
      <c r="F1499" s="71">
        <f>$L$7-E1499</f>
        <v>16</v>
      </c>
      <c r="G1499" s="64">
        <v>2500</v>
      </c>
      <c r="H1499" s="1381"/>
      <c r="I1499" s="1381"/>
      <c r="J1499" s="1900"/>
      <c r="K1499" s="1897"/>
      <c r="L1499" s="1670">
        <f>+G1499+H1499+I1499-J1499-K1499</f>
        <v>2500</v>
      </c>
      <c r="M1499" s="102"/>
      <c r="N1499" s="103"/>
      <c r="O1499" s="102"/>
      <c r="P1499" s="739"/>
      <c r="Q1499" s="795"/>
      <c r="R1499" s="785">
        <f>IFERROR(VLOOKUP($Q1499,'391'!$S:$Z,8,0),"")</f>
        <v>0</v>
      </c>
      <c r="S1499" s="796"/>
      <c r="T1499" s="797" t="str">
        <f>$Q$1502&amp;C1499&amp;E1499</f>
        <v>DH VITAMIN PREMIX (ViÖt Nam)Y4.146245</v>
      </c>
      <c r="U1499" s="797"/>
      <c r="V1499" s="797"/>
      <c r="W1499" s="785">
        <f>IFERROR(VLOOKUP($Q1499,'391'!$S:$AG,15,0),0)</f>
        <v>0</v>
      </c>
      <c r="X1499" s="1090">
        <f t="shared" si="897"/>
        <v>2500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hidden="1" customHeight="1" x14ac:dyDescent="0.25">
      <c r="A1500" s="2124"/>
      <c r="B1500" s="2085"/>
      <c r="C1500" s="1979"/>
      <c r="D1500" s="881" t="s">
        <v>10</v>
      </c>
      <c r="E1500" s="882">
        <v>46245</v>
      </c>
      <c r="F1500" s="71">
        <f>$L$7-E1500</f>
        <v>16</v>
      </c>
      <c r="G1500" s="64">
        <v>0</v>
      </c>
      <c r="H1500" s="1381"/>
      <c r="I1500" s="1381"/>
      <c r="J1500" s="1900"/>
      <c r="K1500" s="1897"/>
      <c r="L1500" s="1670">
        <f>+G1500+H1500+I1500-J1500-K1500</f>
        <v>0</v>
      </c>
      <c r="M1500" s="1980"/>
      <c r="N1500" s="1981"/>
      <c r="O1500" s="1980"/>
      <c r="P1500" s="1982"/>
      <c r="Q1500" s="1983"/>
      <c r="R1500" s="785"/>
      <c r="S1500" s="796"/>
      <c r="T1500" s="797"/>
      <c r="U1500" s="797"/>
      <c r="V1500" s="797"/>
      <c r="W1500" s="785"/>
      <c r="X1500" s="1090"/>
      <c r="Y1500" s="785"/>
      <c r="Z1500" s="785"/>
      <c r="AA1500" s="797"/>
      <c r="AB1500" s="797"/>
      <c r="AC1500" s="551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88"/>
      <c r="B1501" s="2071"/>
      <c r="C1501" s="138" t="s">
        <v>76</v>
      </c>
      <c r="D1501" s="884" t="s">
        <v>10</v>
      </c>
      <c r="E1501" s="885">
        <v>46218</v>
      </c>
      <c r="F1501" s="293">
        <f>$L$7-E1501</f>
        <v>43</v>
      </c>
      <c r="G1501" s="1214">
        <v>139.05999999999995</v>
      </c>
      <c r="H1501" s="37"/>
      <c r="I1501" s="37">
        <f>+K1499+K1498</f>
        <v>75</v>
      </c>
      <c r="J1501" s="1385">
        <f>usage!I196</f>
        <v>133.80000000000001</v>
      </c>
      <c r="K1501" s="64">
        <f>IFERROR(SUMIF(INTAKE!$A:$A,$T1501,INTAKE!$P:$P),0)</f>
        <v>0</v>
      </c>
      <c r="L1501" s="1534">
        <f>+G1501+H1501+I1501-J1501-K1501</f>
        <v>80.259999999999934</v>
      </c>
      <c r="M1501" s="98"/>
      <c r="N1501" s="1473"/>
      <c r="O1501" s="98"/>
      <c r="P1501" s="759"/>
      <c r="Q1501" s="795"/>
      <c r="R1501" s="785">
        <f>IFERROR(VLOOKUP($Q1501,'391'!$S:$Z,8,0),"")</f>
        <v>0</v>
      </c>
      <c r="S1501" s="796"/>
      <c r="T1501" s="797" t="str">
        <f>$Q$1502&amp;C1501&amp;E1501</f>
        <v>DH VITAMIN PREMIX (ViÖt Nam)Feedmil46218</v>
      </c>
      <c r="U1501" s="797"/>
      <c r="V1501" s="797"/>
      <c r="W1501" s="785">
        <f>IFERROR(VLOOKUP($Q1501,'391'!$S:$AG,15,0),0)</f>
        <v>0</v>
      </c>
      <c r="X1501" s="1090">
        <f t="shared" si="897"/>
        <v>139.05999999999995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184"/>
      <c r="B1502" s="184" t="s">
        <v>1637</v>
      </c>
      <c r="C1502" s="575"/>
      <c r="D1502" s="900"/>
      <c r="E1502" s="901"/>
      <c r="F1502" s="902"/>
      <c r="G1502" s="1297">
        <v>4714.0599999999995</v>
      </c>
      <c r="H1502" s="1297">
        <f>+SUM(H1498:H1501)</f>
        <v>0</v>
      </c>
      <c r="I1502" s="1297">
        <f t="shared" ref="I1502:L1502" si="898">+SUM(I1498:I1501)</f>
        <v>75</v>
      </c>
      <c r="J1502" s="1297">
        <f t="shared" si="898"/>
        <v>133.80000000000001</v>
      </c>
      <c r="K1502" s="1297">
        <f t="shared" si="898"/>
        <v>75</v>
      </c>
      <c r="L1502" s="1297">
        <f t="shared" si="898"/>
        <v>4580.26</v>
      </c>
      <c r="M1502" s="92">
        <f>IFERROR(R1502/$S$2,"")</f>
        <v>81.143333333333331</v>
      </c>
      <c r="N1502" s="99">
        <f>IFERROR(L1502/M1502,0)</f>
        <v>56.446534938175247</v>
      </c>
      <c r="O1502" s="92">
        <f>IFERROR(SUMIF(ETM!$A:$A,$Q1502,ETM!$E:$E),"")</f>
        <v>85.166666666666671</v>
      </c>
      <c r="P1502" s="741">
        <f>IFERROR(L1502/O1502,0)</f>
        <v>53.77996086105675</v>
      </c>
      <c r="Q1502" s="809" t="s">
        <v>1638</v>
      </c>
      <c r="R1502" s="785">
        <f>IFERROR(VLOOKUP($Q1502,'391'!$S:$Z,8,0),"")</f>
        <v>486.86</v>
      </c>
      <c r="S1502" s="796"/>
      <c r="T1502" s="797"/>
      <c r="U1502" s="797"/>
      <c r="V1502" s="797"/>
      <c r="W1502" s="785">
        <f>IFERROR(VLOOKUP($Q1502,'391'!$S:$AG,15,0),0)</f>
        <v>4977.83</v>
      </c>
      <c r="X1502" s="1090">
        <f t="shared" si="897"/>
        <v>-263.77000000000044</v>
      </c>
      <c r="Y1502" s="785"/>
      <c r="Z1502" s="785"/>
      <c r="AA1502" s="797"/>
      <c r="AB1502" s="797"/>
      <c r="AC1502" s="683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86">
        <f>IF(L1507=0,"",MAX($A$16:A1502)+1)</f>
        <v>100</v>
      </c>
      <c r="B1503" s="2078" t="s">
        <v>1639</v>
      </c>
      <c r="C1503" s="574" t="s">
        <v>283</v>
      </c>
      <c r="D1503" s="881" t="s">
        <v>10</v>
      </c>
      <c r="E1503" s="882">
        <v>46218</v>
      </c>
      <c r="F1503" s="71">
        <f>$L$7-E1503</f>
        <v>43</v>
      </c>
      <c r="G1503" s="64">
        <v>3400</v>
      </c>
      <c r="H1503" s="64"/>
      <c r="I1503" s="64"/>
      <c r="J1503" s="1367"/>
      <c r="K1503" s="64">
        <f>IFERROR(SUMIF(INTAKE!$A:$A,$T1503,INTAKE!$P:$P),0)</f>
        <v>200</v>
      </c>
      <c r="L1503" s="1670">
        <f>+G1503+H1503+I1503-J1503-K1503</f>
        <v>3200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>$Q$1507&amp;C1503&amp;E1503</f>
        <v>Kessent MF Dry (Singapore)A19.346218</v>
      </c>
      <c r="U1503" s="797"/>
      <c r="V1503" s="797"/>
      <c r="W1503" s="785">
        <f>IFERROR(VLOOKUP($Q1503,'391'!$S:$AG,15,0),0)</f>
        <v>0</v>
      </c>
      <c r="X1503" s="1090">
        <f t="shared" ref="X1503:X1507" si="899">G1503-W1503</f>
        <v>3400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124"/>
      <c r="B1504" s="2085"/>
      <c r="C1504" s="574" t="s">
        <v>509</v>
      </c>
      <c r="D1504" s="881" t="s">
        <v>10</v>
      </c>
      <c r="E1504" s="882">
        <v>46245</v>
      </c>
      <c r="F1504" s="71">
        <f>$L$7-E1504</f>
        <v>16</v>
      </c>
      <c r="G1504" s="64">
        <v>5500</v>
      </c>
      <c r="H1504" s="64"/>
      <c r="I1504" s="64"/>
      <c r="J1504" s="1367"/>
      <c r="K1504" s="64">
        <f>IFERROR(SUMIF(INTAKE!$A:$A,$T1504,INTAKE!$P:$P),0)</f>
        <v>0</v>
      </c>
      <c r="L1504" s="1713">
        <f>+G1504+H1504+I1504-J1504-K1504</f>
        <v>5500</v>
      </c>
      <c r="M1504" s="102"/>
      <c r="N1504" s="103"/>
      <c r="O1504" s="102"/>
      <c r="P1504" s="739"/>
      <c r="Q1504" s="795"/>
      <c r="R1504" s="785">
        <f>IFERROR(VLOOKUP($Q1504,'391'!$S:$Z,8,0),"")</f>
        <v>0</v>
      </c>
      <c r="S1504" s="796"/>
      <c r="T1504" s="797" t="str">
        <f t="shared" ref="T1504" si="900">$Q$1507&amp;C1504&amp;E1504</f>
        <v>Kessent MF Dry (Singapore)A18.546245</v>
      </c>
      <c r="U1504" s="797"/>
      <c r="V1504" s="797"/>
      <c r="W1504" s="785">
        <f>IFERROR(VLOOKUP($Q1504,'391'!$S:$AG,15,0),0)</f>
        <v>0</v>
      </c>
      <c r="X1504" s="1090">
        <f t="shared" ref="X1504" si="901">G1504-W1504</f>
        <v>5500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hidden="1" customHeight="1" x14ac:dyDescent="0.25">
      <c r="A1505" s="2087"/>
      <c r="B1505" s="2079"/>
      <c r="C1505" s="574"/>
      <c r="D1505" s="881" t="s">
        <v>10</v>
      </c>
      <c r="E1505" s="882">
        <v>46245</v>
      </c>
      <c r="F1505" s="71">
        <f>$L$7-E1505</f>
        <v>16</v>
      </c>
      <c r="G1505" s="64">
        <v>0</v>
      </c>
      <c r="H1505" s="64"/>
      <c r="I1505" s="64"/>
      <c r="J1505" s="1367"/>
      <c r="K1505" s="64">
        <f>IFERROR(SUMIF(INTAKE!$A:$A,$T1505,INTAKE!$P:$P),0)</f>
        <v>0</v>
      </c>
      <c r="L1505" s="1713">
        <f>+G1505+H1505+I1505-J1505-K1505</f>
        <v>0</v>
      </c>
      <c r="M1505" s="102"/>
      <c r="N1505" s="103"/>
      <c r="O1505" s="102"/>
      <c r="P1505" s="739"/>
      <c r="Q1505" s="795"/>
      <c r="R1505" s="785">
        <f>IFERROR(VLOOKUP($Q1505,'391'!$S:$Z,8,0),"")</f>
        <v>0</v>
      </c>
      <c r="S1505" s="796"/>
      <c r="T1505" s="797" t="str">
        <f t="shared" ref="T1505:T1506" si="902">$Q$1507&amp;C1505&amp;E1505</f>
        <v>Kessent MF Dry (Singapore)46245</v>
      </c>
      <c r="U1505" s="797"/>
      <c r="V1505" s="797"/>
      <c r="W1505" s="785">
        <f>IFERROR(VLOOKUP($Q1505,'391'!$S:$AG,15,0),0)</f>
        <v>0</v>
      </c>
      <c r="X1505" s="1090">
        <f t="shared" si="899"/>
        <v>0</v>
      </c>
      <c r="Y1505" s="785"/>
      <c r="Z1505" s="785"/>
      <c r="AA1505" s="797"/>
      <c r="AB1505" s="797"/>
      <c r="AC1505" s="551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88"/>
      <c r="B1506" s="2071"/>
      <c r="C1506" s="138" t="s">
        <v>76</v>
      </c>
      <c r="D1506" s="884" t="s">
        <v>10</v>
      </c>
      <c r="E1506" s="885">
        <v>46218</v>
      </c>
      <c r="F1506" s="293">
        <f>$L$7-E1506</f>
        <v>43</v>
      </c>
      <c r="G1506" s="1214">
        <v>316.63000000000011</v>
      </c>
      <c r="H1506" s="37"/>
      <c r="I1506" s="37">
        <f>+SUM(K1503:K1505)</f>
        <v>200</v>
      </c>
      <c r="J1506" s="1385">
        <f>usage!I197</f>
        <v>249.82</v>
      </c>
      <c r="K1506" s="64">
        <f>IFERROR(SUMIF(INTAKE!$A:$A,$T1506,INTAKE!$P:$P),0)</f>
        <v>0</v>
      </c>
      <c r="L1506" s="1534">
        <f>+G1506+H1506+I1506-J1506-K1506</f>
        <v>266.81000000000012</v>
      </c>
      <c r="M1506" s="98"/>
      <c r="N1506" s="1473"/>
      <c r="O1506" s="98"/>
      <c r="P1506" s="759"/>
      <c r="Q1506" s="795"/>
      <c r="R1506" s="785">
        <f>IFERROR(VLOOKUP($Q1506,'391'!$S:$Z,8,0),"")</f>
        <v>0</v>
      </c>
      <c r="S1506" s="796"/>
      <c r="T1506" s="797" t="str">
        <f t="shared" si="902"/>
        <v>Kessent MF Dry (Singapore)Feedmil46218</v>
      </c>
      <c r="U1506" s="797"/>
      <c r="V1506" s="797"/>
      <c r="W1506" s="785">
        <f>IFERROR(VLOOKUP($Q1506,'391'!$S:$AG,15,0),0)</f>
        <v>0</v>
      </c>
      <c r="X1506" s="1090">
        <f t="shared" si="899"/>
        <v>316.63000000000011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184"/>
      <c r="B1507" s="184" t="s">
        <v>1640</v>
      </c>
      <c r="C1507" s="575"/>
      <c r="D1507" s="900"/>
      <c r="E1507" s="901"/>
      <c r="F1507" s="902"/>
      <c r="G1507" s="1297">
        <v>9216.630000000001</v>
      </c>
      <c r="H1507" s="1297">
        <f>+SUM(H1503:H1506)</f>
        <v>0</v>
      </c>
      <c r="I1507" s="1297">
        <f t="shared" ref="I1507:L1507" si="903">+SUM(I1503:I1506)</f>
        <v>200</v>
      </c>
      <c r="J1507" s="1297">
        <f t="shared" si="903"/>
        <v>249.82</v>
      </c>
      <c r="K1507" s="1297">
        <f t="shared" si="903"/>
        <v>200</v>
      </c>
      <c r="L1507" s="1297">
        <f t="shared" si="903"/>
        <v>8966.81</v>
      </c>
      <c r="M1507" s="92">
        <f>IFERROR(R1507/$S$2,"")</f>
        <v>192.62666666666667</v>
      </c>
      <c r="N1507" s="99">
        <f>IFERROR(L1507/M1507,0)</f>
        <v>46.550200733716338</v>
      </c>
      <c r="O1507" s="92">
        <f>IFERROR(SUMIF(ETM!$A:$A,$Q1507,ETM!$E:$E),"")</f>
        <v>205.33333333333334</v>
      </c>
      <c r="P1507" s="741">
        <f>IFERROR(L1507/O1507,0)</f>
        <v>43.669529220779218</v>
      </c>
      <c r="Q1507" s="809" t="s">
        <v>1639</v>
      </c>
      <c r="R1507" s="785">
        <f>IFERROR(VLOOKUP($Q1507,'391'!$S:$Z,8,0),"")</f>
        <v>1155.76</v>
      </c>
      <c r="S1507" s="796"/>
      <c r="T1507" s="797"/>
      <c r="U1507" s="797"/>
      <c r="V1507" s="797"/>
      <c r="W1507" s="785">
        <f>IFERROR(VLOOKUP($Q1507,'391'!$S:$AG,15,0),0)</f>
        <v>9838.23</v>
      </c>
      <c r="X1507" s="1090">
        <f t="shared" si="899"/>
        <v>-621.59999999999854</v>
      </c>
      <c r="Y1507" s="785"/>
      <c r="Z1507" s="785"/>
      <c r="AA1507" s="797"/>
      <c r="AB1507" s="797"/>
      <c r="AC1507" s="683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86">
        <f>IF(L1513=0,"",MAX($A$16:A1507)+1)</f>
        <v>101</v>
      </c>
      <c r="B1508" s="2078" t="s">
        <v>1735</v>
      </c>
      <c r="C1508" s="574" t="s">
        <v>2110</v>
      </c>
      <c r="D1508" s="881" t="s">
        <v>10</v>
      </c>
      <c r="E1508" s="882">
        <v>46206</v>
      </c>
      <c r="F1508" s="71">
        <f>$L$7-E1508</f>
        <v>55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795"/>
      <c r="R1508" s="785">
        <f>IFERROR(VLOOKUP($Q1508,'391'!$S:$Z,8,0),"")</f>
        <v>0</v>
      </c>
      <c r="S1508" s="796"/>
      <c r="T1508" s="797" t="str">
        <f>$Q$1512&amp;C1508&amp;E1508</f>
        <v>D-Biotin 2%  (China)D246206</v>
      </c>
      <c r="U1508" s="797"/>
      <c r="V1508" s="797"/>
      <c r="W1508" s="785">
        <f>IFERROR(VLOOKUP($Q1508,'391'!$S:$AG,15,0),0)</f>
        <v>0</v>
      </c>
      <c r="X1508" s="1090">
        <f t="shared" ref="X1508:X1512" si="904">G1508-W1508</f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customHeight="1" x14ac:dyDescent="0.25">
      <c r="A1509" s="2124"/>
      <c r="B1509" s="2085"/>
      <c r="C1509" s="574" t="s">
        <v>2110</v>
      </c>
      <c r="D1509" s="881" t="s">
        <v>10</v>
      </c>
      <c r="E1509" s="882">
        <v>46225</v>
      </c>
      <c r="F1509" s="71">
        <f>$L$7-E1509</f>
        <v>36</v>
      </c>
      <c r="G1509" s="64">
        <v>50</v>
      </c>
      <c r="H1509" s="64"/>
      <c r="I1509" s="64"/>
      <c r="J1509" s="1367"/>
      <c r="K1509" s="64">
        <f>IFERROR(SUMIF(INTAKE!$A:$A,$T1509,INTAKE!$P:$P),0)</f>
        <v>0</v>
      </c>
      <c r="L1509" s="1670">
        <f>+G1509+H1509+I1509-J1509-K1509</f>
        <v>50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$Q$1512&amp;C1509&amp;E1509</f>
        <v>D-Biotin 2%  (China)D246225</v>
      </c>
      <c r="U1509" s="797"/>
      <c r="V1509" s="797"/>
      <c r="W1509" s="785">
        <f>IFERROR(VLOOKUP($Q1509,'391'!$S:$AG,15,0),0)</f>
        <v>0</v>
      </c>
      <c r="X1509" s="1090">
        <f t="shared" ref="X1509:X1510" si="905">G1509-W1509</f>
        <v>50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124"/>
      <c r="B1510" s="2085"/>
      <c r="C1510" s="574" t="s">
        <v>2110</v>
      </c>
      <c r="D1510" s="881" t="s">
        <v>10</v>
      </c>
      <c r="E1510" s="882">
        <v>46241</v>
      </c>
      <c r="F1510" s="71">
        <f>$L$7-E1510</f>
        <v>20</v>
      </c>
      <c r="G1510" s="64">
        <v>50</v>
      </c>
      <c r="H1510" s="64"/>
      <c r="I1510" s="64"/>
      <c r="J1510" s="1367"/>
      <c r="K1510" s="64">
        <f>IFERROR(SUMIF(INTAKE!$A:$A,$T1510,INTAKE!$P:$P),0)</f>
        <v>0</v>
      </c>
      <c r="L1510" s="1670">
        <f>+G1510+H1510+I1510-J1510-K1510</f>
        <v>50</v>
      </c>
      <c r="M1510" s="102"/>
      <c r="N1510" s="103"/>
      <c r="O1510" s="102"/>
      <c r="P1510" s="739"/>
      <c r="Q1510" s="666"/>
      <c r="R1510" s="785">
        <f>IFERROR(VLOOKUP($Q1510,'391'!$S:$Z,8,0),"")</f>
        <v>0</v>
      </c>
      <c r="S1510" s="796"/>
      <c r="T1510" s="797" t="str">
        <f>$Q$1512&amp;C1510&amp;E1510</f>
        <v>D-Biotin 2%  (China)D246241</v>
      </c>
      <c r="U1510" s="797"/>
      <c r="V1510" s="797"/>
      <c r="W1510" s="785">
        <f>IFERROR(VLOOKUP($Q1510,'391'!$S:$AG,15,0),0)</f>
        <v>0</v>
      </c>
      <c r="X1510" s="1090">
        <f t="shared" si="905"/>
        <v>50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hidden="1" customHeight="1" x14ac:dyDescent="0.25">
      <c r="A1511" s="2087"/>
      <c r="B1511" s="2079"/>
      <c r="C1511" s="574"/>
      <c r="D1511" s="881" t="s">
        <v>10</v>
      </c>
      <c r="E1511" s="882">
        <v>46255</v>
      </c>
      <c r="F1511" s="71">
        <f>$L$7-E1511</f>
        <v>6</v>
      </c>
      <c r="G1511" s="64">
        <v>0</v>
      </c>
      <c r="H1511" s="64"/>
      <c r="I1511" s="64"/>
      <c r="J1511" s="1367"/>
      <c r="K1511" s="64">
        <f>IFERROR(SUMIF(INTAKE!$A:$A,$T1511,INTAKE!$P:$P),0)</f>
        <v>0</v>
      </c>
      <c r="L1511" s="1670">
        <f>+G1511+H1511+I1511-J1511-K1511</f>
        <v>0</v>
      </c>
      <c r="M1511" s="102"/>
      <c r="N1511" s="103"/>
      <c r="O1511" s="102"/>
      <c r="P1511" s="739"/>
      <c r="Q1511" s="666"/>
      <c r="R1511" s="785">
        <f>IFERROR(VLOOKUP($Q1511,'391'!$S:$Z,8,0),"")</f>
        <v>0</v>
      </c>
      <c r="S1511" s="796"/>
      <c r="T1511" s="797" t="str">
        <f>$Q$1512&amp;C1511&amp;E1511</f>
        <v>D-Biotin 2%  (China)46255</v>
      </c>
      <c r="U1511" s="797"/>
      <c r="V1511" s="797"/>
      <c r="W1511" s="785">
        <f>IFERROR(VLOOKUP($Q1511,'391'!$S:$AG,15,0),0)</f>
        <v>0</v>
      </c>
      <c r="X1511" s="1090">
        <f t="shared" si="904"/>
        <v>0</v>
      </c>
      <c r="Y1511" s="785"/>
      <c r="Z1511" s="785"/>
      <c r="AA1511" s="797"/>
      <c r="AB1511" s="797"/>
      <c r="AC1511" s="551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88"/>
      <c r="B1512" s="2071"/>
      <c r="C1512" s="138" t="s">
        <v>76</v>
      </c>
      <c r="D1512" s="884" t="s">
        <v>10</v>
      </c>
      <c r="E1512" s="885">
        <v>46206</v>
      </c>
      <c r="F1512" s="293">
        <f>$L$7-E1512</f>
        <v>55</v>
      </c>
      <c r="G1512" s="1214">
        <v>23.769999999999996</v>
      </c>
      <c r="H1512" s="37"/>
      <c r="I1512" s="37">
        <f>+K1511+K1508</f>
        <v>0</v>
      </c>
      <c r="J1512" s="1385">
        <f>usage!I212</f>
        <v>6.5</v>
      </c>
      <c r="K1512" s="64">
        <f>IFERROR(SUMIF(INTAKE!$A:$A,$T1512,INTAKE!$P:$P),0)</f>
        <v>0</v>
      </c>
      <c r="L1512" s="1534">
        <f>+G1512+H1512+I1512-J1512-K1512</f>
        <v>17.269999999999996</v>
      </c>
      <c r="M1512" s="98"/>
      <c r="N1512" s="1473"/>
      <c r="O1512" s="98"/>
      <c r="P1512" s="759"/>
      <c r="Q1512" s="666" t="s">
        <v>1834</v>
      </c>
      <c r="R1512" s="785">
        <f>IFERROR(VLOOKUP($Q1512,'391'!$S:$Z,8,0),"")</f>
        <v>38.36</v>
      </c>
      <c r="S1512" s="796"/>
      <c r="T1512" s="797" t="str">
        <f t="shared" ref="T1512" si="906">$Q$1513&amp;C1512&amp;E1512</f>
        <v>BIOTIN 2%Feedmil46206</v>
      </c>
      <c r="U1512" s="797"/>
      <c r="V1512" s="797"/>
      <c r="W1512" s="785">
        <f>IFERROR(VLOOKUP($Q1512,'391'!$S:$AG,15,0),0)</f>
        <v>196.89000000000001</v>
      </c>
      <c r="X1512" s="1090">
        <f t="shared" si="904"/>
        <v>-173.12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184"/>
      <c r="B1513" s="184" t="s">
        <v>1736</v>
      </c>
      <c r="C1513" s="575"/>
      <c r="D1513" s="900"/>
      <c r="E1513" s="901"/>
      <c r="F1513" s="902"/>
      <c r="G1513" s="1297">
        <v>173.76999999999998</v>
      </c>
      <c r="H1513" s="1297">
        <f>+SUM(H1508:H1512)</f>
        <v>0</v>
      </c>
      <c r="I1513" s="1297">
        <f t="shared" ref="I1513:L1513" si="907">+SUM(I1508:I1512)</f>
        <v>0</v>
      </c>
      <c r="J1513" s="1297">
        <f t="shared" si="907"/>
        <v>6.5</v>
      </c>
      <c r="K1513" s="1297">
        <f t="shared" si="907"/>
        <v>0</v>
      </c>
      <c r="L1513" s="1297">
        <f t="shared" si="907"/>
        <v>167.26999999999998</v>
      </c>
      <c r="M1513" s="92">
        <f>IFERROR(S1513/$S$2,"")</f>
        <v>6.3933333333333335</v>
      </c>
      <c r="N1513" s="99">
        <f>IFERROR(L1513/M1513,0)</f>
        <v>26.163190823774762</v>
      </c>
      <c r="O1513" s="92">
        <f>IFERROR(SUMIF(ETM!$A:$A,$Q1513,ETM!$E:$E),"")</f>
        <v>6.8333333333333339</v>
      </c>
      <c r="P1513" s="741">
        <f>IFERROR(L1513/O1513,0)</f>
        <v>24.478536585365848</v>
      </c>
      <c r="Q1513" s="809" t="s">
        <v>1735</v>
      </c>
      <c r="R1513" s="785" t="str">
        <f>IFERROR(VLOOKUP($Q1513,'391'!$S:$Z,8,0),"0")</f>
        <v>0</v>
      </c>
      <c r="S1513" s="1495">
        <f>+R1513+R1512</f>
        <v>38.36</v>
      </c>
      <c r="T1513" s="797"/>
      <c r="U1513" s="797"/>
      <c r="V1513" s="797"/>
      <c r="W1513" s="785">
        <f>IFERROR(VLOOKUP($Q1513,'391'!$S:$AG,15,0),0)</f>
        <v>0</v>
      </c>
      <c r="X1513" s="1090">
        <f>G1513-W1513-W1512</f>
        <v>-23.120000000000033</v>
      </c>
      <c r="Y1513" s="785"/>
      <c r="Z1513" s="785"/>
      <c r="AA1513" s="797"/>
      <c r="AB1513" s="797"/>
      <c r="AC1513" s="683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customHeight="1" x14ac:dyDescent="0.25">
      <c r="A1514" s="2086">
        <f>IF(L1518=0,"",MAX($A$16:A1507)+1)</f>
        <v>101</v>
      </c>
      <c r="B1514" s="2078" t="s">
        <v>1641</v>
      </c>
      <c r="C1514" s="574" t="s">
        <v>245</v>
      </c>
      <c r="D1514" s="881" t="s">
        <v>10</v>
      </c>
      <c r="E1514" s="882">
        <v>46202</v>
      </c>
      <c r="F1514" s="71">
        <f>$L$7-E1514</f>
        <v>59</v>
      </c>
      <c r="G1514" s="64">
        <v>175</v>
      </c>
      <c r="H1514" s="64"/>
      <c r="I1514" s="64"/>
      <c r="J1514" s="1367"/>
      <c r="K1514" s="1348">
        <f>IFERROR(SUMIF(INTAKE!$A:$A,$T1514,INTAKE!$P:$P),0)</f>
        <v>0</v>
      </c>
      <c r="L1514" s="1670">
        <f>+G1514+H1514+I1514-J1514-K1514</f>
        <v>175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>$Q$1518&amp;C1514&amp;E1514</f>
        <v>Lysoforte TM Brand Dry (Singapore)Y6.146202</v>
      </c>
      <c r="U1514" s="797"/>
      <c r="V1514" s="797"/>
      <c r="W1514" s="785">
        <f>IFERROR(VLOOKUP($Q1514,'391'!$S:$AG,15,0),0)</f>
        <v>0</v>
      </c>
      <c r="X1514" s="1090">
        <f t="shared" ref="X1514:X1518" si="908">G1514-W1514</f>
        <v>175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124"/>
      <c r="B1515" s="2085"/>
      <c r="C1515" s="574" t="s">
        <v>245</v>
      </c>
      <c r="D1515" s="881" t="s">
        <v>10</v>
      </c>
      <c r="E1515" s="882">
        <v>46218</v>
      </c>
      <c r="F1515" s="71">
        <f>$L$7-E1515</f>
        <v>43</v>
      </c>
      <c r="G1515" s="64">
        <v>1000</v>
      </c>
      <c r="H1515" s="64"/>
      <c r="I1515" s="64"/>
      <c r="J1515" s="1367"/>
      <c r="K1515" s="64">
        <f>IFERROR(SUMIF(INTAKE!$A:$A,$T1515,INTAKE!$P:$P),0)</f>
        <v>0</v>
      </c>
      <c r="L1515" s="1670">
        <f>+G1515+H1515+I1515-J1515-K1515</f>
        <v>1000</v>
      </c>
      <c r="M1515" s="102"/>
      <c r="N1515" s="103"/>
      <c r="O1515" s="102"/>
      <c r="P1515" s="739"/>
      <c r="Q1515" s="795"/>
      <c r="R1515" s="785">
        <f>IFERROR(VLOOKUP($Q1515,'391'!$S:$Z,8,0),"")</f>
        <v>0</v>
      </c>
      <c r="S1515" s="796"/>
      <c r="T1515" s="797" t="str">
        <f t="shared" ref="T1515" si="909">$Q$1518&amp;C1515&amp;E1515</f>
        <v>Lysoforte TM Brand Dry (Singapore)Y6.146218</v>
      </c>
      <c r="U1515" s="797"/>
      <c r="V1515" s="797"/>
      <c r="W1515" s="785">
        <f>IFERROR(VLOOKUP($Q1515,'391'!$S:$AG,15,0),0)</f>
        <v>0</v>
      </c>
      <c r="X1515" s="1090">
        <f t="shared" ref="X1515" si="910">G1515-W1515</f>
        <v>1000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2087"/>
      <c r="B1516" s="2079"/>
      <c r="C1516" s="574" t="s">
        <v>245</v>
      </c>
      <c r="D1516" s="881" t="s">
        <v>10</v>
      </c>
      <c r="E1516" s="882">
        <v>46245</v>
      </c>
      <c r="F1516" s="71">
        <f>$L$7-E1516</f>
        <v>16</v>
      </c>
      <c r="G1516" s="64">
        <v>1000</v>
      </c>
      <c r="H1516" s="64"/>
      <c r="I1516" s="64"/>
      <c r="J1516" s="1367"/>
      <c r="K1516" s="64">
        <f>IFERROR(SUMIF(INTAKE!$A:$A,$T1516,INTAKE!$P:$P),0)</f>
        <v>0</v>
      </c>
      <c r="L1516" s="1670">
        <f>+G1516+H1516+I1516-J1516-K1516</f>
        <v>1000</v>
      </c>
      <c r="M1516" s="102"/>
      <c r="N1516" s="103"/>
      <c r="O1516" s="102"/>
      <c r="P1516" s="739"/>
      <c r="Q1516" s="795"/>
      <c r="R1516" s="785">
        <f>IFERROR(VLOOKUP($Q1516,'391'!$S:$Z,8,0),"")</f>
        <v>0</v>
      </c>
      <c r="S1516" s="796"/>
      <c r="T1516" s="797" t="str">
        <f t="shared" ref="T1516:T1517" si="911">$Q$1518&amp;C1516&amp;E1516</f>
        <v>Lysoforte TM Brand Dry (Singapore)Y6.146245</v>
      </c>
      <c r="U1516" s="797"/>
      <c r="V1516" s="797"/>
      <c r="W1516" s="785">
        <f>IFERROR(VLOOKUP($Q1516,'391'!$S:$AG,15,0),0)</f>
        <v>0</v>
      </c>
      <c r="X1516" s="1090">
        <f t="shared" si="908"/>
        <v>1000</v>
      </c>
      <c r="Y1516" s="785"/>
      <c r="Z1516" s="785"/>
      <c r="AA1516" s="797"/>
      <c r="AB1516" s="797"/>
      <c r="AC1516" s="551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88"/>
      <c r="B1517" s="2071"/>
      <c r="C1517" s="138" t="s">
        <v>76</v>
      </c>
      <c r="D1517" s="884" t="s">
        <v>10</v>
      </c>
      <c r="E1517" s="885">
        <v>46202</v>
      </c>
      <c r="F1517" s="293">
        <f>$L$7-E1517</f>
        <v>59</v>
      </c>
      <c r="G1517" s="1214">
        <v>46.820000000000022</v>
      </c>
      <c r="H1517" s="37"/>
      <c r="I1517" s="37">
        <f>+K1516+K1514</f>
        <v>0</v>
      </c>
      <c r="J1517" s="1385">
        <f>usage!I198</f>
        <v>32.049999999999997</v>
      </c>
      <c r="K1517" s="64">
        <f>IFERROR(SUMIF(INTAKE!$A:$A,$T1517,INTAKE!$P:$P),0)</f>
        <v>0</v>
      </c>
      <c r="L1517" s="1534">
        <f>+G1517+H1517+I1517-J1517-K1517</f>
        <v>14.770000000000024</v>
      </c>
      <c r="M1517" s="98"/>
      <c r="N1517" s="1473"/>
      <c r="O1517" s="98"/>
      <c r="P1517" s="759"/>
      <c r="Q1517" s="795"/>
      <c r="R1517" s="785">
        <f>IFERROR(VLOOKUP($Q1517,'391'!$S:$Z,8,0),"")</f>
        <v>0</v>
      </c>
      <c r="S1517" s="796"/>
      <c r="T1517" s="797" t="str">
        <f t="shared" si="911"/>
        <v>Lysoforte TM Brand Dry (Singapore)Feedmil46202</v>
      </c>
      <c r="U1517" s="797"/>
      <c r="V1517" s="797"/>
      <c r="W1517" s="785">
        <f>IFERROR(VLOOKUP($Q1517,'391'!$S:$AG,15,0),0)</f>
        <v>0</v>
      </c>
      <c r="X1517" s="1090">
        <f t="shared" si="908"/>
        <v>46.820000000000022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184"/>
      <c r="B1518" s="184" t="s">
        <v>1642</v>
      </c>
      <c r="C1518" s="575"/>
      <c r="D1518" s="900"/>
      <c r="E1518" s="901"/>
      <c r="F1518" s="902"/>
      <c r="G1518" s="1297">
        <v>2221.8200000000002</v>
      </c>
      <c r="H1518" s="1297">
        <f>+SUM(H1514:H1517)</f>
        <v>0</v>
      </c>
      <c r="I1518" s="1297">
        <f t="shared" ref="I1518:L1518" si="912">+SUM(I1514:I1517)</f>
        <v>0</v>
      </c>
      <c r="J1518" s="1297">
        <f t="shared" si="912"/>
        <v>32.049999999999997</v>
      </c>
      <c r="K1518" s="1297">
        <f t="shared" si="912"/>
        <v>0</v>
      </c>
      <c r="L1518" s="1297">
        <f t="shared" si="912"/>
        <v>2189.77</v>
      </c>
      <c r="M1518" s="92">
        <f>IFERROR(R1518/$S$2,"")</f>
        <v>21.364999999999998</v>
      </c>
      <c r="N1518" s="99">
        <f>IFERROR(L1518/M1518,0)</f>
        <v>102.49333021296513</v>
      </c>
      <c r="O1518" s="92">
        <f>IFERROR(SUMIF(ETM!$A:$A,$Q1518,ETM!$E:$E),"")</f>
        <v>22.000000000000004</v>
      </c>
      <c r="P1518" s="741">
        <f>IFERROR(L1518/O1518,0)</f>
        <v>99.534999999999982</v>
      </c>
      <c r="Q1518" s="809" t="s">
        <v>1641</v>
      </c>
      <c r="R1518" s="785">
        <f>IFERROR(VLOOKUP($Q1518,'391'!$S:$Z,8,0),"")</f>
        <v>128.19</v>
      </c>
      <c r="S1518" s="796"/>
      <c r="T1518" s="797"/>
      <c r="U1518" s="797"/>
      <c r="V1518" s="797"/>
      <c r="W1518" s="785">
        <f>IFERROR(VLOOKUP($Q1518,'391'!$S:$AG,15,0),0)</f>
        <v>2278.1799999999998</v>
      </c>
      <c r="X1518" s="1090">
        <f t="shared" si="908"/>
        <v>-56.359999999999673</v>
      </c>
      <c r="Y1518" s="785"/>
      <c r="Z1518" s="785"/>
      <c r="AA1518" s="797"/>
      <c r="AB1518" s="797"/>
      <c r="AC1518" s="683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86">
        <f>IF(L1524=0,"",MAX($A$16:A1518)+1)</f>
        <v>102</v>
      </c>
      <c r="B1519" s="2078" t="s">
        <v>1643</v>
      </c>
      <c r="C1519" s="574" t="s">
        <v>983</v>
      </c>
      <c r="D1519" s="881" t="s">
        <v>10</v>
      </c>
      <c r="E1519" s="882">
        <v>46204</v>
      </c>
      <c r="F1519" s="71">
        <f>$L$7-E1519</f>
        <v>57</v>
      </c>
      <c r="G1519" s="64">
        <v>2500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2500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>$Q$1524&amp;C1519&amp;E1519</f>
        <v>Rumifat R100 (Malaysia)B15.246204</v>
      </c>
      <c r="U1519" s="797"/>
      <c r="V1519" s="797"/>
      <c r="W1519" s="785">
        <f>IFERROR(VLOOKUP($Q1519,'391'!$S:$AG,15,0),0)</f>
        <v>0</v>
      </c>
      <c r="X1519" s="1090">
        <f t="shared" ref="X1519:X1523" si="913">G1519-W1519</f>
        <v>2500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customHeight="1" x14ac:dyDescent="0.25">
      <c r="A1520" s="2124"/>
      <c r="B1520" s="2085"/>
      <c r="C1520" s="574" t="s">
        <v>983</v>
      </c>
      <c r="D1520" s="881" t="s">
        <v>10</v>
      </c>
      <c r="E1520" s="882">
        <v>46223</v>
      </c>
      <c r="F1520" s="71">
        <f>$L$7-E1520</f>
        <v>38</v>
      </c>
      <c r="G1520" s="64">
        <v>10000</v>
      </c>
      <c r="H1520" s="64"/>
      <c r="I1520" s="64"/>
      <c r="J1520" s="1367"/>
      <c r="K1520" s="64">
        <f>IFERROR(SUMIF(INTAKE!$A:$A,$T1520,INTAKE!$P:$P),0)</f>
        <v>0</v>
      </c>
      <c r="L1520" s="1670">
        <f>+G1520+H1520+I1520-J1520-K1520</f>
        <v>10000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14">$Q$1524&amp;C1520&amp;E1520</f>
        <v>Rumifat R100 (Malaysia)B15.246223</v>
      </c>
      <c r="U1520" s="797"/>
      <c r="V1520" s="797"/>
      <c r="W1520" s="785">
        <f>IFERROR(VLOOKUP($Q1520,'391'!$S:$AG,15,0),0)</f>
        <v>0</v>
      </c>
      <c r="X1520" s="1090">
        <f t="shared" ref="X1520:X1521" si="915">G1520-W1520</f>
        <v>10000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124"/>
      <c r="B1521" s="2085"/>
      <c r="C1521" s="574" t="s">
        <v>983</v>
      </c>
      <c r="D1521" s="881" t="s">
        <v>10</v>
      </c>
      <c r="E1521" s="882">
        <v>46223</v>
      </c>
      <c r="F1521" s="71">
        <f>$L$7-E1521</f>
        <v>38</v>
      </c>
      <c r="G1521" s="64">
        <v>10000</v>
      </c>
      <c r="H1521" s="64"/>
      <c r="I1521" s="64"/>
      <c r="J1521" s="1367"/>
      <c r="K1521" s="64">
        <f>IFERROR(SUMIF(INTAKE!$A:$A,$T1521,INTAKE!$P:$P),0)</f>
        <v>0</v>
      </c>
      <c r="L1521" s="1670">
        <f>+G1521+H1521+I1521-J1521-K1521</f>
        <v>10000</v>
      </c>
      <c r="M1521" s="102"/>
      <c r="N1521" s="103"/>
      <c r="O1521" s="102"/>
      <c r="P1521" s="739"/>
      <c r="Q1521" s="795"/>
      <c r="R1521" s="785">
        <f>IFERROR(VLOOKUP($Q1521,'391'!$S:$Z,8,0),"")</f>
        <v>0</v>
      </c>
      <c r="S1521" s="796"/>
      <c r="T1521" s="797" t="str">
        <f t="shared" si="914"/>
        <v>Rumifat R100 (Malaysia)B15.246223</v>
      </c>
      <c r="U1521" s="797"/>
      <c r="V1521" s="797"/>
      <c r="W1521" s="785">
        <f>IFERROR(VLOOKUP($Q1521,'391'!$S:$AG,15,0),0)</f>
        <v>0</v>
      </c>
      <c r="X1521" s="1090">
        <f t="shared" si="915"/>
        <v>10000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2087"/>
      <c r="B1522" s="2079"/>
      <c r="C1522" s="574" t="s">
        <v>983</v>
      </c>
      <c r="D1522" s="881" t="s">
        <v>10</v>
      </c>
      <c r="E1522" s="882">
        <v>46254</v>
      </c>
      <c r="F1522" s="71">
        <f>$L$7-E1522</f>
        <v>7</v>
      </c>
      <c r="G1522" s="64">
        <v>20000</v>
      </c>
      <c r="H1522" s="64"/>
      <c r="I1522" s="64"/>
      <c r="J1522" s="1367"/>
      <c r="K1522" s="64">
        <f>IFERROR(SUMIF(INTAKE!$A:$A,$T1522,INTAKE!$P:$P),0)</f>
        <v>0</v>
      </c>
      <c r="L1522" s="1670">
        <f>+G1522+H1522+I1522-J1522-K1522</f>
        <v>20000</v>
      </c>
      <c r="M1522" s="102"/>
      <c r="N1522" s="103"/>
      <c r="O1522" s="102"/>
      <c r="P1522" s="739"/>
      <c r="Q1522" s="795"/>
      <c r="R1522" s="785">
        <f>IFERROR(VLOOKUP($Q1522,'391'!$S:$Z,8,0),"")</f>
        <v>0</v>
      </c>
      <c r="S1522" s="796"/>
      <c r="T1522" s="797" t="str">
        <f t="shared" ref="T1522:T1523" si="916">$Q$1524&amp;C1522&amp;E1522</f>
        <v>Rumifat R100 (Malaysia)B15.246254</v>
      </c>
      <c r="U1522" s="797"/>
      <c r="V1522" s="797"/>
      <c r="W1522" s="785">
        <f>IFERROR(VLOOKUP($Q1522,'391'!$S:$AG,15,0),0)</f>
        <v>0</v>
      </c>
      <c r="X1522" s="1090">
        <f t="shared" si="913"/>
        <v>20000</v>
      </c>
      <c r="Y1522" s="785"/>
      <c r="Z1522" s="785"/>
      <c r="AA1522" s="797"/>
      <c r="AB1522" s="797"/>
      <c r="AC1522" s="551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88"/>
      <c r="B1523" s="2071"/>
      <c r="C1523" s="138" t="s">
        <v>76</v>
      </c>
      <c r="D1523" s="884" t="s">
        <v>10</v>
      </c>
      <c r="E1523" s="885">
        <v>46204</v>
      </c>
      <c r="F1523" s="293">
        <f>$L$7-E1523</f>
        <v>57</v>
      </c>
      <c r="G1523" s="1214">
        <v>2466.3300000000004</v>
      </c>
      <c r="H1523" s="37"/>
      <c r="I1523" s="37">
        <f>+SUM(K1519:K1522)</f>
        <v>0</v>
      </c>
      <c r="J1523" s="1385">
        <f>usage!I199</f>
        <v>516.25</v>
      </c>
      <c r="K1523" s="64">
        <f>IFERROR(SUMIF(INTAKE!$A:$A,$T1523,INTAKE!$P:$P),0)</f>
        <v>0</v>
      </c>
      <c r="L1523" s="1534">
        <f>+G1523+H1523+I1523-J1523-K1523</f>
        <v>1950.0800000000004</v>
      </c>
      <c r="M1523" s="98"/>
      <c r="N1523" s="1473"/>
      <c r="O1523" s="98"/>
      <c r="P1523" s="759"/>
      <c r="Q1523" s="795"/>
      <c r="R1523" s="785">
        <f>IFERROR(VLOOKUP($Q1523,'391'!$S:$Z,8,0),"")</f>
        <v>0</v>
      </c>
      <c r="S1523" s="796"/>
      <c r="T1523" s="797" t="str">
        <f t="shared" si="916"/>
        <v>Rumifat R100 (Malaysia)Feedmil46204</v>
      </c>
      <c r="U1523" s="797"/>
      <c r="V1523" s="797"/>
      <c r="W1523" s="785">
        <f>IFERROR(VLOOKUP($Q1523,'391'!$S:$AG,15,0),0)</f>
        <v>0</v>
      </c>
      <c r="X1523" s="1090">
        <f t="shared" si="913"/>
        <v>2466.3300000000004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184"/>
      <c r="B1524" s="184" t="s">
        <v>1644</v>
      </c>
      <c r="C1524" s="575"/>
      <c r="D1524" s="900"/>
      <c r="E1524" s="901"/>
      <c r="F1524" s="902"/>
      <c r="G1524" s="1297">
        <v>44966.33</v>
      </c>
      <c r="H1524" s="1297">
        <f>+SUM(H1519:H1523)</f>
        <v>0</v>
      </c>
      <c r="I1524" s="1297">
        <f t="shared" ref="I1524:L1524" si="917">+SUM(I1519:I1523)</f>
        <v>0</v>
      </c>
      <c r="J1524" s="1297">
        <f t="shared" si="917"/>
        <v>516.25</v>
      </c>
      <c r="K1524" s="1297">
        <f t="shared" si="917"/>
        <v>0</v>
      </c>
      <c r="L1524" s="1297">
        <f t="shared" si="917"/>
        <v>44450.080000000002</v>
      </c>
      <c r="M1524" s="92">
        <f>IFERROR(R1524/$S$2,"")</f>
        <v>420.13666666666671</v>
      </c>
      <c r="N1524" s="99">
        <f>IFERROR(L1524/M1524,0)</f>
        <v>105.79909711919137</v>
      </c>
      <c r="O1524" s="92">
        <f>IFERROR(SUMIF(ETM!$A:$A,$Q1524,ETM!$E:$E),"")</f>
        <v>432.16666666666663</v>
      </c>
      <c r="P1524" s="741">
        <f>IFERROR(L1524/O1524,0)</f>
        <v>102.85402236791363</v>
      </c>
      <c r="Q1524" s="809" t="s">
        <v>1643</v>
      </c>
      <c r="R1524" s="785">
        <f>IFERROR(VLOOKUP($Q1524,'391'!$S:$Z,8,0),"")</f>
        <v>2520.8200000000002</v>
      </c>
      <c r="S1524" s="796"/>
      <c r="T1524" s="797"/>
      <c r="U1524" s="797"/>
      <c r="V1524" s="797"/>
      <c r="W1524" s="785">
        <f>IFERROR(VLOOKUP($Q1524,'391'!$S:$AG,15,0),0)</f>
        <v>46324.4</v>
      </c>
      <c r="X1524" s="1090">
        <f>G1524-W1524</f>
        <v>-1358.0699999999997</v>
      </c>
      <c r="Y1524" s="785"/>
      <c r="Z1524" s="785"/>
      <c r="AA1524" s="797"/>
      <c r="AB1524" s="797"/>
      <c r="AC1524" s="683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86">
        <f>IF(L1530=0,"",MAX($A$16:A1524)+1)</f>
        <v>103</v>
      </c>
      <c r="B1525" s="2078" t="s">
        <v>1645</v>
      </c>
      <c r="C1525" s="574" t="s">
        <v>2216</v>
      </c>
      <c r="D1525" s="881" t="s">
        <v>10</v>
      </c>
      <c r="E1525" s="882">
        <v>46252</v>
      </c>
      <c r="F1525" s="71">
        <f>$L$7-E1525</f>
        <v>9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>$Q$1530&amp;C1525&amp;E1525</f>
        <v>Rumifat Plus (Malaysia)B18.246252</v>
      </c>
      <c r="U1525" s="797"/>
      <c r="V1525" s="797"/>
      <c r="W1525" s="785">
        <f>IFERROR(VLOOKUP($Q1525,'391'!$S:$AG,15,0),0)</f>
        <v>0</v>
      </c>
      <c r="X1525" s="1090">
        <f t="shared" ref="X1525:X1530" si="918">G1525-W1525</f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customHeight="1" x14ac:dyDescent="0.25">
      <c r="A1526" s="2124"/>
      <c r="B1526" s="2085"/>
      <c r="C1526" s="574" t="s">
        <v>1190</v>
      </c>
      <c r="D1526" s="881" t="s">
        <v>10</v>
      </c>
      <c r="E1526" s="882">
        <v>46259</v>
      </c>
      <c r="F1526" s="71">
        <f>$L$7-E1526</f>
        <v>2</v>
      </c>
      <c r="G1526" s="64">
        <v>15000</v>
      </c>
      <c r="H1526" s="64"/>
      <c r="I1526" s="64"/>
      <c r="J1526" s="1367"/>
      <c r="K1526" s="64">
        <f>IFERROR(SUMIF(INTAKE!$A:$A,$T1526,INTAKE!$P:$P),0)</f>
        <v>0</v>
      </c>
      <c r="L1526" s="1670">
        <f>+G1526+H1526+I1526-J1526-K1526</f>
        <v>15000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19">$Q$1530&amp;C1526&amp;E1526</f>
        <v>Rumifat Plus (Malaysia)A18.146259</v>
      </c>
      <c r="U1526" s="797"/>
      <c r="V1526" s="797"/>
      <c r="W1526" s="785">
        <f>IFERROR(VLOOKUP($Q1526,'391'!$S:$AG,15,0),0)</f>
        <v>0</v>
      </c>
      <c r="X1526" s="1090">
        <f t="shared" ref="X1526:X1527" si="920">G1526-W1526</f>
        <v>15000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124"/>
      <c r="B1527" s="2085"/>
      <c r="C1527" s="574" t="s">
        <v>360</v>
      </c>
      <c r="D1527" s="881" t="s">
        <v>10</v>
      </c>
      <c r="E1527" s="882">
        <v>46259</v>
      </c>
      <c r="F1527" s="71">
        <f>$L$7-E1527</f>
        <v>2</v>
      </c>
      <c r="G1527" s="64">
        <v>5000</v>
      </c>
      <c r="H1527" s="64"/>
      <c r="I1527" s="64"/>
      <c r="J1527" s="1367"/>
      <c r="K1527" s="64">
        <f>IFERROR(SUMIF(INTAKE!$A:$A,$T1527,INTAKE!$P:$P),0)</f>
        <v>0</v>
      </c>
      <c r="L1527" s="1670">
        <f>+G1527+H1527+I1527-J1527-K1527</f>
        <v>5000</v>
      </c>
      <c r="M1527" s="102"/>
      <c r="N1527" s="103"/>
      <c r="O1527" s="102"/>
      <c r="P1527" s="739"/>
      <c r="Q1527" s="795"/>
      <c r="R1527" s="785">
        <f>IFERROR(VLOOKUP($Q1527,'391'!$S:$Z,8,0),"")</f>
        <v>0</v>
      </c>
      <c r="S1527" s="796"/>
      <c r="T1527" s="797" t="str">
        <f t="shared" si="919"/>
        <v>Rumifat Plus (Malaysia)A19.246259</v>
      </c>
      <c r="U1527" s="797"/>
      <c r="V1527" s="797"/>
      <c r="W1527" s="785">
        <f>IFERROR(VLOOKUP($Q1527,'391'!$S:$AG,15,0),0)</f>
        <v>0</v>
      </c>
      <c r="X1527" s="1090">
        <f t="shared" si="920"/>
        <v>5000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hidden="1" customHeight="1" x14ac:dyDescent="0.25">
      <c r="A1528" s="2087"/>
      <c r="B1528" s="2079"/>
      <c r="C1528" s="574"/>
      <c r="D1528" s="881" t="s">
        <v>10</v>
      </c>
      <c r="E1528" s="882">
        <v>46234</v>
      </c>
      <c r="F1528" s="71">
        <f>$L$7-E1528</f>
        <v>27</v>
      </c>
      <c r="G1528" s="64">
        <v>0</v>
      </c>
      <c r="H1528" s="64"/>
      <c r="I1528" s="64"/>
      <c r="J1528" s="1367"/>
      <c r="K1528" s="64">
        <f>IFERROR(SUMIF(INTAKE!$A:$A,$T1528,INTAKE!$P:$P),0)</f>
        <v>0</v>
      </c>
      <c r="L1528" s="1670">
        <f>+G1528+H1528+I1528-J1528-K1528</f>
        <v>0</v>
      </c>
      <c r="M1528" s="102"/>
      <c r="N1528" s="103"/>
      <c r="O1528" s="102"/>
      <c r="P1528" s="739"/>
      <c r="Q1528" s="795"/>
      <c r="R1528" s="785">
        <f>IFERROR(VLOOKUP($Q1528,'391'!$S:$Z,8,0),"")</f>
        <v>0</v>
      </c>
      <c r="S1528" s="796"/>
      <c r="T1528" s="797" t="str">
        <f t="shared" ref="T1528:T1529" si="921">$Q$1530&amp;C1528&amp;E1528</f>
        <v>Rumifat Plus (Malaysia)46234</v>
      </c>
      <c r="U1528" s="797"/>
      <c r="V1528" s="797"/>
      <c r="W1528" s="785">
        <f>IFERROR(VLOOKUP($Q1528,'391'!$S:$AG,15,0),0)</f>
        <v>0</v>
      </c>
      <c r="X1528" s="1090">
        <f t="shared" si="918"/>
        <v>0</v>
      </c>
      <c r="Y1528" s="785"/>
      <c r="Z1528" s="785"/>
      <c r="AA1528" s="797"/>
      <c r="AB1528" s="797"/>
      <c r="AC1528" s="551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88"/>
      <c r="B1529" s="2071"/>
      <c r="C1529" s="138" t="s">
        <v>76</v>
      </c>
      <c r="D1529" s="884" t="s">
        <v>10</v>
      </c>
      <c r="E1529" s="885">
        <v>46252</v>
      </c>
      <c r="F1529" s="293">
        <f>$L$7-E1529</f>
        <v>9</v>
      </c>
      <c r="G1529" s="1214">
        <v>47535.81</v>
      </c>
      <c r="H1529" s="37"/>
      <c r="I1529" s="37">
        <f>SUM(K1525:K1529)</f>
        <v>0</v>
      </c>
      <c r="J1529" s="1385">
        <f>usage!I200</f>
        <v>3200</v>
      </c>
      <c r="K1529" s="64">
        <f>IFERROR(SUMIF(INTAKE!$A:$A,$T1529,INTAKE!$P:$P),0)</f>
        <v>0</v>
      </c>
      <c r="L1529" s="1534">
        <f>+G1529+H1529+I1529-J1529-K1529</f>
        <v>44335.81</v>
      </c>
      <c r="M1529" s="98"/>
      <c r="N1529" s="1473"/>
      <c r="O1529" s="98"/>
      <c r="P1529" s="759"/>
      <c r="Q1529" s="795"/>
      <c r="R1529" s="785">
        <f>IFERROR(VLOOKUP($Q1529,'391'!$S:$Z,8,0),"")</f>
        <v>0</v>
      </c>
      <c r="S1529" s="796"/>
      <c r="T1529" s="797" t="str">
        <f t="shared" si="921"/>
        <v>Rumifat Plus (Malaysia)Feedmil46252</v>
      </c>
      <c r="U1529" s="797"/>
      <c r="V1529" s="797"/>
      <c r="W1529" s="785">
        <f>IFERROR(VLOOKUP($Q1529,'391'!$S:$AG,15,0),0)</f>
        <v>0</v>
      </c>
      <c r="X1529" s="1090">
        <f t="shared" si="918"/>
        <v>47535.81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184"/>
      <c r="B1530" s="184" t="s">
        <v>1646</v>
      </c>
      <c r="C1530" s="575"/>
      <c r="D1530" s="900"/>
      <c r="E1530" s="901"/>
      <c r="F1530" s="902"/>
      <c r="G1530" s="1297">
        <v>67535.81</v>
      </c>
      <c r="H1530" s="1297">
        <f>+SUM(H1525:H1529)</f>
        <v>0</v>
      </c>
      <c r="I1530" s="1297">
        <f t="shared" ref="I1530:L1530" si="922">+SUM(I1525:I1529)</f>
        <v>0</v>
      </c>
      <c r="J1530" s="1297">
        <f t="shared" si="922"/>
        <v>3200</v>
      </c>
      <c r="K1530" s="1297">
        <f t="shared" si="922"/>
        <v>0</v>
      </c>
      <c r="L1530" s="1297">
        <f t="shared" si="922"/>
        <v>64335.81</v>
      </c>
      <c r="M1530" s="92">
        <f>IFERROR(R1530/$S$2,"")</f>
        <v>2878.3333333333335</v>
      </c>
      <c r="N1530" s="99">
        <f>IFERROR(L1530/M1530,0)</f>
        <v>22.351757961783438</v>
      </c>
      <c r="O1530" s="92">
        <f>IFERROR(SUMIF(ETM!$A:$A,$Q1530,ETM!$E:$E),"")</f>
        <v>2984.833333333333</v>
      </c>
      <c r="P1530" s="741">
        <f>IFERROR(L1530/O1530,0)</f>
        <v>21.554238650957622</v>
      </c>
      <c r="Q1530" s="809" t="s">
        <v>1645</v>
      </c>
      <c r="R1530" s="785">
        <f>IFERROR(VLOOKUP($Q1530,'391'!$S:$Z,8,0),"")</f>
        <v>17270</v>
      </c>
      <c r="S1530" s="796"/>
      <c r="T1530" s="797"/>
      <c r="U1530" s="797"/>
      <c r="V1530" s="797"/>
      <c r="W1530" s="785">
        <f>IFERROR(VLOOKUP($Q1530,'391'!$S:$AG,15,0),0)</f>
        <v>57406.81</v>
      </c>
      <c r="X1530" s="1090">
        <f t="shared" si="918"/>
        <v>10129</v>
      </c>
      <c r="Y1530" s="785"/>
      <c r="Z1530" s="785"/>
      <c r="AA1530" s="797"/>
      <c r="AB1530" s="797"/>
      <c r="AC1530" s="683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86">
        <f>IF(L1534=0,"",MAX($A$16:A1530)+1)</f>
        <v>104</v>
      </c>
      <c r="B1531" s="2078" t="s">
        <v>1731</v>
      </c>
      <c r="C1531" s="574" t="s">
        <v>1232</v>
      </c>
      <c r="D1531" s="881" t="s">
        <v>10</v>
      </c>
      <c r="E1531" s="882">
        <v>46038</v>
      </c>
      <c r="F1531" s="71">
        <f>$L$7-E1531</f>
        <v>223</v>
      </c>
      <c r="G1531" s="64">
        <v>40</v>
      </c>
      <c r="H1531" s="64"/>
      <c r="I1531" s="64"/>
      <c r="J1531" s="1367"/>
      <c r="K1531" s="64">
        <f>IFERROR(SUMIF(INTAKE!$A:$A,$T1531,INTAKE!$P:$P),0)</f>
        <v>0</v>
      </c>
      <c r="L1531" s="1670">
        <f>+G1531+H1531+I1531-J1531-K1531</f>
        <v>40</v>
      </c>
      <c r="M1531" s="102"/>
      <c r="N1531" s="103"/>
      <c r="O1531" s="102"/>
      <c r="P1531" s="739"/>
      <c r="Q1531" s="795"/>
      <c r="R1531" s="785">
        <f>IFERROR(VLOOKUP($Q1531,'391'!$S:$Z,8,0),"")</f>
        <v>0</v>
      </c>
      <c r="S1531" s="796"/>
      <c r="T1531" s="797" t="str">
        <f>$Q$1534&amp;C1531&amp;E1531</f>
        <v>DELTA  ACIDOLINE XT (France)V6.246038</v>
      </c>
      <c r="U1531" s="797"/>
      <c r="V1531" s="797"/>
      <c r="W1531" s="785">
        <f>IFERROR(VLOOKUP($Q1531,'391'!$S:$AG,15,0),0)</f>
        <v>0</v>
      </c>
      <c r="X1531" s="1090">
        <f t="shared" ref="X1531:X1534" si="923">G1531-W1531</f>
        <v>40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2087"/>
      <c r="B1532" s="2079"/>
      <c r="C1532" s="574" t="s">
        <v>1232</v>
      </c>
      <c r="D1532" s="881" t="s">
        <v>10</v>
      </c>
      <c r="E1532" s="882">
        <v>46052</v>
      </c>
      <c r="F1532" s="71">
        <f>$L$7-E1532</f>
        <v>209</v>
      </c>
      <c r="G1532" s="64">
        <v>500</v>
      </c>
      <c r="H1532" s="64"/>
      <c r="I1532" s="64"/>
      <c r="J1532" s="1367"/>
      <c r="K1532" s="64">
        <f>IFERROR(SUMIF(INTAKE!$A:$A,$T1532,INTAKE!$P:$P),0)</f>
        <v>0</v>
      </c>
      <c r="L1532" s="1670">
        <f>+G1532+H1532+I1532-J1532-K1532</f>
        <v>500</v>
      </c>
      <c r="M1532" s="102"/>
      <c r="N1532" s="103"/>
      <c r="O1532" s="102"/>
      <c r="P1532" s="739"/>
      <c r="Q1532" s="795"/>
      <c r="R1532" s="785">
        <f>IFERROR(VLOOKUP($Q1532,'391'!$S:$Z,8,0),"")</f>
        <v>0</v>
      </c>
      <c r="S1532" s="796"/>
      <c r="T1532" s="797" t="str">
        <f t="shared" ref="T1532:T1533" si="924">$Q$1534&amp;C1532&amp;E1532</f>
        <v>DELTA  ACIDOLINE XT (France)V6.246052</v>
      </c>
      <c r="U1532" s="797"/>
      <c r="V1532" s="797"/>
      <c r="W1532" s="785">
        <f>IFERROR(VLOOKUP($Q1532,'391'!$S:$AG,15,0),0)</f>
        <v>0</v>
      </c>
      <c r="X1532" s="1090">
        <f t="shared" si="923"/>
        <v>500</v>
      </c>
      <c r="Y1532" s="785"/>
      <c r="Z1532" s="785"/>
      <c r="AA1532" s="797"/>
      <c r="AB1532" s="797"/>
      <c r="AC1532" s="551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88"/>
      <c r="B1533" s="2071"/>
      <c r="C1533" s="138" t="s">
        <v>76</v>
      </c>
      <c r="D1533" s="884" t="s">
        <v>10</v>
      </c>
      <c r="E1533" s="885">
        <v>46038</v>
      </c>
      <c r="F1533" s="293">
        <f>$L$7-E1533</f>
        <v>223</v>
      </c>
      <c r="G1533" s="1214">
        <v>33.72</v>
      </c>
      <c r="H1533" s="37"/>
      <c r="I1533" s="37">
        <f>+K1532+K1531</f>
        <v>0</v>
      </c>
      <c r="J1533" s="1385">
        <f>usage!I211</f>
        <v>0</v>
      </c>
      <c r="K1533" s="64">
        <f>IFERROR(SUMIF(INTAKE!$A:$A,$T1533,INTAKE!$P:$P),0)</f>
        <v>0</v>
      </c>
      <c r="L1533" s="1534">
        <f>+G1533+H1533+I1533-J1533-K1533</f>
        <v>33.72</v>
      </c>
      <c r="M1533" s="98"/>
      <c r="N1533" s="1473"/>
      <c r="O1533" s="98"/>
      <c r="P1533" s="759"/>
      <c r="Q1533" s="795"/>
      <c r="R1533" s="785">
        <f>IFERROR(VLOOKUP($Q1533,'391'!$S:$Z,8,0),"")</f>
        <v>0</v>
      </c>
      <c r="S1533" s="796"/>
      <c r="T1533" s="797" t="str">
        <f t="shared" si="924"/>
        <v>DELTA  ACIDOLINE XT (France)Feedmil46038</v>
      </c>
      <c r="U1533" s="797"/>
      <c r="V1533" s="797"/>
      <c r="W1533" s="785">
        <f>IFERROR(VLOOKUP($Q1533,'391'!$S:$AG,15,0),0)</f>
        <v>0</v>
      </c>
      <c r="X1533" s="1090">
        <f t="shared" si="923"/>
        <v>33.72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184"/>
      <c r="B1534" s="184" t="s">
        <v>1732</v>
      </c>
      <c r="C1534" s="575"/>
      <c r="D1534" s="900"/>
      <c r="E1534" s="901"/>
      <c r="F1534" s="902"/>
      <c r="G1534" s="1297">
        <v>573.72</v>
      </c>
      <c r="H1534" s="1297">
        <f>+SUM(H1531:H1533)</f>
        <v>0</v>
      </c>
      <c r="I1534" s="1297">
        <f t="shared" ref="I1534:L1534" si="925">+SUM(I1531:I1533)</f>
        <v>0</v>
      </c>
      <c r="J1534" s="1297">
        <f t="shared" si="925"/>
        <v>0</v>
      </c>
      <c r="K1534" s="1297">
        <f t="shared" si="925"/>
        <v>0</v>
      </c>
      <c r="L1534" s="1297">
        <f t="shared" si="925"/>
        <v>573.72</v>
      </c>
      <c r="M1534" s="92">
        <f>IFERROR(R1534/$S$2,"")</f>
        <v>0</v>
      </c>
      <c r="N1534" s="99">
        <f>IFERROR(L1534/M1534,0)</f>
        <v>0</v>
      </c>
      <c r="O1534" s="92">
        <f>IFERROR(SUMIF(ETM!$A:$A,$Q1534,ETM!$E:$E),"")</f>
        <v>0</v>
      </c>
      <c r="P1534" s="741">
        <f>IFERROR(L1534/O1534,0)</f>
        <v>0</v>
      </c>
      <c r="Q1534" s="666" t="s">
        <v>1731</v>
      </c>
      <c r="R1534" s="785">
        <f>IFERROR(VLOOKUP($Q1534,'391'!$S:$Z,8,0),"")</f>
        <v>0</v>
      </c>
      <c r="S1534" s="796"/>
      <c r="T1534" s="797"/>
      <c r="U1534" s="797"/>
      <c r="V1534" s="797"/>
      <c r="W1534" s="785">
        <f>IFERROR(VLOOKUP($Q1534,'391'!$S:$AG,15,0),0)</f>
        <v>573.72</v>
      </c>
      <c r="X1534" s="1090">
        <f t="shared" si="923"/>
        <v>0</v>
      </c>
      <c r="Y1534" s="785"/>
      <c r="Z1534" s="785"/>
      <c r="AA1534" s="797"/>
      <c r="AB1534" s="797"/>
      <c r="AC1534" s="683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86">
        <f>IF(L1540=0,"",MAX($A$16:A1534)+1)</f>
        <v>105</v>
      </c>
      <c r="B1535" s="2078" t="s">
        <v>1733</v>
      </c>
      <c r="C1535" s="574" t="s">
        <v>1797</v>
      </c>
      <c r="D1535" s="881" t="s">
        <v>10</v>
      </c>
      <c r="E1535" s="882">
        <v>46202</v>
      </c>
      <c r="F1535" s="71">
        <f>$L$7-E1535</f>
        <v>59</v>
      </c>
      <c r="G1535" s="64">
        <v>25</v>
      </c>
      <c r="H1535" s="64"/>
      <c r="I1535" s="64"/>
      <c r="J1535" s="1367"/>
      <c r="K1535" s="64">
        <f>IFERROR(SUMIF(INTAKE!$A:$A,$T1535,INTAKE!$P:$P),0)</f>
        <v>0</v>
      </c>
      <c r="L1535" s="1670">
        <f>+G1535+H1535+I1535-J1535-K1535</f>
        <v>25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>$Q$1540&amp;C1535&amp;E1535</f>
        <v>Kemzin 2000 Dry (Singapore)V5.246202</v>
      </c>
      <c r="U1535" s="797"/>
      <c r="V1535" s="797"/>
      <c r="W1535" s="785">
        <f>IFERROR(VLOOKUP($Q1535,'391'!$S:$AG,15,0),0)</f>
        <v>0</v>
      </c>
      <c r="X1535" s="1090">
        <f t="shared" ref="X1535:X1540" si="926">G1535-W1535</f>
        <v>25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customHeight="1" x14ac:dyDescent="0.25">
      <c r="A1536" s="2124"/>
      <c r="B1536" s="2085"/>
      <c r="C1536" s="574" t="s">
        <v>1797</v>
      </c>
      <c r="D1536" s="881" t="s">
        <v>10</v>
      </c>
      <c r="E1536" s="882">
        <v>46218</v>
      </c>
      <c r="F1536" s="71">
        <f>$L$7-E1536</f>
        <v>43</v>
      </c>
      <c r="G1536" s="64">
        <v>75</v>
      </c>
      <c r="H1536" s="64"/>
      <c r="I1536" s="64"/>
      <c r="J1536" s="1367"/>
      <c r="K1536" s="64">
        <f>IFERROR(SUMIF(INTAKE!$A:$A,$T1536,INTAKE!$P:$P),0)</f>
        <v>0</v>
      </c>
      <c r="L1536" s="1670">
        <f>+G1536+H1536+I1536-J1536-K1536</f>
        <v>75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ref="T1536:T1539" si="927">$Q$1540&amp;C1536&amp;E1536</f>
        <v>Kemzin 2000 Dry (Singapore)V5.246218</v>
      </c>
      <c r="U1536" s="797"/>
      <c r="V1536" s="797"/>
      <c r="W1536" s="785">
        <f>IFERROR(VLOOKUP($Q1536,'391'!$S:$AG,15,0),0)</f>
        <v>0</v>
      </c>
      <c r="X1536" s="1090">
        <f t="shared" ref="X1536:X1537" si="928">G1536-W1536</f>
        <v>75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124"/>
      <c r="B1537" s="2085"/>
      <c r="C1537" s="574" t="s">
        <v>1797</v>
      </c>
      <c r="D1537" s="881" t="s">
        <v>10</v>
      </c>
      <c r="E1537" s="882">
        <v>46245</v>
      </c>
      <c r="F1537" s="71">
        <f>$L$7-E1537</f>
        <v>16</v>
      </c>
      <c r="G1537" s="64">
        <v>75</v>
      </c>
      <c r="H1537" s="64"/>
      <c r="I1537" s="64"/>
      <c r="J1537" s="1367"/>
      <c r="K1537" s="64">
        <f>IFERROR(SUMIF(INTAKE!$A:$A,$T1537,INTAKE!$P:$P),0)</f>
        <v>0</v>
      </c>
      <c r="L1537" s="1670">
        <f>+G1537+H1537+I1537-J1537-K1537</f>
        <v>75</v>
      </c>
      <c r="M1537" s="102"/>
      <c r="N1537" s="103"/>
      <c r="O1537" s="102"/>
      <c r="P1537" s="739"/>
      <c r="Q1537" s="795"/>
      <c r="R1537" s="785">
        <f>IFERROR(VLOOKUP($Q1537,'391'!$S:$Z,8,0),"")</f>
        <v>0</v>
      </c>
      <c r="S1537" s="796"/>
      <c r="T1537" s="797" t="str">
        <f t="shared" si="927"/>
        <v>Kemzin 2000 Dry (Singapore)V5.246245</v>
      </c>
      <c r="U1537" s="797"/>
      <c r="V1537" s="797"/>
      <c r="W1537" s="785">
        <f>IFERROR(VLOOKUP($Q1537,'391'!$S:$AG,15,0),0)</f>
        <v>0</v>
      </c>
      <c r="X1537" s="1090">
        <f t="shared" si="928"/>
        <v>75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hidden="1" customHeight="1" x14ac:dyDescent="0.25">
      <c r="A1538" s="2087"/>
      <c r="B1538" s="2079"/>
      <c r="C1538" s="574"/>
      <c r="D1538" s="881" t="s">
        <v>10</v>
      </c>
      <c r="E1538" s="882">
        <v>46255</v>
      </c>
      <c r="F1538" s="71">
        <f>$L$7-E1538</f>
        <v>6</v>
      </c>
      <c r="G1538" s="64">
        <v>0</v>
      </c>
      <c r="H1538" s="64"/>
      <c r="I1538" s="64"/>
      <c r="J1538" s="1367"/>
      <c r="K1538" s="64">
        <f>IFERROR(SUMIF(INTAKE!$A:$A,$T1538,INTAKE!$P:$P),0)</f>
        <v>0</v>
      </c>
      <c r="L1538" s="1670">
        <f>+G1538+H1538+I1538-J1538-K1538</f>
        <v>0</v>
      </c>
      <c r="M1538" s="102"/>
      <c r="N1538" s="103"/>
      <c r="O1538" s="102"/>
      <c r="P1538" s="739"/>
      <c r="Q1538" s="795"/>
      <c r="R1538" s="785">
        <f>IFERROR(VLOOKUP($Q1538,'391'!$S:$Z,8,0),"")</f>
        <v>0</v>
      </c>
      <c r="S1538" s="796"/>
      <c r="T1538" s="797" t="str">
        <f t="shared" si="927"/>
        <v>Kemzin 2000 Dry (Singapore)46255</v>
      </c>
      <c r="U1538" s="797"/>
      <c r="V1538" s="797"/>
      <c r="W1538" s="785">
        <f>IFERROR(VLOOKUP($Q1538,'391'!$S:$AG,15,0),0)</f>
        <v>0</v>
      </c>
      <c r="X1538" s="1090">
        <f t="shared" si="926"/>
        <v>0</v>
      </c>
      <c r="Y1538" s="785"/>
      <c r="Z1538" s="785"/>
      <c r="AA1538" s="797"/>
      <c r="AB1538" s="797"/>
      <c r="AC1538" s="551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88"/>
      <c r="B1539" s="2071"/>
      <c r="C1539" s="138" t="s">
        <v>76</v>
      </c>
      <c r="D1539" s="884" t="s">
        <v>10</v>
      </c>
      <c r="E1539" s="885">
        <v>46202</v>
      </c>
      <c r="F1539" s="293">
        <f>$L$7-E1539</f>
        <v>59</v>
      </c>
      <c r="G1539" s="1214">
        <v>32.590000000000003</v>
      </c>
      <c r="H1539" s="37"/>
      <c r="I1539" s="37">
        <f>+K1538+K1535</f>
        <v>0</v>
      </c>
      <c r="J1539" s="1385">
        <f>usage!I213</f>
        <v>2.44</v>
      </c>
      <c r="K1539" s="64">
        <f>IFERROR(SUMIF(INTAKE!$A:$A,$T1539,INTAKE!$P:$P),0)</f>
        <v>0</v>
      </c>
      <c r="L1539" s="1534">
        <f>+G1539+H1539+I1539-J1539-K1539</f>
        <v>30.150000000000002</v>
      </c>
      <c r="M1539" s="98"/>
      <c r="N1539" s="1473"/>
      <c r="O1539" s="98"/>
      <c r="P1539" s="759"/>
      <c r="Q1539" s="795"/>
      <c r="R1539" s="785">
        <f>IFERROR(VLOOKUP($Q1539,'391'!$S:$Z,8,0),"")</f>
        <v>0</v>
      </c>
      <c r="S1539" s="796"/>
      <c r="T1539" s="797" t="str">
        <f t="shared" si="927"/>
        <v>Kemzin 2000 Dry (Singapore)Feedmil46202</v>
      </c>
      <c r="U1539" s="797"/>
      <c r="V1539" s="797"/>
      <c r="W1539" s="785">
        <f>IFERROR(VLOOKUP($Q1539,'391'!$S:$AG,15,0),0)</f>
        <v>0</v>
      </c>
      <c r="X1539" s="1090">
        <f t="shared" si="926"/>
        <v>32.590000000000003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customHeight="1" x14ac:dyDescent="0.25">
      <c r="A1540" s="184"/>
      <c r="B1540" s="184" t="s">
        <v>1734</v>
      </c>
      <c r="C1540" s="575"/>
      <c r="D1540" s="900"/>
      <c r="E1540" s="901"/>
      <c r="F1540" s="902"/>
      <c r="G1540" s="1297">
        <v>207.59</v>
      </c>
      <c r="H1540" s="1297">
        <f>+SUM(H1535:H1539)</f>
        <v>0</v>
      </c>
      <c r="I1540" s="1297">
        <f t="shared" ref="I1540:L1540" si="929">+SUM(I1535:I1539)</f>
        <v>0</v>
      </c>
      <c r="J1540" s="1297">
        <f t="shared" si="929"/>
        <v>2.44</v>
      </c>
      <c r="K1540" s="1297">
        <f t="shared" si="929"/>
        <v>0</v>
      </c>
      <c r="L1540" s="1297">
        <f t="shared" si="929"/>
        <v>205.15</v>
      </c>
      <c r="M1540" s="92">
        <f>IFERROR(R1540/$S$2,"")</f>
        <v>2.5216666666666669</v>
      </c>
      <c r="N1540" s="99">
        <f>IFERROR(L1540/M1540,0)</f>
        <v>81.354923992068734</v>
      </c>
      <c r="O1540" s="92">
        <f>IFERROR(SUMIF(ETM!$A:$A,$Q1540,ETM!$E:$E),"")</f>
        <v>2.9999999999999996</v>
      </c>
      <c r="P1540" s="741">
        <f>IFERROR(L1540/O1540,0)</f>
        <v>68.38333333333334</v>
      </c>
      <c r="Q1540" s="1163" t="s">
        <v>1733</v>
      </c>
      <c r="R1540" s="785">
        <f>IFERROR(VLOOKUP($Q1540,'391'!$S:$Z,8,0),"")</f>
        <v>15.13</v>
      </c>
      <c r="S1540" s="796"/>
      <c r="T1540" s="797"/>
      <c r="U1540" s="797"/>
      <c r="V1540" s="797"/>
      <c r="W1540" s="785">
        <f>IFERROR(VLOOKUP($Q1540,'391'!$S:$AG,15,0),0)</f>
        <v>216.48000000000002</v>
      </c>
      <c r="X1540" s="1090">
        <f t="shared" si="926"/>
        <v>-8.8900000000000148</v>
      </c>
      <c r="Y1540" s="785"/>
      <c r="Z1540" s="785"/>
      <c r="AA1540" s="797"/>
      <c r="AB1540" s="797"/>
      <c r="AC1540" s="683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86">
        <f>IF(L1544=0,"",MAX($A$16:A1540)+1)</f>
        <v>106</v>
      </c>
      <c r="B1541" s="2078" t="s">
        <v>1739</v>
      </c>
      <c r="C1541" s="574" t="s">
        <v>1689</v>
      </c>
      <c r="D1541" s="881" t="s">
        <v>10</v>
      </c>
      <c r="E1541" s="882">
        <v>46151</v>
      </c>
      <c r="F1541" s="71">
        <f>$L$7-E1541</f>
        <v>110</v>
      </c>
      <c r="G1541" s="64">
        <v>125</v>
      </c>
      <c r="H1541" s="64"/>
      <c r="I1541" s="64"/>
      <c r="J1541" s="1367"/>
      <c r="K1541" s="64">
        <f>IFERROR(SUMIF(INTAKE!$A:$A,$T1541,INTAKE!$P:$P),0)</f>
        <v>25</v>
      </c>
      <c r="L1541" s="1670">
        <f>+G1541+H1541+I1541-J1541-K1541</f>
        <v>100</v>
      </c>
      <c r="M1541" s="102"/>
      <c r="N1541" s="103"/>
      <c r="O1541" s="102"/>
      <c r="P1541" s="739"/>
      <c r="Q1541" s="795"/>
      <c r="R1541" s="785">
        <f>IFERROR(VLOOKUP($Q1541,'391'!$S:$Z,8,0),"")</f>
        <v>0</v>
      </c>
      <c r="S1541" s="796"/>
      <c r="T1541" s="797" t="str">
        <f>$Q$1544&amp;C1541&amp;E1541</f>
        <v>Diamond V Original XPC Ultra (USA)Y2.146151</v>
      </c>
      <c r="U1541" s="797"/>
      <c r="V1541" s="797"/>
      <c r="W1541" s="785">
        <f>IFERROR(VLOOKUP($Q1541,'391'!$S:$AG,15,0),0)</f>
        <v>0</v>
      </c>
      <c r="X1541" s="1090">
        <f t="shared" ref="X1541:X1544" si="930">G1541-W1541</f>
        <v>125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2087"/>
      <c r="B1542" s="2079"/>
      <c r="C1542" s="574" t="s">
        <v>1689</v>
      </c>
      <c r="D1542" s="881" t="s">
        <v>10</v>
      </c>
      <c r="E1542" s="882">
        <v>46210</v>
      </c>
      <c r="F1542" s="71">
        <f>$L$7-E1542</f>
        <v>51</v>
      </c>
      <c r="G1542" s="64">
        <v>2000</v>
      </c>
      <c r="H1542" s="64"/>
      <c r="I1542" s="64"/>
      <c r="J1542" s="1367"/>
      <c r="K1542" s="64">
        <f>IFERROR(SUMIF(INTAKE!$A:$A,$T1542,INTAKE!$P:$P),0)</f>
        <v>0</v>
      </c>
      <c r="L1542" s="1670">
        <f>+G1542+H1542+I1542-J1542-K1542</f>
        <v>2000</v>
      </c>
      <c r="M1542" s="102"/>
      <c r="N1542" s="103"/>
      <c r="O1542" s="102"/>
      <c r="P1542" s="739"/>
      <c r="Q1542" s="795"/>
      <c r="R1542" s="785">
        <f>IFERROR(VLOOKUP($Q1542,'391'!$S:$Z,8,0),"")</f>
        <v>0</v>
      </c>
      <c r="S1542" s="796"/>
      <c r="T1542" s="797" t="str">
        <f t="shared" ref="T1542:T1543" si="931">$Q$1544&amp;C1542&amp;E1542</f>
        <v>Diamond V Original XPC Ultra (USA)Y2.146210</v>
      </c>
      <c r="U1542" s="797"/>
      <c r="V1542" s="797"/>
      <c r="W1542" s="785">
        <f>IFERROR(VLOOKUP($Q1542,'391'!$S:$AG,15,0),0)</f>
        <v>0</v>
      </c>
      <c r="X1542" s="1090">
        <f t="shared" si="930"/>
        <v>2000</v>
      </c>
      <c r="Y1542" s="785"/>
      <c r="Z1542" s="785"/>
      <c r="AA1542" s="797"/>
      <c r="AB1542" s="797"/>
      <c r="AC1542" s="551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88"/>
      <c r="B1543" s="2071"/>
      <c r="C1543" s="138" t="s">
        <v>76</v>
      </c>
      <c r="D1543" s="884" t="s">
        <v>10</v>
      </c>
      <c r="E1543" s="885">
        <v>46151</v>
      </c>
      <c r="F1543" s="293">
        <f>$L$7-E1543</f>
        <v>110</v>
      </c>
      <c r="G1543" s="1214">
        <v>15.539999999999992</v>
      </c>
      <c r="H1543" s="37"/>
      <c r="I1543" s="37">
        <f>+K1542+K1541</f>
        <v>25</v>
      </c>
      <c r="J1543" s="1385">
        <f>usage!I217</f>
        <v>0</v>
      </c>
      <c r="K1543" s="64">
        <f>IFERROR(SUMIF(INTAKE!$A:$A,$T1543,INTAKE!$P:$P),0)</f>
        <v>0</v>
      </c>
      <c r="L1543" s="1534">
        <f>+G1543+H1543+I1543-J1543-K1543</f>
        <v>40.539999999999992</v>
      </c>
      <c r="M1543" s="98"/>
      <c r="N1543" s="1473"/>
      <c r="O1543" s="98"/>
      <c r="P1543" s="759"/>
      <c r="Q1543" s="795"/>
      <c r="R1543" s="785">
        <f>IFERROR(VLOOKUP($Q1543,'391'!$S:$Z,8,0),"")</f>
        <v>0</v>
      </c>
      <c r="S1543" s="796"/>
      <c r="T1543" s="797" t="str">
        <f t="shared" si="931"/>
        <v>Diamond V Original XPC Ultra (USA)Feedmil46151</v>
      </c>
      <c r="U1543" s="797"/>
      <c r="V1543" s="797"/>
      <c r="W1543" s="785">
        <f>IFERROR(VLOOKUP($Q1543,'391'!$S:$AG,15,0),0)</f>
        <v>0</v>
      </c>
      <c r="X1543" s="1090">
        <f t="shared" si="930"/>
        <v>15.539999999999992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184"/>
      <c r="B1544" s="184" t="s">
        <v>1740</v>
      </c>
      <c r="C1544" s="575"/>
      <c r="D1544" s="900"/>
      <c r="E1544" s="901"/>
      <c r="F1544" s="902"/>
      <c r="G1544" s="1297">
        <v>2140.54</v>
      </c>
      <c r="H1544" s="1297">
        <f>+SUM(H1541:H1543)</f>
        <v>0</v>
      </c>
      <c r="I1544" s="1297">
        <f t="shared" ref="I1544:L1544" si="932">+SUM(I1541:I1543)</f>
        <v>25</v>
      </c>
      <c r="J1544" s="1297">
        <f t="shared" si="932"/>
        <v>0</v>
      </c>
      <c r="K1544" s="1297">
        <f t="shared" si="932"/>
        <v>25</v>
      </c>
      <c r="L1544" s="1297">
        <f t="shared" si="932"/>
        <v>2140.54</v>
      </c>
      <c r="M1544" s="92">
        <f>IFERROR(R1544/$S$2,"")</f>
        <v>12.883333333333333</v>
      </c>
      <c r="N1544" s="99">
        <f>IFERROR(L1544/M1544,0)</f>
        <v>166.14799482535577</v>
      </c>
      <c r="O1544" s="92">
        <f>IFERROR(SUMIF(ETM!$A:$A,$Q1544,ETM!$E:$E),"")</f>
        <v>13.833333333333334</v>
      </c>
      <c r="P1544" s="741">
        <f>IFERROR(L1544/O1544,0)</f>
        <v>154.73783132530119</v>
      </c>
      <c r="Q1544" s="666" t="s">
        <v>1739</v>
      </c>
      <c r="R1544" s="785">
        <f>IFERROR(VLOOKUP($Q1544,'391'!$S:$Z,8,0),"")</f>
        <v>77.3</v>
      </c>
      <c r="S1544" s="796"/>
      <c r="T1544" s="797"/>
      <c r="U1544" s="797"/>
      <c r="V1544" s="797"/>
      <c r="W1544" s="785">
        <f>IFERROR(VLOOKUP($Q1544,'391'!$S:$AG,15,0),0)</f>
        <v>2204.62</v>
      </c>
      <c r="X1544" s="1090">
        <f t="shared" si="930"/>
        <v>-64.079999999999927</v>
      </c>
      <c r="Y1544" s="785"/>
      <c r="Z1544" s="785"/>
      <c r="AA1544" s="797"/>
      <c r="AB1544" s="797"/>
      <c r="AC1544" s="683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86">
        <f>IF(L1549=0,"",MAX($A$16:A1544)+1)</f>
        <v>107</v>
      </c>
      <c r="B1545" s="2078" t="s">
        <v>1742</v>
      </c>
      <c r="C1545" s="574" t="s">
        <v>284</v>
      </c>
      <c r="D1545" s="881" t="s">
        <v>10</v>
      </c>
      <c r="E1545" s="882">
        <v>46218</v>
      </c>
      <c r="F1545" s="71">
        <f>$L$7-E1545</f>
        <v>43</v>
      </c>
      <c r="G1545" s="64">
        <v>5000</v>
      </c>
      <c r="H1545" s="64"/>
      <c r="I1545" s="64"/>
      <c r="J1545" s="1367"/>
      <c r="K1545" s="64">
        <f>IFERROR(SUMIF(INTAKE!$A:$A,$T1545,INTAKE!$P:$P),0)</f>
        <v>0</v>
      </c>
      <c r="L1545" s="1670">
        <f>+G1545+H1545+I1545-J1545-K1545</f>
        <v>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>$Q$1549&amp;C1545&amp;E1545</f>
        <v>Nutracor (Malaysia)A22.446218</v>
      </c>
      <c r="U1545" s="797"/>
      <c r="V1545" s="797"/>
      <c r="W1545" s="785">
        <f>IFERROR(VLOOKUP($Q1545,'391'!$S:$AG,15,0),0)</f>
        <v>0</v>
      </c>
      <c r="X1545" s="1090">
        <f t="shared" ref="X1545:X1549" si="933">G1545-W1545</f>
        <v>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124"/>
      <c r="B1546" s="2085"/>
      <c r="C1546" s="574" t="s">
        <v>284</v>
      </c>
      <c r="D1546" s="881" t="s">
        <v>10</v>
      </c>
      <c r="E1546" s="882">
        <v>46254</v>
      </c>
      <c r="F1546" s="71">
        <f>$L$7-E1546</f>
        <v>7</v>
      </c>
      <c r="G1546" s="64">
        <v>16000</v>
      </c>
      <c r="H1546" s="64"/>
      <c r="I1546" s="64"/>
      <c r="J1546" s="1367"/>
      <c r="K1546" s="64">
        <f>IFERROR(SUMIF(INTAKE!$A:$A,$T1546,INTAKE!$P:$P),0)</f>
        <v>0</v>
      </c>
      <c r="L1546" s="1670">
        <f>+G1546+H1546+I1546-J1546-K1546</f>
        <v>16000</v>
      </c>
      <c r="M1546" s="102"/>
      <c r="N1546" s="103"/>
      <c r="O1546" s="102"/>
      <c r="P1546" s="739"/>
      <c r="Q1546" s="795"/>
      <c r="R1546" s="785">
        <f>IFERROR(VLOOKUP($Q1546,'391'!$S:$Z,8,0),"")</f>
        <v>0</v>
      </c>
      <c r="S1546" s="796"/>
      <c r="T1546" s="797" t="str">
        <f t="shared" ref="T1546" si="934">$Q$1549&amp;C1546&amp;E1546</f>
        <v>Nutracor (Malaysia)A22.446254</v>
      </c>
      <c r="U1546" s="797"/>
      <c r="V1546" s="797"/>
      <c r="W1546" s="785">
        <f>IFERROR(VLOOKUP($Q1546,'391'!$S:$AG,15,0),0)</f>
        <v>0</v>
      </c>
      <c r="X1546" s="1090">
        <f t="shared" ref="X1546" si="935">G1546-W1546</f>
        <v>16000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2087"/>
      <c r="B1547" s="2079"/>
      <c r="C1547" s="574" t="s">
        <v>284</v>
      </c>
      <c r="D1547" s="881" t="s">
        <v>10</v>
      </c>
      <c r="E1547" s="882">
        <v>46255</v>
      </c>
      <c r="F1547" s="71">
        <f>$L$7-E1547</f>
        <v>6</v>
      </c>
      <c r="G1547" s="64">
        <v>2500</v>
      </c>
      <c r="H1547" s="64"/>
      <c r="I1547" s="64"/>
      <c r="J1547" s="1367"/>
      <c r="K1547" s="64">
        <f>IFERROR(SUMIF(INTAKE!$A:$A,$T1547,INTAKE!$P:$P),0)</f>
        <v>0</v>
      </c>
      <c r="L1547" s="1670">
        <f>+G1547+H1547+I1547-J1547-K1547</f>
        <v>2500</v>
      </c>
      <c r="M1547" s="102"/>
      <c r="N1547" s="103"/>
      <c r="O1547" s="102"/>
      <c r="P1547" s="739"/>
      <c r="Q1547" s="795"/>
      <c r="R1547" s="785">
        <f>IFERROR(VLOOKUP($Q1547,'391'!$S:$Z,8,0),"")</f>
        <v>0</v>
      </c>
      <c r="S1547" s="796"/>
      <c r="T1547" s="797" t="str">
        <f t="shared" ref="T1547:T1548" si="936">$Q$1549&amp;C1547&amp;E1547</f>
        <v>Nutracor (Malaysia)A22.446255</v>
      </c>
      <c r="U1547" s="797"/>
      <c r="V1547" s="797"/>
      <c r="W1547" s="785">
        <f>IFERROR(VLOOKUP($Q1547,'391'!$S:$AG,15,0),0)</f>
        <v>0</v>
      </c>
      <c r="X1547" s="1090">
        <f t="shared" si="933"/>
        <v>2500</v>
      </c>
      <c r="Y1547" s="785"/>
      <c r="Z1547" s="785"/>
      <c r="AA1547" s="797"/>
      <c r="AB1547" s="797"/>
      <c r="AC1547" s="551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88"/>
      <c r="B1548" s="2071"/>
      <c r="C1548" s="138" t="s">
        <v>76</v>
      </c>
      <c r="D1548" s="884" t="s">
        <v>10</v>
      </c>
      <c r="E1548" s="885">
        <v>46255</v>
      </c>
      <c r="F1548" s="293">
        <f>$L$7-E1548</f>
        <v>6</v>
      </c>
      <c r="G1548" s="1214">
        <v>1908.19</v>
      </c>
      <c r="H1548" s="37"/>
      <c r="I1548" s="37">
        <f>SUM(K1545:K1547)</f>
        <v>0</v>
      </c>
      <c r="J1548" s="1385">
        <f>usage!I214</f>
        <v>707.64</v>
      </c>
      <c r="K1548" s="64">
        <f>IFERROR(SUMIF(INTAKE!$A:$A,$T1548,INTAKE!$P:$P),0)</f>
        <v>0</v>
      </c>
      <c r="L1548" s="1534">
        <f>+G1548+H1548+I1548-J1548-K1548</f>
        <v>1200.5500000000002</v>
      </c>
      <c r="M1548" s="98"/>
      <c r="N1548" s="1473"/>
      <c r="O1548" s="98"/>
      <c r="P1548" s="759"/>
      <c r="Q1548" s="795"/>
      <c r="R1548" s="785">
        <f>IFERROR(VLOOKUP($Q1548,'391'!$S:$Z,8,0),"")</f>
        <v>0</v>
      </c>
      <c r="S1548" s="796"/>
      <c r="T1548" s="797" t="str">
        <f t="shared" si="936"/>
        <v>Nutracor (Malaysia)Feedmil46255</v>
      </c>
      <c r="U1548" s="797"/>
      <c r="V1548" s="797"/>
      <c r="W1548" s="785">
        <f>IFERROR(VLOOKUP($Q1548,'391'!$S:$AG,15,0),0)</f>
        <v>0</v>
      </c>
      <c r="X1548" s="1090">
        <f t="shared" si="933"/>
        <v>1908.19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184"/>
      <c r="B1549" s="184" t="s">
        <v>1743</v>
      </c>
      <c r="C1549" s="575"/>
      <c r="D1549" s="900"/>
      <c r="E1549" s="901"/>
      <c r="F1549" s="902"/>
      <c r="G1549" s="1297">
        <v>25408.19</v>
      </c>
      <c r="H1549" s="1297">
        <f>+SUM(H1545:H1548)</f>
        <v>0</v>
      </c>
      <c r="I1549" s="1297">
        <f t="shared" ref="I1549:L1549" si="937">+SUM(I1545:I1548)</f>
        <v>0</v>
      </c>
      <c r="J1549" s="1297">
        <f t="shared" si="937"/>
        <v>707.64</v>
      </c>
      <c r="K1549" s="1297">
        <f t="shared" si="937"/>
        <v>0</v>
      </c>
      <c r="L1549" s="1297">
        <f t="shared" si="937"/>
        <v>24700.55</v>
      </c>
      <c r="M1549" s="92">
        <f>IFERROR(R1549/$S$2,"")</f>
        <v>670.22166666666669</v>
      </c>
      <c r="N1549" s="99">
        <f>IFERROR(L1549/M1549,0)</f>
        <v>36.854299448192513</v>
      </c>
      <c r="O1549" s="92">
        <f>IFERROR(SUMIF(ETM!$A:$A,$Q1549,ETM!$E:$E),"")</f>
        <v>808.33333333333326</v>
      </c>
      <c r="P1549" s="741">
        <f>IFERROR(L1549/O1549,0)</f>
        <v>30.557381443298972</v>
      </c>
      <c r="Q1549" s="666" t="s">
        <v>1742</v>
      </c>
      <c r="R1549" s="785">
        <f>IFERROR(VLOOKUP($Q1549,'391'!$S:$Z,8,0),"")</f>
        <v>4021.33</v>
      </c>
      <c r="S1549" s="796"/>
      <c r="T1549" s="797"/>
      <c r="U1549" s="797"/>
      <c r="V1549" s="797"/>
      <c r="W1549" s="785">
        <f>IFERROR(VLOOKUP($Q1549,'391'!$S:$AG,15,0),0)</f>
        <v>27979.72</v>
      </c>
      <c r="X1549" s="1090">
        <f t="shared" si="933"/>
        <v>-2571.5300000000025</v>
      </c>
      <c r="Y1549" s="785"/>
      <c r="Z1549" s="785"/>
      <c r="AA1549" s="797"/>
      <c r="AB1549" s="797"/>
      <c r="AC1549" s="683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86">
        <f>IF(L1555=0,"",MAX($A$16:A1549)+1)</f>
        <v>108</v>
      </c>
      <c r="B1550" s="2078" t="s">
        <v>1795</v>
      </c>
      <c r="C1550" s="574" t="s">
        <v>1748</v>
      </c>
      <c r="D1550" s="881" t="s">
        <v>10</v>
      </c>
      <c r="E1550" s="882">
        <v>46224</v>
      </c>
      <c r="F1550" s="71">
        <f>$L$7-E1550</f>
        <v>37</v>
      </c>
      <c r="G1550" s="64">
        <v>4455.3099999999986</v>
      </c>
      <c r="H1550" s="64"/>
      <c r="I1550" s="64"/>
      <c r="J1550" s="1367"/>
      <c r="K1550" s="1348">
        <f>IFERROR(SUMIF(INTAKE!$A:$A,$T1550,INTAKE!$P:$P),0)</f>
        <v>4455.3100000000004</v>
      </c>
      <c r="L1550" s="1670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>$Q$1555&amp;C1550&amp;E1550</f>
        <v>AMINOPLUS# (USA)B21.146224</v>
      </c>
      <c r="U1550" s="797"/>
      <c r="V1550" s="797"/>
      <c r="W1550" s="785">
        <f>IFERROR(VLOOKUP($Q1550,'391'!$S:$AG,15,0),0)</f>
        <v>0</v>
      </c>
      <c r="X1550" s="1090">
        <f t="shared" ref="X1550:X1555" si="938">G1550-W1550</f>
        <v>4455.3099999999986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124"/>
      <c r="B1551" s="2085"/>
      <c r="C1551" s="574" t="s">
        <v>1835</v>
      </c>
      <c r="D1551" s="881" t="s">
        <v>10</v>
      </c>
      <c r="E1551" s="882">
        <v>46245</v>
      </c>
      <c r="F1551" s="71">
        <f>$L$7-E1551</f>
        <v>16</v>
      </c>
      <c r="G1551" s="64">
        <v>29840</v>
      </c>
      <c r="H1551" s="64"/>
      <c r="I1551" s="64"/>
      <c r="J1551" s="1367"/>
      <c r="K1551" s="64">
        <f>IFERROR(SUMIF(INTAKE!$A:$A,$T1551,INTAKE!$P:$P),0)</f>
        <v>0</v>
      </c>
      <c r="L1551" s="1670">
        <f>+G1551+H1551+I1551-J1551-K1551</f>
        <v>29840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39">$Q$1555&amp;C1551&amp;E1551</f>
        <v>AMINOPLUS# (USA)A746245</v>
      </c>
      <c r="U1551" s="797"/>
      <c r="V1551" s="797"/>
      <c r="W1551" s="785">
        <f>IFERROR(VLOOKUP($Q1551,'391'!$S:$AG,15,0),0)</f>
        <v>0</v>
      </c>
      <c r="X1551" s="1090">
        <f t="shared" ref="X1551:X1552" si="940">G1551-W1551</f>
        <v>29840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124"/>
      <c r="B1552" s="2085"/>
      <c r="C1552" s="574" t="s">
        <v>2235</v>
      </c>
      <c r="D1552" s="881" t="s">
        <v>10</v>
      </c>
      <c r="E1552" s="882">
        <v>46255</v>
      </c>
      <c r="F1552" s="71">
        <f>$L$7-E1552</f>
        <v>6</v>
      </c>
      <c r="G1552" s="64">
        <v>36825</v>
      </c>
      <c r="H1552" s="64"/>
      <c r="I1552" s="64"/>
      <c r="J1552" s="1367"/>
      <c r="K1552" s="64">
        <f>IFERROR(SUMIF(INTAKE!$A:$A,$T1552,INTAKE!$P:$P),0)</f>
        <v>0</v>
      </c>
      <c r="L1552" s="1670">
        <f>+G1552+H1552+I1552-J1552-K1552</f>
        <v>36825</v>
      </c>
      <c r="M1552" s="102"/>
      <c r="N1552" s="103"/>
      <c r="O1552" s="102"/>
      <c r="P1552" s="739"/>
      <c r="Q1552" s="795"/>
      <c r="R1552" s="785">
        <f>IFERROR(VLOOKUP($Q1552,'391'!$S:$Z,8,0),"")</f>
        <v>0</v>
      </c>
      <c r="S1552" s="796"/>
      <c r="T1552" s="797" t="str">
        <f t="shared" si="939"/>
        <v>AMINOPLUS# (USA)C046255</v>
      </c>
      <c r="U1552" s="797"/>
      <c r="V1552" s="797"/>
      <c r="W1552" s="785">
        <f>IFERROR(VLOOKUP($Q1552,'391'!$S:$AG,15,0),0)</f>
        <v>0</v>
      </c>
      <c r="X1552" s="1090">
        <f t="shared" si="940"/>
        <v>36825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hidden="1" customHeight="1" x14ac:dyDescent="0.25">
      <c r="A1553" s="2087"/>
      <c r="B1553" s="2079"/>
      <c r="C1553" s="574"/>
      <c r="D1553" s="881" t="s">
        <v>10</v>
      </c>
      <c r="E1553" s="882">
        <v>46255</v>
      </c>
      <c r="F1553" s="71">
        <f>$L$7-E1553</f>
        <v>6</v>
      </c>
      <c r="G1553" s="64">
        <v>0</v>
      </c>
      <c r="H1553" s="64"/>
      <c r="I1553" s="64"/>
      <c r="J1553" s="1367"/>
      <c r="K1553" s="64">
        <f>IFERROR(SUMIF(INTAKE!$A:$A,$T1553,INTAKE!$P:$P),0)</f>
        <v>0</v>
      </c>
      <c r="L1553" s="1670">
        <f>+G1553+H1553+I1553-J1553-K1553</f>
        <v>0</v>
      </c>
      <c r="M1553" s="102"/>
      <c r="N1553" s="103"/>
      <c r="O1553" s="102"/>
      <c r="P1553" s="739"/>
      <c r="Q1553" s="795"/>
      <c r="R1553" s="785">
        <f>IFERROR(VLOOKUP($Q1553,'391'!$S:$Z,8,0),"")</f>
        <v>0</v>
      </c>
      <c r="S1553" s="796"/>
      <c r="T1553" s="797" t="str">
        <f t="shared" ref="T1553:T1554" si="941">$Q$1555&amp;C1553&amp;E1553</f>
        <v>AMINOPLUS# (USA)46255</v>
      </c>
      <c r="U1553" s="797"/>
      <c r="V1553" s="797"/>
      <c r="W1553" s="785">
        <f>IFERROR(VLOOKUP($Q1553,'391'!$S:$AG,15,0),0)</f>
        <v>0</v>
      </c>
      <c r="X1553" s="1090">
        <f t="shared" si="938"/>
        <v>0</v>
      </c>
      <c r="Y1553" s="785"/>
      <c r="Z1553" s="785"/>
      <c r="AA1553" s="797"/>
      <c r="AB1553" s="797"/>
      <c r="AC1553" s="551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88"/>
      <c r="B1554" s="2071"/>
      <c r="C1554" s="138" t="s">
        <v>1885</v>
      </c>
      <c r="D1554" s="884" t="s">
        <v>10</v>
      </c>
      <c r="E1554" s="885">
        <v>46224</v>
      </c>
      <c r="F1554" s="293">
        <f>$L$7-E1554</f>
        <v>37</v>
      </c>
      <c r="G1554" s="1214">
        <v>15387.14</v>
      </c>
      <c r="H1554" s="37"/>
      <c r="I1554" s="37">
        <f>SUM(K1550:K1553)</f>
        <v>4455.3100000000004</v>
      </c>
      <c r="J1554" s="1385">
        <f>usage!I215</f>
        <v>3310</v>
      </c>
      <c r="K1554" s="64">
        <f>IFERROR(SUMIF(INTAKE!$A:$A,$T1554,INTAKE!$P:$P),0)</f>
        <v>0</v>
      </c>
      <c r="L1554" s="1534">
        <f>+G1554+H1554+I1554-J1554-K1554</f>
        <v>16532.45</v>
      </c>
      <c r="M1554" s="98"/>
      <c r="N1554" s="1473"/>
      <c r="O1554" s="98"/>
      <c r="P1554" s="759"/>
      <c r="Q1554" s="795"/>
      <c r="R1554" s="785">
        <f>IFERROR(VLOOKUP($Q1554,'391'!$S:$Z,8,0),"")</f>
        <v>0</v>
      </c>
      <c r="S1554" s="796"/>
      <c r="T1554" s="797" t="str">
        <f t="shared" si="941"/>
        <v>AMINOPLUS# (USA)Feedmil 7846224</v>
      </c>
      <c r="U1554" s="797"/>
      <c r="V1554" s="797"/>
      <c r="W1554" s="785">
        <f>IFERROR(VLOOKUP($Q1554,'391'!$S:$AG,15,0),0)</f>
        <v>0</v>
      </c>
      <c r="X1554" s="1090">
        <f t="shared" si="938"/>
        <v>15387.14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184"/>
      <c r="B1555" s="184" t="s">
        <v>1796</v>
      </c>
      <c r="C1555" s="575"/>
      <c r="D1555" s="900"/>
      <c r="E1555" s="901"/>
      <c r="F1555" s="902"/>
      <c r="G1555" s="1297">
        <v>86507.45</v>
      </c>
      <c r="H1555" s="1297">
        <f>+SUM(H1550:H1554)</f>
        <v>0</v>
      </c>
      <c r="I1555" s="1297">
        <f t="shared" ref="I1555:L1555" si="942">+SUM(I1550:I1554)</f>
        <v>4455.3100000000004</v>
      </c>
      <c r="J1555" s="1297">
        <f t="shared" si="942"/>
        <v>3310</v>
      </c>
      <c r="K1555" s="1297">
        <f t="shared" si="942"/>
        <v>4455.3100000000004</v>
      </c>
      <c r="L1555" s="1297">
        <f t="shared" si="942"/>
        <v>83197.45</v>
      </c>
      <c r="M1555" s="92">
        <f>IFERROR(R1555/$S$2,"")</f>
        <v>2940.1666666666665</v>
      </c>
      <c r="N1555" s="99">
        <f>IFERROR(L1555/M1555,0)</f>
        <v>28.296848251232923</v>
      </c>
      <c r="O1555" s="92">
        <f>IFERROR(SUMIF(ETM!$A:$A,$Q1555,ETM!$E:$E),"")</f>
        <v>3146.6666666666665</v>
      </c>
      <c r="P1555" s="741">
        <f>IFERROR(L1555/O1555,0)</f>
        <v>26.439867584745762</v>
      </c>
      <c r="Q1555" s="1163" t="s">
        <v>1795</v>
      </c>
      <c r="R1555" s="785">
        <f>IFERROR(VLOOKUP($Q1555,'391'!$S:$Z,8,0),"")</f>
        <v>17641</v>
      </c>
      <c r="S1555" s="796"/>
      <c r="T1555" s="797"/>
      <c r="U1555" s="797"/>
      <c r="V1555" s="797"/>
      <c r="W1555" s="785">
        <f>IFERROR(VLOOKUP($Q1555,'391'!$S:$AG,15,0),0)</f>
        <v>96549.95</v>
      </c>
      <c r="X1555" s="1090">
        <f t="shared" si="938"/>
        <v>-10042.5</v>
      </c>
      <c r="Y1555" s="785"/>
      <c r="Z1555" s="785"/>
      <c r="AA1555" s="797"/>
      <c r="AB1555" s="797"/>
      <c r="AC1555" s="683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customHeight="1" x14ac:dyDescent="0.25">
      <c r="A1556" s="2086">
        <f>IF(L1560=0,"",MAX($A$16:A1555)+1)</f>
        <v>109</v>
      </c>
      <c r="B1556" s="2078" t="s">
        <v>1861</v>
      </c>
      <c r="C1556" s="574" t="s">
        <v>227</v>
      </c>
      <c r="D1556" s="881" t="s">
        <v>10</v>
      </c>
      <c r="E1556" s="882">
        <v>46218</v>
      </c>
      <c r="F1556" s="71">
        <f>$L$7-E1556</f>
        <v>43</v>
      </c>
      <c r="G1556" s="64">
        <v>1575</v>
      </c>
      <c r="H1556" s="64"/>
      <c r="I1556" s="64"/>
      <c r="J1556" s="1367"/>
      <c r="K1556" s="64">
        <f>IFERROR(SUMIF(INTAKE!$A:$A,$T1556,INTAKE!$P:$P),0)</f>
        <v>50</v>
      </c>
      <c r="L1556" s="1670">
        <f>+G1556+H1556+I1556-J1556-K1556</f>
        <v>1525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>$Q$1560&amp;C1556&amp;E1556</f>
        <v>Stearolac 90 (Malaysia)V9.146218</v>
      </c>
      <c r="U1556" s="797"/>
      <c r="V1556" s="797"/>
      <c r="W1556" s="785">
        <f>IFERROR(VLOOKUP($Q1556,'391'!$S:$AG,15,0),0)</f>
        <v>0</v>
      </c>
      <c r="X1556" s="1090">
        <f t="shared" ref="X1556:X1559" si="943">G1556-W1556</f>
        <v>1575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124"/>
      <c r="B1557" s="2085"/>
      <c r="C1557" s="574" t="s">
        <v>2215</v>
      </c>
      <c r="D1557" s="881" t="s">
        <v>10</v>
      </c>
      <c r="E1557" s="882">
        <v>46254</v>
      </c>
      <c r="F1557" s="71">
        <f>$L$7-E1557</f>
        <v>7</v>
      </c>
      <c r="G1557" s="64">
        <v>2000</v>
      </c>
      <c r="H1557" s="64"/>
      <c r="I1557" s="64"/>
      <c r="J1557" s="1367"/>
      <c r="K1557" s="64">
        <f>IFERROR(SUMIF(INTAKE!$A:$A,$T1557,INTAKE!$P:$P),0)</f>
        <v>0</v>
      </c>
      <c r="L1557" s="1670">
        <f>+G1557+H1557+I1557-J1557-K1557</f>
        <v>2000</v>
      </c>
      <c r="M1557" s="102"/>
      <c r="N1557" s="103"/>
      <c r="O1557" s="102"/>
      <c r="P1557" s="739"/>
      <c r="Q1557" s="795"/>
      <c r="R1557" s="785">
        <f>IFERROR(VLOOKUP($Q1557,'391'!$S:$Z,8,0),"")</f>
        <v>0</v>
      </c>
      <c r="S1557" s="796"/>
      <c r="T1557" s="797" t="str">
        <f t="shared" ref="T1557" si="944">$Q$1560&amp;C1557&amp;E1557</f>
        <v>Stearolac 90 (Malaysia)V4.146254</v>
      </c>
      <c r="U1557" s="797"/>
      <c r="V1557" s="797"/>
      <c r="W1557" s="785">
        <f>IFERROR(VLOOKUP($Q1557,'391'!$S:$AG,15,0),0)</f>
        <v>0</v>
      </c>
      <c r="X1557" s="1090">
        <f t="shared" ref="X1557" si="945">G1557-W1557</f>
        <v>2000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hidden="1" customHeight="1" x14ac:dyDescent="0.25">
      <c r="A1558" s="2087"/>
      <c r="B1558" s="2079"/>
      <c r="C1558" s="574"/>
      <c r="D1558" s="881" t="s">
        <v>10</v>
      </c>
      <c r="E1558" s="882">
        <v>46255</v>
      </c>
      <c r="F1558" s="71">
        <f>$L$7-E1558</f>
        <v>6</v>
      </c>
      <c r="G1558" s="64">
        <v>0</v>
      </c>
      <c r="H1558" s="64"/>
      <c r="I1558" s="64"/>
      <c r="J1558" s="1367"/>
      <c r="K1558" s="64">
        <f>IFERROR(SUMIF(INTAKE!$A:$A,$T1558,INTAKE!$P:$P),0)</f>
        <v>0</v>
      </c>
      <c r="L1558" s="1670">
        <f>+G1558+H1558+I1558-J1558-K1558</f>
        <v>0</v>
      </c>
      <c r="M1558" s="102"/>
      <c r="N1558" s="103"/>
      <c r="O1558" s="102"/>
      <c r="P1558" s="739"/>
      <c r="Q1558" s="795"/>
      <c r="R1558" s="785">
        <f>IFERROR(VLOOKUP($Q1558,'391'!$S:$Z,8,0),"")</f>
        <v>0</v>
      </c>
      <c r="S1558" s="796"/>
      <c r="T1558" s="797" t="str">
        <f t="shared" ref="T1558:T1559" si="946">$Q$1560&amp;C1558&amp;E1558</f>
        <v>Stearolac 90 (Malaysia)46255</v>
      </c>
      <c r="U1558" s="797"/>
      <c r="V1558" s="797"/>
      <c r="W1558" s="785">
        <f>IFERROR(VLOOKUP($Q1558,'391'!$S:$AG,15,0),0)</f>
        <v>0</v>
      </c>
      <c r="X1558" s="1090">
        <f t="shared" si="943"/>
        <v>0</v>
      </c>
      <c r="Y1558" s="785"/>
      <c r="Z1558" s="785"/>
      <c r="AA1558" s="797"/>
      <c r="AB1558" s="797"/>
      <c r="AC1558" s="551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88"/>
      <c r="B1559" s="2071"/>
      <c r="C1559" s="138" t="s">
        <v>76</v>
      </c>
      <c r="D1559" s="884" t="s">
        <v>10</v>
      </c>
      <c r="E1559" s="885">
        <v>46218</v>
      </c>
      <c r="F1559" s="293">
        <f>$L$7-E1559</f>
        <v>43</v>
      </c>
      <c r="G1559" s="1214">
        <v>83.320000000000022</v>
      </c>
      <c r="H1559" s="37"/>
      <c r="I1559" s="37">
        <f>+K1558+K1556</f>
        <v>50</v>
      </c>
      <c r="J1559" s="1385">
        <f>usage!I219</f>
        <v>67.63</v>
      </c>
      <c r="K1559" s="64">
        <f>IFERROR(SUMIF(INTAKE!$A:$A,$T1559,INTAKE!$P:$P),0)</f>
        <v>0</v>
      </c>
      <c r="L1559" s="1534">
        <f>+G1559+H1559+I1559-J1559-K1559</f>
        <v>65.690000000000026</v>
      </c>
      <c r="M1559" s="98"/>
      <c r="N1559" s="1473"/>
      <c r="O1559" s="98"/>
      <c r="P1559" s="759"/>
      <c r="Q1559" s="795"/>
      <c r="R1559" s="785">
        <f>IFERROR(VLOOKUP($Q1559,'391'!$S:$Z,8,0),"")</f>
        <v>0</v>
      </c>
      <c r="S1559" s="796"/>
      <c r="T1559" s="797" t="str">
        <f t="shared" si="946"/>
        <v>Stearolac 90 (Malaysia)Feedmil46218</v>
      </c>
      <c r="U1559" s="797"/>
      <c r="V1559" s="797"/>
      <c r="W1559" s="785">
        <f>IFERROR(VLOOKUP($Q1559,'391'!$S:$AG,15,0),0)</f>
        <v>0</v>
      </c>
      <c r="X1559" s="1090">
        <f t="shared" si="943"/>
        <v>83.320000000000022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184"/>
      <c r="B1560" s="184" t="s">
        <v>1862</v>
      </c>
      <c r="C1560" s="575"/>
      <c r="D1560" s="900"/>
      <c r="E1560" s="901"/>
      <c r="F1560" s="902"/>
      <c r="G1560" s="1297">
        <v>3658.32</v>
      </c>
      <c r="H1560" s="1297">
        <f>+SUM(H1556:H1559)</f>
        <v>0</v>
      </c>
      <c r="I1560" s="1297">
        <f t="shared" ref="I1560:L1560" si="947">+SUM(I1556:I1559)</f>
        <v>50</v>
      </c>
      <c r="J1560" s="1297">
        <f t="shared" si="947"/>
        <v>67.63</v>
      </c>
      <c r="K1560" s="1297">
        <f t="shared" si="947"/>
        <v>50</v>
      </c>
      <c r="L1560" s="1297">
        <f t="shared" si="947"/>
        <v>3590.69</v>
      </c>
      <c r="M1560" s="92">
        <f>IFERROR(R1560/$S$2,"")</f>
        <v>56.908333333333331</v>
      </c>
      <c r="N1560" s="99">
        <f>IFERROR(L1560/M1560,0)</f>
        <v>63.096031629814028</v>
      </c>
      <c r="O1560" s="92">
        <f>IFERROR(SUMIF(ETM!$A:$A,$Q1560,ETM!$E:$E),"")</f>
        <v>70.166666666666671</v>
      </c>
      <c r="P1560" s="741">
        <f>IFERROR(L1560/O1560,0)</f>
        <v>51.173729216152019</v>
      </c>
      <c r="Q1560" s="1163" t="s">
        <v>1861</v>
      </c>
      <c r="R1560" s="785">
        <f>IFERROR(VLOOKUP($Q1560,'391'!$S:$Z,8,0),"")</f>
        <v>341.45</v>
      </c>
      <c r="S1560" s="796"/>
      <c r="T1560" s="797"/>
      <c r="U1560" s="797"/>
      <c r="V1560" s="797"/>
      <c r="W1560" s="785">
        <f>IFERROR(VLOOKUP($Q1560,'391'!$S:$AG,15,0),0)</f>
        <v>3861.21</v>
      </c>
      <c r="X1560" s="1090">
        <f>G1560-W1560</f>
        <v>-202.88999999999987</v>
      </c>
      <c r="Y1560" s="785"/>
      <c r="Z1560" s="785"/>
      <c r="AA1560" s="797"/>
      <c r="AB1560" s="797"/>
      <c r="AC1560" s="683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86">
        <f>IF(L1565=0,"",MAX($A$16:A1560)+1)</f>
        <v>110</v>
      </c>
      <c r="B1561" s="2078" t="s">
        <v>1863</v>
      </c>
      <c r="C1561" s="574" t="s">
        <v>1851</v>
      </c>
      <c r="D1561" s="881" t="s">
        <v>10</v>
      </c>
      <c r="E1561" s="882">
        <v>46218</v>
      </c>
      <c r="F1561" s="71">
        <f>$L$7-E1561</f>
        <v>43</v>
      </c>
      <c r="G1561" s="64">
        <v>25</v>
      </c>
      <c r="H1561" s="64"/>
      <c r="I1561" s="64"/>
      <c r="J1561" s="1367"/>
      <c r="K1561" s="1348">
        <f>IFERROR(SUMIF(INTAKE!$A:$A,$T1561,INTAKE!$P:$P),0)</f>
        <v>0</v>
      </c>
      <c r="L1561" s="1670">
        <f>+G1561+H1561+I1561-J1561-K1561</f>
        <v>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>$Q$1565&amp;C1561&amp;E1561</f>
        <v>Toxfin Dry (Singapore)Z4.246218</v>
      </c>
      <c r="U1561" s="797"/>
      <c r="V1561" s="797"/>
      <c r="W1561" s="785">
        <f>IFERROR(VLOOKUP($Q1561,'391'!$S:$AG,15,0),0)</f>
        <v>0</v>
      </c>
      <c r="X1561" s="1090">
        <f t="shared" ref="X1561:X1565" si="948">G1561-W1561</f>
        <v>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124"/>
      <c r="B1562" s="2085"/>
      <c r="C1562" s="574" t="s">
        <v>1851</v>
      </c>
      <c r="D1562" s="881" t="s">
        <v>10</v>
      </c>
      <c r="E1562" s="882">
        <v>46245</v>
      </c>
      <c r="F1562" s="71">
        <f>$L$7-E1562</f>
        <v>16</v>
      </c>
      <c r="G1562" s="64">
        <v>100</v>
      </c>
      <c r="H1562" s="64"/>
      <c r="I1562" s="64"/>
      <c r="J1562" s="1367"/>
      <c r="K1562" s="64">
        <f>IFERROR(SUMIF(INTAKE!$A:$A,$T1562,INTAKE!$P:$P),0)</f>
        <v>0</v>
      </c>
      <c r="L1562" s="1670">
        <f>+G1562+H1562+I1562-J1562-K1562</f>
        <v>100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" si="949">$Q$1565&amp;C1562&amp;E1562</f>
        <v>Toxfin Dry (Singapore)Z4.246245</v>
      </c>
      <c r="U1562" s="797"/>
      <c r="V1562" s="797"/>
      <c r="W1562" s="785">
        <f>IFERROR(VLOOKUP($Q1562,'391'!$S:$AG,15,0),0)</f>
        <v>0</v>
      </c>
      <c r="X1562" s="1090">
        <f t="shared" ref="X1562" si="950">G1562-W1562</f>
        <v>100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87"/>
      <c r="B1563" s="2079"/>
      <c r="C1563" s="574" t="s">
        <v>1851</v>
      </c>
      <c r="D1563" s="881" t="s">
        <v>10</v>
      </c>
      <c r="E1563" s="882">
        <v>46255</v>
      </c>
      <c r="F1563" s="71">
        <f>$L$7-E1563</f>
        <v>6</v>
      </c>
      <c r="G1563" s="64">
        <v>175</v>
      </c>
      <c r="H1563" s="64"/>
      <c r="I1563" s="64"/>
      <c r="J1563" s="1367"/>
      <c r="K1563" s="64">
        <f>IFERROR(SUMIF(INTAKE!$A:$A,$T1563,INTAKE!$P:$P),0)</f>
        <v>0</v>
      </c>
      <c r="L1563" s="1670">
        <f>+G1563+H1563+I1563-J1563-K1563</f>
        <v>175</v>
      </c>
      <c r="M1563" s="102"/>
      <c r="N1563" s="103"/>
      <c r="O1563" s="102"/>
      <c r="P1563" s="739"/>
      <c r="Q1563" s="795"/>
      <c r="R1563" s="785">
        <f>IFERROR(VLOOKUP($Q1563,'391'!$S:$Z,8,0),"")</f>
        <v>0</v>
      </c>
      <c r="S1563" s="796"/>
      <c r="T1563" s="797" t="str">
        <f t="shared" ref="T1563:T1564" si="951">$Q$1565&amp;C1563&amp;E1563</f>
        <v>Toxfin Dry (Singapore)Z4.246255</v>
      </c>
      <c r="U1563" s="797"/>
      <c r="V1563" s="797"/>
      <c r="W1563" s="785">
        <f>IFERROR(VLOOKUP($Q1563,'391'!$S:$AG,15,0),0)</f>
        <v>0</v>
      </c>
      <c r="X1563" s="1090">
        <f t="shared" si="948"/>
        <v>175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2088"/>
      <c r="B1564" s="2071"/>
      <c r="C1564" s="138" t="s">
        <v>76</v>
      </c>
      <c r="D1564" s="884" t="s">
        <v>10</v>
      </c>
      <c r="E1564" s="885">
        <v>46218</v>
      </c>
      <c r="F1564" s="293">
        <f>$L$7-E1564</f>
        <v>43</v>
      </c>
      <c r="G1564" s="1214">
        <v>30.850000000000005</v>
      </c>
      <c r="H1564" s="37"/>
      <c r="I1564" s="37">
        <f>+K1563+K1561</f>
        <v>0</v>
      </c>
      <c r="J1564" s="1385">
        <f>usage!I218</f>
        <v>0</v>
      </c>
      <c r="K1564" s="64">
        <f>IFERROR(SUMIF(INTAKE!$A:$A,$T1564,INTAKE!$P:$P),0)</f>
        <v>0</v>
      </c>
      <c r="L1564" s="1534">
        <f>+G1564+H1564+I1564-J1564-K1564</f>
        <v>30.850000000000005</v>
      </c>
      <c r="M1564" s="98"/>
      <c r="N1564" s="1473"/>
      <c r="O1564" s="98"/>
      <c r="P1564" s="759"/>
      <c r="Q1564" s="795"/>
      <c r="R1564" s="785">
        <f>IFERROR(VLOOKUP($Q1564,'391'!$S:$Z,8,0),"")</f>
        <v>0</v>
      </c>
      <c r="S1564" s="796"/>
      <c r="T1564" s="797" t="str">
        <f t="shared" si="951"/>
        <v>Toxfin Dry (Singapore)Feedmil46218</v>
      </c>
      <c r="U1564" s="797"/>
      <c r="V1564" s="797"/>
      <c r="W1564" s="785">
        <f>IFERROR(VLOOKUP($Q1564,'391'!$S:$AG,15,0),0)</f>
        <v>0</v>
      </c>
      <c r="X1564" s="1090">
        <f t="shared" si="948"/>
        <v>30.850000000000005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customHeight="1" x14ac:dyDescent="0.25">
      <c r="A1565" s="184"/>
      <c r="B1565" s="184" t="s">
        <v>1864</v>
      </c>
      <c r="C1565" s="575"/>
      <c r="D1565" s="900"/>
      <c r="E1565" s="901"/>
      <c r="F1565" s="902"/>
      <c r="G1565" s="1297">
        <v>330.85</v>
      </c>
      <c r="H1565" s="1297">
        <f>+SUM(H1561:H1564)</f>
        <v>0</v>
      </c>
      <c r="I1565" s="1297">
        <f t="shared" ref="I1565:L1565" si="952">+SUM(I1561:I1564)</f>
        <v>0</v>
      </c>
      <c r="J1565" s="1297">
        <f t="shared" si="952"/>
        <v>0</v>
      </c>
      <c r="K1565" s="1297">
        <f t="shared" si="952"/>
        <v>0</v>
      </c>
      <c r="L1565" s="1297">
        <f t="shared" si="952"/>
        <v>330.85</v>
      </c>
      <c r="M1565" s="92">
        <f>IFERROR(R1565/$S$2,"")</f>
        <v>6.9216666666666669</v>
      </c>
      <c r="N1565" s="99">
        <f>IFERROR(L1565/M1565,0)</f>
        <v>47.799181314712257</v>
      </c>
      <c r="O1565" s="92">
        <f>IFERROR(SUMIF(ETM!$A:$A,$Q1565,ETM!$E:$E),"")</f>
        <v>2.8333333333333335</v>
      </c>
      <c r="P1565" s="741">
        <f>IFERROR(L1565/O1565,0)</f>
        <v>116.77058823529411</v>
      </c>
      <c r="Q1565" s="1163" t="s">
        <v>1863</v>
      </c>
      <c r="R1565" s="785">
        <f>IFERROR(VLOOKUP($Q1565,'391'!$S:$Z,8,0),"")</f>
        <v>41.53</v>
      </c>
      <c r="S1565" s="796"/>
      <c r="T1565" s="797"/>
      <c r="U1565" s="797"/>
      <c r="V1565" s="797"/>
      <c r="W1565" s="785">
        <f>IFERROR(VLOOKUP($Q1565,'391'!$S:$AG,15,0),0)</f>
        <v>330.85</v>
      </c>
      <c r="X1565" s="1090">
        <f t="shared" si="948"/>
        <v>0</v>
      </c>
      <c r="Y1565" s="785"/>
      <c r="Z1565" s="785"/>
      <c r="AA1565" s="797"/>
      <c r="AB1565" s="797"/>
      <c r="AC1565" s="683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86" t="str">
        <f>IF(L1569=0,"",MAX($A$16:A1555)+1)</f>
        <v/>
      </c>
      <c r="B1566" s="2078" t="s">
        <v>1661</v>
      </c>
      <c r="C1566" s="574" t="s">
        <v>1663</v>
      </c>
      <c r="D1566" s="881" t="s">
        <v>10</v>
      </c>
      <c r="E1566" s="882">
        <v>45898</v>
      </c>
      <c r="F1566" s="71">
        <f>$L$7-E1566</f>
        <v>363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1670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>$Q$1569&amp;C1566&amp;E1566</f>
        <v>Kulactic (USA)A22.545898</v>
      </c>
      <c r="U1566" s="797"/>
      <c r="V1566" s="797"/>
      <c r="W1566" s="785">
        <f>IFERROR(VLOOKUP($Q1566,'391'!$S:$AG,15,0),0)</f>
        <v>0</v>
      </c>
      <c r="X1566" s="1090">
        <f t="shared" ref="X1566:X1569" si="953">G1566-W1566</f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87"/>
      <c r="B1567" s="2079"/>
      <c r="C1567" s="574"/>
      <c r="D1567" s="881" t="s">
        <v>10</v>
      </c>
      <c r="E1567" s="882">
        <v>44200</v>
      </c>
      <c r="F1567" s="71">
        <f>$L$7-E1567</f>
        <v>2061</v>
      </c>
      <c r="G1567" s="64">
        <v>0</v>
      </c>
      <c r="H1567" s="64"/>
      <c r="I1567" s="64"/>
      <c r="J1567" s="1367"/>
      <c r="K1567" s="64">
        <f>IFERROR(SUMIF(INTAKE!$A:$A,$T1567,INTAKE!$P:$P),0)</f>
        <v>0</v>
      </c>
      <c r="L1567" s="531">
        <f>+G1567+H1567+I1567-J1567-K1567</f>
        <v>0</v>
      </c>
      <c r="M1567" s="102"/>
      <c r="N1567" s="103"/>
      <c r="O1567" s="102"/>
      <c r="P1567" s="739"/>
      <c r="Q1567" s="795"/>
      <c r="R1567" s="785">
        <f>IFERROR(VLOOKUP($Q1567,'391'!$S:$Z,8,0),"")</f>
        <v>0</v>
      </c>
      <c r="S1567" s="796"/>
      <c r="T1567" s="797" t="str">
        <f t="shared" ref="T1567:T1568" si="954">$Q$1530&amp;C1567&amp;E1567</f>
        <v>Rumifat Plus (Malaysia)44200</v>
      </c>
      <c r="U1567" s="797"/>
      <c r="V1567" s="797"/>
      <c r="W1567" s="785">
        <f>IFERROR(VLOOKUP($Q1567,'391'!$S:$AG,15,0),0)</f>
        <v>0</v>
      </c>
      <c r="X1567" s="1090">
        <f t="shared" si="953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2088"/>
      <c r="B1568" s="2071"/>
      <c r="C1568" s="138" t="s">
        <v>76</v>
      </c>
      <c r="D1568" s="884" t="s">
        <v>10</v>
      </c>
      <c r="E1568" s="885">
        <v>45898</v>
      </c>
      <c r="F1568" s="293">
        <f>$L$7-E1568</f>
        <v>363</v>
      </c>
      <c r="G1568" s="1214">
        <v>0</v>
      </c>
      <c r="H1568" s="37"/>
      <c r="I1568" s="37">
        <f>+K1567+K1566</f>
        <v>0</v>
      </c>
      <c r="J1568" s="1385">
        <f>usage!I209</f>
        <v>0</v>
      </c>
      <c r="K1568" s="64">
        <f>IFERROR(SUMIF(INTAKE!$A:$A,$T1568,INTAKE!$P:$P),0)</f>
        <v>0</v>
      </c>
      <c r="L1568" s="1534">
        <f>+G1568+H1568+I1568-J1568-K1568</f>
        <v>0</v>
      </c>
      <c r="M1568" s="98"/>
      <c r="N1568" s="1473"/>
      <c r="O1568" s="98"/>
      <c r="P1568" s="759"/>
      <c r="Q1568" s="795"/>
      <c r="R1568" s="785">
        <f>IFERROR(VLOOKUP($Q1568,'391'!$S:$Z,8,0),"")</f>
        <v>0</v>
      </c>
      <c r="S1568" s="796"/>
      <c r="T1568" s="797" t="str">
        <f t="shared" si="954"/>
        <v>Rumifat Plus (Malaysia)Feedmil45898</v>
      </c>
      <c r="U1568" s="797"/>
      <c r="V1568" s="797"/>
      <c r="W1568" s="785">
        <f>IFERROR(VLOOKUP($Q1568,'391'!$S:$AG,15,0),0)</f>
        <v>0</v>
      </c>
      <c r="X1568" s="1090">
        <f t="shared" si="953"/>
        <v>0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184"/>
      <c r="B1569" s="184" t="s">
        <v>1662</v>
      </c>
      <c r="C1569" s="575"/>
      <c r="D1569" s="900"/>
      <c r="E1569" s="901"/>
      <c r="F1569" s="902"/>
      <c r="G1569" s="1297">
        <v>0</v>
      </c>
      <c r="H1569" s="1297">
        <f>+SUM(H1566:H1568)</f>
        <v>0</v>
      </c>
      <c r="I1569" s="1297">
        <f t="shared" ref="I1569:L1569" si="955">+SUM(I1566:I1568)</f>
        <v>0</v>
      </c>
      <c r="J1569" s="1297">
        <f t="shared" si="955"/>
        <v>0</v>
      </c>
      <c r="K1569" s="1297">
        <f t="shared" si="955"/>
        <v>0</v>
      </c>
      <c r="L1569" s="1297">
        <f t="shared" si="955"/>
        <v>0</v>
      </c>
      <c r="M1569" s="92" t="str">
        <f>IFERROR(R1569/$S$2,"")</f>
        <v/>
      </c>
      <c r="N1569" s="99">
        <f>IFERROR(L1569/M1569,0)</f>
        <v>0</v>
      </c>
      <c r="O1569" s="92">
        <f>IFERROR(SUMIF(ETM!$A:$A,$Q1569,ETM!$E:$E),"")</f>
        <v>0</v>
      </c>
      <c r="P1569" s="741">
        <f>IFERROR(L1569/O1569,0)</f>
        <v>0</v>
      </c>
      <c r="Q1569" s="809" t="s">
        <v>1661</v>
      </c>
      <c r="R1569" s="785" t="str">
        <f>IFERROR(VLOOKUP($Q1569,'391'!$S:$Z,8,0),"")</f>
        <v/>
      </c>
      <c r="S1569" s="796"/>
      <c r="T1569" s="797"/>
      <c r="U1569" s="797"/>
      <c r="V1569" s="797"/>
      <c r="W1569" s="785">
        <f>IFERROR(VLOOKUP($Q1569,'391'!$S:$AG,15,0),0)</f>
        <v>0</v>
      </c>
      <c r="X1569" s="1090">
        <f t="shared" si="953"/>
        <v>0</v>
      </c>
      <c r="Y1569" s="785"/>
      <c r="Z1569" s="785"/>
      <c r="AA1569" s="797"/>
      <c r="AB1569" s="797"/>
      <c r="AC1569" s="683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86">
        <f>IF(L1573=0,"",MAX($A$16:A1569)+1)</f>
        <v>111</v>
      </c>
      <c r="B1570" s="2078" t="s">
        <v>1685</v>
      </c>
      <c r="C1570" s="574" t="s">
        <v>273</v>
      </c>
      <c r="D1570" s="881" t="s">
        <v>10</v>
      </c>
      <c r="E1570" s="882">
        <v>46086</v>
      </c>
      <c r="F1570" s="71">
        <f>$L$7-E1570</f>
        <v>175</v>
      </c>
      <c r="G1570" s="64">
        <v>3875</v>
      </c>
      <c r="H1570" s="64"/>
      <c r="I1570" s="64"/>
      <c r="J1570" s="1367"/>
      <c r="K1570" s="64">
        <f>IFERROR(SUMIF(INTAKE!$A:$A,$T1570,INTAKE!$P:$P),0)</f>
        <v>0</v>
      </c>
      <c r="L1570" s="1670">
        <f>+G1570+H1570+I1570-J1570-K1570</f>
        <v>3875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>$Q$1573&amp;C1570&amp;E1570</f>
        <v>Globatan (France)A19.546086</v>
      </c>
      <c r="U1570" s="797"/>
      <c r="V1570" s="797"/>
      <c r="W1570" s="785">
        <f>IFERROR(VLOOKUP($Q1570,'391'!$S:$AG,15,0),0)</f>
        <v>0</v>
      </c>
      <c r="X1570" s="1090">
        <f t="shared" ref="X1570:X1573" si="956">G1570-W1570</f>
        <v>3875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hidden="1" customHeight="1" x14ac:dyDescent="0.25">
      <c r="A1571" s="2087"/>
      <c r="B1571" s="2079"/>
      <c r="C1571" s="574"/>
      <c r="D1571" s="881" t="s">
        <v>10</v>
      </c>
      <c r="E1571" s="882">
        <v>44200</v>
      </c>
      <c r="F1571" s="71">
        <f>$L$7-E1571</f>
        <v>2061</v>
      </c>
      <c r="G1571" s="64">
        <v>0</v>
      </c>
      <c r="H1571" s="64"/>
      <c r="I1571" s="64"/>
      <c r="J1571" s="1367"/>
      <c r="K1571" s="64">
        <f>IFERROR(SUMIF(INTAKE!$A:$A,$T1571,INTAKE!$P:$P),0)</f>
        <v>0</v>
      </c>
      <c r="L1571" s="531">
        <f>+G1571+H1571+I1571-J1571-K1571</f>
        <v>0</v>
      </c>
      <c r="M1571" s="102"/>
      <c r="N1571" s="103"/>
      <c r="O1571" s="102"/>
      <c r="P1571" s="739"/>
      <c r="Q1571" s="795"/>
      <c r="R1571" s="785">
        <f>IFERROR(VLOOKUP($Q1571,'391'!$S:$Z,8,0),"")</f>
        <v>0</v>
      </c>
      <c r="S1571" s="796"/>
      <c r="T1571" s="797" t="str">
        <f t="shared" ref="T1571:T1572" si="957">$Q$1573&amp;C1571&amp;E1571</f>
        <v>Globatan (France)44200</v>
      </c>
      <c r="U1571" s="797"/>
      <c r="V1571" s="797"/>
      <c r="W1571" s="785">
        <f>IFERROR(VLOOKUP($Q1571,'391'!$S:$AG,15,0),0)</f>
        <v>0</v>
      </c>
      <c r="X1571" s="1090">
        <f t="shared" si="956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2088"/>
      <c r="B1572" s="2071"/>
      <c r="C1572" s="138" t="s">
        <v>76</v>
      </c>
      <c r="D1572" s="884" t="s">
        <v>10</v>
      </c>
      <c r="E1572" s="885">
        <v>46086</v>
      </c>
      <c r="F1572" s="293">
        <f>$L$7-E1572</f>
        <v>175</v>
      </c>
      <c r="G1572" s="1214">
        <v>0</v>
      </c>
      <c r="H1572" s="37"/>
      <c r="I1572" s="37">
        <f>+K1571+K1570</f>
        <v>0</v>
      </c>
      <c r="J1572" s="1385">
        <f>usage!I204</f>
        <v>0</v>
      </c>
      <c r="K1572" s="64">
        <f>IFERROR(SUMIF(INTAKE!$A:$A,$T1572,INTAKE!$P:$P),0)</f>
        <v>0</v>
      </c>
      <c r="L1572" s="1534">
        <f>+G1572+H1572+I1572-J1572-K1572</f>
        <v>0</v>
      </c>
      <c r="M1572" s="98"/>
      <c r="N1572" s="1473"/>
      <c r="O1572" s="98"/>
      <c r="P1572" s="759"/>
      <c r="Q1572" s="795"/>
      <c r="R1572" s="785">
        <f>IFERROR(VLOOKUP($Q1572,'391'!$S:$Z,8,0),"")</f>
        <v>0</v>
      </c>
      <c r="S1572" s="796"/>
      <c r="T1572" s="797" t="str">
        <f t="shared" si="957"/>
        <v>Globatan (France)Feedmil46086</v>
      </c>
      <c r="U1572" s="797"/>
      <c r="V1572" s="797"/>
      <c r="W1572" s="785">
        <f>IFERROR(VLOOKUP($Q1572,'391'!$S:$AG,15,0),0)</f>
        <v>0</v>
      </c>
      <c r="X1572" s="1090">
        <f t="shared" si="956"/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customHeight="1" x14ac:dyDescent="0.25">
      <c r="A1573" s="184"/>
      <c r="B1573" s="184" t="s">
        <v>1686</v>
      </c>
      <c r="C1573" s="575"/>
      <c r="D1573" s="900"/>
      <c r="E1573" s="901"/>
      <c r="F1573" s="902"/>
      <c r="G1573" s="1297">
        <v>3875</v>
      </c>
      <c r="H1573" s="1297">
        <f>+SUM(H1570:H1572)</f>
        <v>0</v>
      </c>
      <c r="I1573" s="1297">
        <f t="shared" ref="I1573:L1573" si="958">+SUM(I1570:I1572)</f>
        <v>0</v>
      </c>
      <c r="J1573" s="1297">
        <f t="shared" si="958"/>
        <v>0</v>
      </c>
      <c r="K1573" s="1297">
        <f t="shared" si="958"/>
        <v>0</v>
      </c>
      <c r="L1573" s="1297">
        <f t="shared" si="958"/>
        <v>3875</v>
      </c>
      <c r="M1573" s="92">
        <f>IFERROR(R1573/$S$2,"")</f>
        <v>0</v>
      </c>
      <c r="N1573" s="99">
        <f>IFERROR(L1573/M1573,0)</f>
        <v>0</v>
      </c>
      <c r="O1573" s="92">
        <f>IFERROR(SUMIF(ETM!$A:$A,$Q1573,ETM!$E:$E),"")</f>
        <v>0</v>
      </c>
      <c r="P1573" s="741">
        <f>IFERROR(L1573/O1573,0)</f>
        <v>0</v>
      </c>
      <c r="Q1573" s="809" t="s">
        <v>1685</v>
      </c>
      <c r="R1573" s="785">
        <f>IFERROR(VLOOKUP($Q1573,'391'!$S:$Z,8,0),"")</f>
        <v>0</v>
      </c>
      <c r="S1573" s="796"/>
      <c r="T1573" s="797"/>
      <c r="U1573" s="797"/>
      <c r="V1573" s="797"/>
      <c r="W1573" s="785">
        <f>IFERROR(VLOOKUP($Q1573,'391'!$S:$AG,15,0),0)</f>
        <v>3874.8</v>
      </c>
      <c r="X1573" s="1090">
        <f t="shared" si="956"/>
        <v>0.1999999999998181</v>
      </c>
      <c r="Y1573" s="785"/>
      <c r="Z1573" s="785"/>
      <c r="AA1573" s="797"/>
      <c r="AB1573" s="797"/>
      <c r="AC1573" s="683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86" t="str">
        <f>IF(L1578=0,"",MAX($A$16:A1573)+1)</f>
        <v/>
      </c>
      <c r="B1574" s="2078" t="s">
        <v>1687</v>
      </c>
      <c r="C1574" s="574" t="s">
        <v>141</v>
      </c>
      <c r="D1574" s="881" t="s">
        <v>10</v>
      </c>
      <c r="E1574" s="882">
        <v>46009</v>
      </c>
      <c r="F1574" s="71">
        <f>$L$7-E1574</f>
        <v>252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70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>$Q$1578&amp;C1574&amp;E1574</f>
        <v>KingBrown (polyphenols)(France)Y6.246009</v>
      </c>
      <c r="U1574" s="797"/>
      <c r="V1574" s="797"/>
      <c r="W1574" s="785">
        <f>IFERROR(VLOOKUP($Q1574,'391'!$S:$AG,15,0),0)</f>
        <v>0</v>
      </c>
      <c r="X1574" s="1090">
        <f t="shared" ref="X1574:X1578" si="959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124"/>
      <c r="B1575" s="2085"/>
      <c r="C1575" s="574"/>
      <c r="D1575" s="881" t="s">
        <v>10</v>
      </c>
      <c r="E1575" s="882">
        <v>46009</v>
      </c>
      <c r="F1575" s="71">
        <f>$L$7-E1575</f>
        <v>252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1670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" si="960">$Q$1578&amp;C1575&amp;E1575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ref="X1575" si="961">G1575-W1575</f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87"/>
      <c r="B1576" s="2079"/>
      <c r="C1576" s="574"/>
      <c r="D1576" s="881" t="s">
        <v>10</v>
      </c>
      <c r="E1576" s="882">
        <v>46009</v>
      </c>
      <c r="F1576" s="71">
        <f>$L$7-E1576</f>
        <v>252</v>
      </c>
      <c r="G1576" s="64">
        <v>0</v>
      </c>
      <c r="H1576" s="64"/>
      <c r="I1576" s="64"/>
      <c r="J1576" s="1367"/>
      <c r="K1576" s="64">
        <f>IFERROR(SUMIF(INTAKE!$A:$A,$T1576,INTAKE!$P:$P),0)</f>
        <v>0</v>
      </c>
      <c r="L1576" s="531">
        <f>+G1576+H1576+I1576-J1576-K1576</f>
        <v>0</v>
      </c>
      <c r="M1576" s="102"/>
      <c r="N1576" s="103"/>
      <c r="O1576" s="102"/>
      <c r="P1576" s="739"/>
      <c r="Q1576" s="795"/>
      <c r="R1576" s="785">
        <f>IFERROR(VLOOKUP($Q1576,'391'!$S:$Z,8,0),"")</f>
        <v>0</v>
      </c>
      <c r="S1576" s="796"/>
      <c r="T1576" s="797" t="str">
        <f t="shared" ref="T1576:T1577" si="962">$Q$1578&amp;C1576&amp;E1576</f>
        <v>KingBrown (polyphenols)(France)46009</v>
      </c>
      <c r="U1576" s="797"/>
      <c r="V1576" s="797"/>
      <c r="W1576" s="785">
        <f>IFERROR(VLOOKUP($Q1576,'391'!$S:$AG,15,0),0)</f>
        <v>0</v>
      </c>
      <c r="X1576" s="1090">
        <f t="shared" si="959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2088"/>
      <c r="B1577" s="2071"/>
      <c r="C1577" s="138" t="s">
        <v>76</v>
      </c>
      <c r="D1577" s="884" t="s">
        <v>10</v>
      </c>
      <c r="E1577" s="885">
        <v>46009</v>
      </c>
      <c r="F1577" s="293">
        <f>$L$7-E1577</f>
        <v>252</v>
      </c>
      <c r="G1577" s="1214">
        <v>0</v>
      </c>
      <c r="H1577" s="37"/>
      <c r="I1577" s="37">
        <f>+K1576+K1574+K1575</f>
        <v>0</v>
      </c>
      <c r="J1577" s="1385">
        <f>usage!I203</f>
        <v>0</v>
      </c>
      <c r="K1577" s="64">
        <f>IFERROR(SUMIF(INTAKE!$A:$A,$T1577,INTAKE!$P:$P),0)</f>
        <v>0</v>
      </c>
      <c r="L1577" s="1534">
        <f>+G1577+H1577+I1577-J1577-K1577</f>
        <v>0</v>
      </c>
      <c r="M1577" s="98"/>
      <c r="N1577" s="1473"/>
      <c r="O1577" s="98"/>
      <c r="P1577" s="759"/>
      <c r="Q1577" s="795"/>
      <c r="R1577" s="785">
        <f>IFERROR(VLOOKUP($Q1577,'391'!$S:$Z,8,0),"")</f>
        <v>0</v>
      </c>
      <c r="S1577" s="796"/>
      <c r="T1577" s="797" t="str">
        <f t="shared" si="962"/>
        <v>KingBrown (polyphenols)(France)Feedmil46009</v>
      </c>
      <c r="U1577" s="797"/>
      <c r="V1577" s="797"/>
      <c r="W1577" s="785">
        <f>IFERROR(VLOOKUP($Q1577,'391'!$S:$AG,15,0),0)</f>
        <v>0</v>
      </c>
      <c r="X1577" s="1090">
        <f t="shared" si="959"/>
        <v>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hidden="1" customHeight="1" x14ac:dyDescent="0.25">
      <c r="A1578" s="184"/>
      <c r="B1578" s="184" t="s">
        <v>1688</v>
      </c>
      <c r="C1578" s="575"/>
      <c r="D1578" s="900"/>
      <c r="E1578" s="901"/>
      <c r="F1578" s="902"/>
      <c r="G1578" s="1297">
        <v>0</v>
      </c>
      <c r="H1578" s="1297">
        <f>+SUM(H1574:H1577)</f>
        <v>0</v>
      </c>
      <c r="I1578" s="1297">
        <f t="shared" ref="I1578:L1578" si="963">+SUM(I1574:I1577)</f>
        <v>0</v>
      </c>
      <c r="J1578" s="1297">
        <f t="shared" si="963"/>
        <v>0</v>
      </c>
      <c r="K1578" s="1297">
        <f t="shared" si="963"/>
        <v>0</v>
      </c>
      <c r="L1578" s="1297">
        <f t="shared" si="963"/>
        <v>0</v>
      </c>
      <c r="M1578" s="92" t="str">
        <f>IFERROR(R1578/$S$2,"")</f>
        <v/>
      </c>
      <c r="N1578" s="99">
        <f>IFERROR(L1578/M1578,0)</f>
        <v>0</v>
      </c>
      <c r="O1578" s="92">
        <f>IFERROR(SUMIF(ETM!$A:$A,$Q1578,ETM!$E:$E),"")</f>
        <v>0</v>
      </c>
      <c r="P1578" s="741">
        <f>IFERROR(L1578/O1578,0)</f>
        <v>0</v>
      </c>
      <c r="Q1578" s="809" t="s">
        <v>1687</v>
      </c>
      <c r="R1578" s="785" t="str">
        <f>IFERROR(VLOOKUP($Q1578,'391'!$S:$Z,8,0),"")</f>
        <v/>
      </c>
      <c r="S1578" s="796"/>
      <c r="T1578" s="797"/>
      <c r="U1578" s="797"/>
      <c r="V1578" s="797"/>
      <c r="W1578" s="785">
        <f>IFERROR(VLOOKUP($Q1578,'391'!$S:$AG,15,0),0)</f>
        <v>0</v>
      </c>
      <c r="X1578" s="1090">
        <f t="shared" si="959"/>
        <v>0</v>
      </c>
      <c r="Y1578" s="785"/>
      <c r="Z1578" s="785"/>
      <c r="AA1578" s="797"/>
      <c r="AB1578" s="797"/>
      <c r="AC1578" s="683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86">
        <f>IF(L1583=0,"",MAX($A$16:A1578)+1)</f>
        <v>112</v>
      </c>
      <c r="B1579" s="2078" t="s">
        <v>1707</v>
      </c>
      <c r="C1579" s="574" t="s">
        <v>579</v>
      </c>
      <c r="D1579" s="881" t="s">
        <v>10</v>
      </c>
      <c r="E1579" s="882">
        <v>46240</v>
      </c>
      <c r="F1579" s="71">
        <f>$L$7-E1579</f>
        <v>21</v>
      </c>
      <c r="G1579" s="64">
        <v>1900</v>
      </c>
      <c r="H1579" s="64"/>
      <c r="I1579" s="64"/>
      <c r="J1579" s="1367"/>
      <c r="K1579" s="64">
        <f>IFERROR(SUMIF(INTAKE!$A:$A,$T1579,INTAKE!$P:$P),0)</f>
        <v>50</v>
      </c>
      <c r="L1579" s="1670">
        <f>+G1579+H1579+I1579-J1579-K1579</f>
        <v>1850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>$Q$1583&amp;C1579&amp;E1579</f>
        <v>FEED GRADE MONTMORILLONITE (CN)V8.146240</v>
      </c>
      <c r="U1579" s="797"/>
      <c r="V1579" s="797"/>
      <c r="W1579" s="785">
        <f>IFERROR(VLOOKUP($Q1579,'391'!$S:$AG,15,0),0)</f>
        <v>0</v>
      </c>
      <c r="X1579" s="1090">
        <f t="shared" ref="X1579:X1587" si="964">G1579-W1579</f>
        <v>1900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124"/>
      <c r="B1580" s="2085"/>
      <c r="C1580" s="574" t="s">
        <v>264</v>
      </c>
      <c r="D1580" s="881" t="s">
        <v>10</v>
      </c>
      <c r="E1580" s="882">
        <v>46255</v>
      </c>
      <c r="F1580" s="71">
        <f>$L$7-E1580</f>
        <v>6</v>
      </c>
      <c r="G1580" s="64">
        <v>3000</v>
      </c>
      <c r="H1580" s="64"/>
      <c r="I1580" s="64"/>
      <c r="J1580" s="1367"/>
      <c r="K1580" s="64">
        <f>IFERROR(SUMIF(INTAKE!$A:$A,$T1580,INTAKE!$P:$P),0)</f>
        <v>0</v>
      </c>
      <c r="L1580" s="1670">
        <f>+G1580+H1580+I1580-J1580-K1580</f>
        <v>3000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ref="T1580" si="965">$Q$1583&amp;C1580&amp;E1580</f>
        <v>FEED GRADE MONTMORILLONITE (CN)Z5.246255</v>
      </c>
      <c r="U1580" s="797"/>
      <c r="V1580" s="797"/>
      <c r="W1580" s="785">
        <f>IFERROR(VLOOKUP($Q1580,'391'!$S:$AG,15,0),0)</f>
        <v>0</v>
      </c>
      <c r="X1580" s="1090">
        <f t="shared" ref="X1580" si="966">G1580-W1580</f>
        <v>3000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hidden="1" customHeight="1" x14ac:dyDescent="0.25">
      <c r="A1581" s="2087"/>
      <c r="B1581" s="2079"/>
      <c r="C1581" s="574"/>
      <c r="D1581" s="881" t="s">
        <v>10</v>
      </c>
      <c r="E1581" s="882">
        <v>46141</v>
      </c>
      <c r="F1581" s="71">
        <f>$L$7-E1581</f>
        <v>120</v>
      </c>
      <c r="G1581" s="64">
        <v>0</v>
      </c>
      <c r="H1581" s="64"/>
      <c r="I1581" s="64"/>
      <c r="J1581" s="1367"/>
      <c r="K1581" s="64">
        <f>IFERROR(SUMIF(INTAKE!$A:$A,$T1581,INTAKE!$P:$P),0)</f>
        <v>0</v>
      </c>
      <c r="L1581" s="1670">
        <f>+G1581+H1581+I1581-J1581-K1581</f>
        <v>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67">$Q$1583&amp;C1581&amp;E1581</f>
        <v>FEED GRADE MONTMORILLONITE (CN)46141</v>
      </c>
      <c r="U1581" s="797"/>
      <c r="V1581" s="797"/>
      <c r="W1581" s="785">
        <f>IFERROR(VLOOKUP($Q1581,'391'!$S:$AG,15,0),0)</f>
        <v>0</v>
      </c>
      <c r="X1581" s="1090">
        <f t="shared" si="964"/>
        <v>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88"/>
      <c r="B1582" s="2071"/>
      <c r="C1582" s="138" t="s">
        <v>76</v>
      </c>
      <c r="D1582" s="884" t="s">
        <v>10</v>
      </c>
      <c r="E1582" s="885">
        <v>46240</v>
      </c>
      <c r="F1582" s="293">
        <f>$L$7-E1582</f>
        <v>21</v>
      </c>
      <c r="G1582" s="1214">
        <v>26.200000000000252</v>
      </c>
      <c r="H1582" s="37"/>
      <c r="I1582" s="37">
        <f>+K1581+K1579+K1580</f>
        <v>50</v>
      </c>
      <c r="J1582" s="1385">
        <f>usage!I205</f>
        <v>50.4</v>
      </c>
      <c r="K1582" s="64">
        <f>IFERROR(SUMIF(INTAKE!$A:$A,$T1582,INTAKE!$P:$P),0)</f>
        <v>0</v>
      </c>
      <c r="L1582" s="1534">
        <f>+G1582+H1582+I1582-J1582-K1582</f>
        <v>25.800000000000246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67"/>
        <v>FEED GRADE MONTMORILLONITE (CN)Feedmil46240</v>
      </c>
      <c r="U1582" s="797"/>
      <c r="V1582" s="797"/>
      <c r="W1582" s="785">
        <f>IFERROR(VLOOKUP($Q1582,'391'!$S:$AG,15,0),0)</f>
        <v>0</v>
      </c>
      <c r="X1582" s="1090">
        <f t="shared" si="964"/>
        <v>26.200000000000252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184"/>
      <c r="B1583" s="184" t="s">
        <v>1710</v>
      </c>
      <c r="C1583" s="575"/>
      <c r="D1583" s="900"/>
      <c r="E1583" s="901"/>
      <c r="F1583" s="902"/>
      <c r="G1583" s="1297">
        <v>4926.2</v>
      </c>
      <c r="H1583" s="1297">
        <f>+SUM(H1579:H1582)</f>
        <v>0</v>
      </c>
      <c r="I1583" s="1297">
        <f t="shared" ref="I1583:L1583" si="968">+SUM(I1579:I1582)</f>
        <v>50</v>
      </c>
      <c r="J1583" s="1297">
        <f t="shared" si="968"/>
        <v>50.4</v>
      </c>
      <c r="K1583" s="1297">
        <f t="shared" si="968"/>
        <v>50</v>
      </c>
      <c r="L1583" s="1297">
        <f t="shared" si="968"/>
        <v>4875.8</v>
      </c>
      <c r="M1583" s="92">
        <f>IFERROR(R1583/$S$2,"")</f>
        <v>217.60000000000002</v>
      </c>
      <c r="N1583" s="99">
        <f>IFERROR(L1583/M1583,0)</f>
        <v>22.407169117647058</v>
      </c>
      <c r="O1583" s="92">
        <f>IFERROR(SUMIF(ETM!$A:$A,$Q1583,ETM!$E:$E),"")</f>
        <v>102</v>
      </c>
      <c r="P1583" s="741">
        <f>IFERROR(L1583/O1583,0)</f>
        <v>47.801960784313728</v>
      </c>
      <c r="Q1583" s="809" t="s">
        <v>1707</v>
      </c>
      <c r="R1583" s="785">
        <f>IFERROR(VLOOKUP($Q1583,'391'!$S:$Z,8,0),"")</f>
        <v>1305.6000000000001</v>
      </c>
      <c r="S1583" s="796"/>
      <c r="T1583" s="797"/>
      <c r="U1583" s="797"/>
      <c r="V1583" s="797"/>
      <c r="W1583" s="785">
        <f>IFERROR(VLOOKUP($Q1583,'391'!$S:$AG,15,0),0)</f>
        <v>5102.6000000000004</v>
      </c>
      <c r="X1583" s="1090">
        <f t="shared" si="964"/>
        <v>-176.40000000000055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86">
        <f>IF(L1587=0,"",MAX($A$16:A1578)+1)</f>
        <v>112</v>
      </c>
      <c r="B1584" s="2078" t="s">
        <v>1759</v>
      </c>
      <c r="C1584" s="574" t="s">
        <v>1213</v>
      </c>
      <c r="D1584" s="881" t="s">
        <v>10</v>
      </c>
      <c r="E1584" s="882">
        <v>46254</v>
      </c>
      <c r="F1584" s="71">
        <f>$L$7-E1584</f>
        <v>7</v>
      </c>
      <c r="G1584" s="64">
        <v>0</v>
      </c>
      <c r="H1584" s="64"/>
      <c r="I1584" s="64"/>
      <c r="J1584" s="1367"/>
      <c r="K1584" s="64">
        <f>IFERROR(SUMIF(INTAKE!$A:$A,$T1584,INTAKE!$P:$P),0)</f>
        <v>0</v>
      </c>
      <c r="L1584" s="1670">
        <f>+G1584+H1584+I1584-J1584-K1584</f>
        <v>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Nam)E346254</v>
      </c>
      <c r="U1584" s="797"/>
      <c r="V1584" s="797"/>
      <c r="W1584" s="785">
        <f>IFERROR(VLOOKUP($Q1584,'391'!$S:$AG,15,0),0)</f>
        <v>0</v>
      </c>
      <c r="X1584" s="1090">
        <f t="shared" si="964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87"/>
      <c r="B1585" s="2079"/>
      <c r="C1585" s="574"/>
      <c r="D1585" s="881" t="s">
        <v>10</v>
      </c>
      <c r="E1585" s="882">
        <v>46017</v>
      </c>
      <c r="F1585" s="71">
        <f>$L$7-E1585</f>
        <v>244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70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69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64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88"/>
      <c r="B1586" s="2071"/>
      <c r="C1586" s="138" t="s">
        <v>76</v>
      </c>
      <c r="D1586" s="884" t="s">
        <v>10</v>
      </c>
      <c r="E1586" s="885">
        <v>46254</v>
      </c>
      <c r="F1586" s="293">
        <f>$L$7-E1586</f>
        <v>7</v>
      </c>
      <c r="G1586" s="1214">
        <v>13.650000000000002</v>
      </c>
      <c r="H1586" s="37"/>
      <c r="I1586" s="37">
        <f>+K1585+K1584</f>
        <v>0</v>
      </c>
      <c r="J1586" s="1385">
        <f>usage!I210</f>
        <v>3.2</v>
      </c>
      <c r="K1586" s="64">
        <f>IFERROR(SUMIF(INTAKE!$A:$A,$T1586,INTAKE!$P:$P),0)</f>
        <v>0</v>
      </c>
      <c r="L1586" s="1534">
        <f>+G1586+H1586+I1586-J1586-K1586</f>
        <v>10.450000000000003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69"/>
        <v>Doxan 50 (Viet Nam)Feedmil46254</v>
      </c>
      <c r="U1586" s="797"/>
      <c r="V1586" s="797"/>
      <c r="W1586" s="785">
        <f>IFERROR(VLOOKUP($Q1586,'391'!$S:$AG,15,0),0)</f>
        <v>0</v>
      </c>
      <c r="X1586" s="1090">
        <f t="shared" si="964"/>
        <v>13.650000000000002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1760</v>
      </c>
      <c r="C1587" s="575"/>
      <c r="D1587" s="900"/>
      <c r="E1587" s="901"/>
      <c r="F1587" s="902"/>
      <c r="G1587" s="1297">
        <v>13.650000000000002</v>
      </c>
      <c r="H1587" s="1297">
        <f>+SUM(H1584:H1586)</f>
        <v>0</v>
      </c>
      <c r="I1587" s="1297">
        <f t="shared" ref="I1587:L1587" si="970">+SUM(I1584:I1586)</f>
        <v>0</v>
      </c>
      <c r="J1587" s="1297">
        <f t="shared" si="970"/>
        <v>3.2</v>
      </c>
      <c r="K1587" s="1297">
        <f t="shared" si="970"/>
        <v>0</v>
      </c>
      <c r="L1587" s="1297">
        <f t="shared" si="970"/>
        <v>10.450000000000003</v>
      </c>
      <c r="M1587" s="92">
        <f>IFERROR(R1587/$S$2,"")</f>
        <v>2.1333333333333333</v>
      </c>
      <c r="N1587" s="99">
        <f>IFERROR(L1587/M1587,0)</f>
        <v>4.8984375000000018</v>
      </c>
      <c r="O1587" s="92">
        <f>IFERROR(SUMIF(ETM!$A:$A,$Q1587,ETM!$E:$E),"")</f>
        <v>0.5</v>
      </c>
      <c r="P1587" s="741">
        <f>IFERROR(L1587/O1587,0)</f>
        <v>20.900000000000006</v>
      </c>
      <c r="Q1587" s="809" t="s">
        <v>1759</v>
      </c>
      <c r="R1587" s="785">
        <f>IFERROR(VLOOKUP($Q1587,'391'!$S:$Z,8,0),"")</f>
        <v>12.8</v>
      </c>
      <c r="S1587" s="796"/>
      <c r="T1587" s="797"/>
      <c r="U1587" s="797"/>
      <c r="V1587" s="797"/>
      <c r="W1587" s="821">
        <f>IFERROR(VLOOKUP($Q1587,'391'!$S:$AG,15,0),0)</f>
        <v>13.65</v>
      </c>
      <c r="X1587" s="1090">
        <f t="shared" si="964"/>
        <v>0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86" t="str">
        <f>IF(L1591=0,"",MAX($A$16:A1586)+1)</f>
        <v/>
      </c>
      <c r="B1588" s="2078" t="s">
        <v>1712</v>
      </c>
      <c r="C1588" s="574" t="s">
        <v>1308</v>
      </c>
      <c r="D1588" s="881" t="s">
        <v>10</v>
      </c>
      <c r="E1588" s="882">
        <v>46017</v>
      </c>
      <c r="F1588" s="71">
        <f>$L$7-E1588</f>
        <v>244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70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71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87"/>
      <c r="B1589" s="2079"/>
      <c r="C1589" s="574"/>
      <c r="D1589" s="881" t="s">
        <v>10</v>
      </c>
      <c r="E1589" s="882">
        <v>46017</v>
      </c>
      <c r="F1589" s="71">
        <f>$L$7-E1589</f>
        <v>244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70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72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71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88"/>
      <c r="B1590" s="2071"/>
      <c r="C1590" s="138" t="s">
        <v>76</v>
      </c>
      <c r="D1590" s="884" t="s">
        <v>10</v>
      </c>
      <c r="E1590" s="885">
        <v>46017</v>
      </c>
      <c r="F1590" s="293">
        <f>$L$7-E1590</f>
        <v>244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4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72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71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1713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73">+SUM(I1588:I1590)</f>
        <v>0</v>
      </c>
      <c r="J1591" s="1297">
        <f t="shared" si="973"/>
        <v>0</v>
      </c>
      <c r="K1591" s="1297">
        <f t="shared" si="973"/>
        <v>0</v>
      </c>
      <c r="L1591" s="1297">
        <f t="shared" si="973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1712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71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86" t="str">
        <f>IF(L1595=0,"",MAX($A$16:A1590)+1)</f>
        <v/>
      </c>
      <c r="B1592" s="2078" t="s">
        <v>1842</v>
      </c>
      <c r="C1592" s="574" t="s">
        <v>192</v>
      </c>
      <c r="D1592" s="881" t="s">
        <v>10</v>
      </c>
      <c r="E1592" s="882">
        <v>46198</v>
      </c>
      <c r="F1592" s="71">
        <f>$L$7-E1592</f>
        <v>63</v>
      </c>
      <c r="G1592" s="64">
        <v>0</v>
      </c>
      <c r="H1592" s="64"/>
      <c r="I1592" s="64"/>
      <c r="J1592" s="1367"/>
      <c r="K1592" s="1348">
        <f>IFERROR(SUMIF(INTAKE!$A:$A,$T1592,INTAKE!$P:$P),0)</f>
        <v>0</v>
      </c>
      <c r="L1592" s="1670">
        <f>+G1592+H1592+I1592-J1592-K1592</f>
        <v>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Nam)Z3.246198</v>
      </c>
      <c r="U1592" s="797"/>
      <c r="V1592" s="797"/>
      <c r="W1592" s="785">
        <f>IFERROR(VLOOKUP($Q1592,'391'!$S:$AG,15,0),0)</f>
        <v>0</v>
      </c>
      <c r="X1592" s="1090">
        <f t="shared" ref="X1592:X1595" si="974">G1592-W1592</f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2087"/>
      <c r="B1593" s="2079"/>
      <c r="C1593" s="574"/>
      <c r="D1593" s="881" t="s">
        <v>10</v>
      </c>
      <c r="E1593" s="882">
        <v>46017</v>
      </c>
      <c r="F1593" s="71">
        <f>$L$7-E1593</f>
        <v>244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70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75">$Q$1595&amp;C1593&amp;E1593</f>
        <v>Anti-Fly (Viet Nam)46017</v>
      </c>
      <c r="U1593" s="797"/>
      <c r="V1593" s="797"/>
      <c r="W1593" s="785">
        <f>IFERROR(VLOOKUP($Q1593,'391'!$S:$AG,15,0),0)</f>
        <v>0</v>
      </c>
      <c r="X1593" s="1090">
        <f t="shared" si="974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88"/>
      <c r="B1594" s="2071"/>
      <c r="C1594" s="138" t="s">
        <v>76</v>
      </c>
      <c r="D1594" s="884" t="s">
        <v>10</v>
      </c>
      <c r="E1594" s="885">
        <v>46198</v>
      </c>
      <c r="F1594" s="293">
        <f>$L$7-E1594</f>
        <v>63</v>
      </c>
      <c r="G1594" s="1214">
        <v>0</v>
      </c>
      <c r="H1594" s="37"/>
      <c r="I1594" s="37">
        <f>+K1593+K1592</f>
        <v>0</v>
      </c>
      <c r="J1594" s="1385">
        <f>usage!I143</f>
        <v>0</v>
      </c>
      <c r="K1594" s="64">
        <f>IFERROR(SUMIF(INTAKE!$A:$A,$T1594,INTAKE!$P:$P),0)</f>
        <v>0</v>
      </c>
      <c r="L1594" s="1534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75"/>
        <v>Anti-Fly (Viet Nam)Feedmil46198</v>
      </c>
      <c r="U1594" s="797"/>
      <c r="V1594" s="797"/>
      <c r="W1594" s="785">
        <f>IFERROR(VLOOKUP($Q1594,'391'!$S:$AG,15,0),0)</f>
        <v>0</v>
      </c>
      <c r="X1594" s="1090">
        <f t="shared" si="974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184"/>
      <c r="B1595" s="184" t="s">
        <v>1841</v>
      </c>
      <c r="C1595" s="575"/>
      <c r="D1595" s="900"/>
      <c r="E1595" s="901"/>
      <c r="F1595" s="902"/>
      <c r="G1595" s="1297">
        <v>0</v>
      </c>
      <c r="H1595" s="1297">
        <f>+SUM(H1592:H1594)</f>
        <v>0</v>
      </c>
      <c r="I1595" s="1297">
        <f t="shared" ref="I1595:L1595" si="976">+SUM(I1592:I1594)</f>
        <v>0</v>
      </c>
      <c r="J1595" s="1297">
        <f t="shared" si="976"/>
        <v>0</v>
      </c>
      <c r="K1595" s="1297">
        <f t="shared" si="976"/>
        <v>0</v>
      </c>
      <c r="L1595" s="1297">
        <f t="shared" si="976"/>
        <v>0</v>
      </c>
      <c r="M1595" s="92">
        <f>IFERROR(R1595/$S$2,"")</f>
        <v>5.4666666666666659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1840</v>
      </c>
      <c r="R1595" s="785">
        <f>IFERROR(VLOOKUP($Q1595,'391'!$S:$Z,8,0),"")</f>
        <v>32.799999999999997</v>
      </c>
      <c r="S1595" s="796"/>
      <c r="T1595" s="797"/>
      <c r="U1595" s="797"/>
      <c r="V1595" s="797"/>
      <c r="W1595" s="821">
        <f>IFERROR(VLOOKUP($Q1595,'391'!$S:$AG,15,0),0)</f>
        <v>0</v>
      </c>
      <c r="X1595" s="1090">
        <f t="shared" si="974"/>
        <v>0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86" t="str">
        <f>IF(L1599=0,"",MAX($A$16:A1591)+1)</f>
        <v/>
      </c>
      <c r="B1596" s="2078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1892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50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87"/>
      <c r="B1597" s="2079"/>
      <c r="C1597" s="574" t="s">
        <v>287</v>
      </c>
      <c r="D1597" s="881" t="s">
        <v>10</v>
      </c>
      <c r="E1597" s="882">
        <v>44200</v>
      </c>
      <c r="F1597" s="71">
        <f>$L$7-E1597</f>
        <v>2061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50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2088"/>
      <c r="B1598" s="2071"/>
      <c r="C1598" s="138" t="s">
        <v>76</v>
      </c>
      <c r="D1598" s="884" t="s">
        <v>10</v>
      </c>
      <c r="E1598" s="885">
        <v>44369</v>
      </c>
      <c r="F1598" s="293">
        <f>$L$7-E1598</f>
        <v>1892</v>
      </c>
      <c r="G1598" s="1214">
        <v>0</v>
      </c>
      <c r="H1598" s="37"/>
      <c r="I1598" s="37">
        <f>+K1597+K1596</f>
        <v>0</v>
      </c>
      <c r="J1598" s="1385">
        <f>+usage!I110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50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 x14ac:dyDescent="0.25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77">+SUM(I1596:I1598)</f>
        <v>0</v>
      </c>
      <c r="J1599" s="1297">
        <f t="shared" si="977"/>
        <v>0</v>
      </c>
      <c r="K1599" s="1297">
        <f t="shared" si="977"/>
        <v>0</v>
      </c>
      <c r="L1599" s="1297">
        <f t="shared" si="977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50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50000000000003" customHeight="1" x14ac:dyDescent="0.25">
      <c r="A1600" s="2208" t="s">
        <v>1477</v>
      </c>
      <c r="B1600" s="2209"/>
      <c r="C1600" s="2209"/>
      <c r="D1600" s="2209"/>
      <c r="E1600" s="183"/>
      <c r="F1600" s="1421"/>
      <c r="G1600" s="1421">
        <f t="shared" ref="G1600:L1600" si="978">G625+G640+G663+G681+G750+G759+G767+G776+G785+G799+G817+G848+G856+G864+G877+G884+G892+G901+G911+G929+G934+G943+G955+G995+G1297+G1302+G1239+G1002+G1018+G1025+G1031+G1036+G1050+G1058+G1064+G1086+G1093+G1108+G1115+G1130+G1141+G1152+G1158+G1165+G1173+G1182+G1190+G1203+G1100+G1211+G1224+G1197+G645+G1071+G870+G1231+G1243+G1251+G1256+G653+G733+G728+G699+G1268+G738+G1262+G1281+G1274+G1286+G1292+G688+G1217+G722+G965+G1042+G1599+G971+G741+G1311+G744+G1322+G1332+G1318+G1326+G1336+G1343+G1349+G1355+G1363+G805+G1369+G1375+G1384+G1390+G811+G791+G1080+G1488+G1401+G1396+G1405+G1409+G1413+G1466+G1417+G1423+G1434+G1462+G1438+G1442+G1446+G1450+G1454+G667+G1458+G1122+G828+G823+G839+G711+G1429+G705+G1471+G1477+G1482+G1135+G1492+G1530+G1524+G1518+G1507+G1502+G1497+G977+G989+G1569+G983+G1573+G1578+G1583+G1591+G1009+G1540+G1534+G1513+G1544+G1549+G1587+G833+G1555+G1147+G629+G1595+G1565+G1560</f>
        <v>1286377.1000000001</v>
      </c>
      <c r="H1600" s="1421">
        <f t="shared" si="978"/>
        <v>32300</v>
      </c>
      <c r="I1600" s="1421">
        <f t="shared" si="978"/>
        <v>32400.31</v>
      </c>
      <c r="J1600" s="1421">
        <f t="shared" si="978"/>
        <v>40144.100000000006</v>
      </c>
      <c r="K1600" s="1421">
        <f t="shared" si="978"/>
        <v>32400.31</v>
      </c>
      <c r="L1600" s="1421">
        <f t="shared" si="978"/>
        <v>1278533</v>
      </c>
      <c r="M1600" s="1039"/>
      <c r="N1600" s="1039"/>
      <c r="O1600" s="1039"/>
      <c r="P1600" s="1040"/>
      <c r="Q1600" s="795"/>
      <c r="R1600" s="812">
        <f>+SUM(R616:R1599)</f>
        <v>245717.03000000009</v>
      </c>
      <c r="S1600" s="828"/>
      <c r="T1600" s="827">
        <f>+R1600-S1600</f>
        <v>245717.03000000009</v>
      </c>
      <c r="U1600" s="797"/>
      <c r="V1600" s="797"/>
      <c r="W1600" s="785">
        <f>IFERROR(VLOOKUP($Q1600,'391'!$S:$AG,15,0),0)</f>
        <v>0</v>
      </c>
      <c r="X1600" s="799">
        <f t="shared" si="850"/>
        <v>1286377.1000000001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 x14ac:dyDescent="0.25">
      <c r="A1601" s="2013">
        <f>IF(L1608=0,"",MAX($A$16:A1600)+1)</f>
        <v>113</v>
      </c>
      <c r="B1601" s="390" t="s">
        <v>2194</v>
      </c>
      <c r="C1601" s="557" t="s">
        <v>2114</v>
      </c>
      <c r="D1601" s="866" t="s">
        <v>10</v>
      </c>
      <c r="E1601" s="1122">
        <v>46247</v>
      </c>
      <c r="F1601" s="71">
        <f t="shared" ref="F1601" si="979">$L$7-E1601</f>
        <v>14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3">
        <f t="shared" ref="L1601:L1607" si="980">+G1601+H1601+I1601-J1601-K1601</f>
        <v>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981">$Q$1608&amp;C1601&amp;E1601</f>
        <v>Premix 10MX3.246247</v>
      </c>
      <c r="U1601" s="787"/>
      <c r="V1601" s="787"/>
      <c r="W1601" s="785">
        <f>IFERROR(VLOOKUP($Q1601,'391'!$S:$AG,15,0),0)</f>
        <v>0</v>
      </c>
      <c r="X1601" s="1090">
        <f t="shared" si="850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 x14ac:dyDescent="0.25">
      <c r="A1602" s="2005"/>
      <c r="B1602" s="390" t="s">
        <v>2226</v>
      </c>
      <c r="C1602" s="557" t="s">
        <v>2114</v>
      </c>
      <c r="D1602" s="866" t="s">
        <v>10</v>
      </c>
      <c r="E1602" s="1122">
        <v>46254</v>
      </c>
      <c r="F1602" s="71">
        <f t="shared" ref="F1602" si="982">$L$7-E1602</f>
        <v>7</v>
      </c>
      <c r="G1602" s="12">
        <v>1200</v>
      </c>
      <c r="H1602" s="11"/>
      <c r="I1602" s="11"/>
      <c r="J1602" s="1388"/>
      <c r="K1602" s="64">
        <f>IFERROR(SUMIF(INTAKE!$A:$A,$T1602,INTAKE!$P:$P),0)</f>
        <v>0</v>
      </c>
      <c r="L1602" s="1703">
        <f t="shared" si="980"/>
        <v>1200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1"/>
        <v>Premix 10MX3.246254</v>
      </c>
      <c r="U1602" s="787"/>
      <c r="V1602" s="787"/>
      <c r="W1602" s="785">
        <f>IFERROR(VLOOKUP($Q1602,'391'!$S:$AG,15,0),0)</f>
        <v>0</v>
      </c>
      <c r="X1602" s="1090">
        <f t="shared" si="850"/>
        <v>1200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5"/>
      <c r="B1603" s="390" t="s">
        <v>2115</v>
      </c>
      <c r="C1603" s="557"/>
      <c r="D1603" s="866" t="s">
        <v>10</v>
      </c>
      <c r="E1603" s="1122">
        <v>46227</v>
      </c>
      <c r="F1603" s="71">
        <f t="shared" ref="F1603:F1606" si="983">$L$7-E1603</f>
        <v>34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3">
        <f t="shared" si="980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81"/>
        <v>Premix 10M46227</v>
      </c>
      <c r="U1603" s="787"/>
      <c r="V1603" s="787"/>
      <c r="W1603" s="785">
        <f>IFERROR(VLOOKUP($Q1603,'391'!$S:$AG,15,0),0)</f>
        <v>0</v>
      </c>
      <c r="X1603" s="1090">
        <f t="shared" si="850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5"/>
      <c r="B1604" s="390" t="s">
        <v>1551</v>
      </c>
      <c r="C1604" s="557"/>
      <c r="D1604" s="866" t="s">
        <v>10</v>
      </c>
      <c r="E1604" s="1122">
        <v>45702</v>
      </c>
      <c r="F1604" s="71">
        <f t="shared" si="983"/>
        <v>559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3">
        <f t="shared" si="980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981"/>
        <v>Premix 10M45702</v>
      </c>
      <c r="U1604" s="787"/>
      <c r="V1604" s="787"/>
      <c r="W1604" s="785">
        <f>IFERROR(VLOOKUP($Q1604,'391'!$S:$AG,15,0),0)</f>
        <v>0</v>
      </c>
      <c r="X1604" s="1090">
        <f t="shared" si="850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05"/>
      <c r="B1605" s="390" t="s">
        <v>1251</v>
      </c>
      <c r="C1605" s="557"/>
      <c r="D1605" s="866" t="s">
        <v>10</v>
      </c>
      <c r="E1605" s="1122">
        <v>44956</v>
      </c>
      <c r="F1605" s="71">
        <f t="shared" si="983"/>
        <v>1305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4">
        <f t="shared" si="980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81"/>
        <v>Premix 10M44956</v>
      </c>
      <c r="U1605" s="787"/>
      <c r="V1605" s="787"/>
      <c r="W1605" s="785">
        <f>IFERROR(VLOOKUP($Q1605,'391'!$S:$AG,15,0),0)</f>
        <v>0</v>
      </c>
      <c r="X1605" s="1090">
        <f t="shared" si="850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 x14ac:dyDescent="0.25">
      <c r="A1606" s="2005"/>
      <c r="B1606" s="390" t="s">
        <v>339</v>
      </c>
      <c r="C1606" s="151"/>
      <c r="D1606" s="866" t="s">
        <v>10</v>
      </c>
      <c r="E1606" s="1122">
        <v>44903</v>
      </c>
      <c r="F1606" s="71">
        <f t="shared" si="983"/>
        <v>1358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4">
        <f t="shared" si="980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981"/>
        <v>Premix 10M44903</v>
      </c>
      <c r="U1606" s="787"/>
      <c r="V1606" s="787"/>
      <c r="W1606" s="785">
        <f>IFERROR(VLOOKUP($Q1606,'391'!$S:$AG,15,0),0)</f>
        <v>0</v>
      </c>
      <c r="X1606" s="1090">
        <f t="shared" si="850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 x14ac:dyDescent="0.25">
      <c r="A1607" s="2014"/>
      <c r="B1607" s="1014" t="s">
        <v>2194</v>
      </c>
      <c r="C1607" s="151" t="s">
        <v>46</v>
      </c>
      <c r="D1607" s="884" t="s">
        <v>10</v>
      </c>
      <c r="E1607" s="1123">
        <v>46247</v>
      </c>
      <c r="F1607" s="71">
        <f t="shared" ref="F1607" si="984">$L$7-E1607</f>
        <v>14</v>
      </c>
      <c r="G1607" s="56">
        <v>735.08</v>
      </c>
      <c r="H1607" s="56"/>
      <c r="I1607" s="58">
        <f>+SUM(K1601:K1606)</f>
        <v>0</v>
      </c>
      <c r="J1607" s="1369">
        <f>+usage!I231</f>
        <v>309.10000000000002</v>
      </c>
      <c r="K1607" s="64">
        <f>IFERROR(SUMIF(INTAKE!$A:$A,$T1607,INTAKE!$P:$P),0)</f>
        <v>0</v>
      </c>
      <c r="L1607" s="1534">
        <f t="shared" si="980"/>
        <v>425.98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981"/>
        <v>Premix 10MFeedmill46247</v>
      </c>
      <c r="U1607" s="787"/>
      <c r="V1607" s="787"/>
      <c r="W1607" s="785">
        <f>IFERROR(VLOOKUP($Q1607,'391'!$S:$AG,15,0),0)</f>
        <v>0</v>
      </c>
      <c r="X1607" s="1090">
        <f t="shared" si="850"/>
        <v>735.08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 x14ac:dyDescent="0.25">
      <c r="A1608" s="2006" t="s">
        <v>20</v>
      </c>
      <c r="B1608" s="2007"/>
      <c r="C1608" s="125"/>
      <c r="D1608" s="1027"/>
      <c r="E1608" s="1027"/>
      <c r="F1608" s="896"/>
      <c r="G1608" s="1422">
        <v>1935.08</v>
      </c>
      <c r="H1608" s="1422">
        <f t="shared" ref="H1608:L1608" si="985">SUM(H1601:H1607)</f>
        <v>0</v>
      </c>
      <c r="I1608" s="1422">
        <f t="shared" si="985"/>
        <v>0</v>
      </c>
      <c r="J1608" s="1422">
        <f t="shared" si="985"/>
        <v>309.10000000000002</v>
      </c>
      <c r="K1608" s="1422">
        <f t="shared" si="985"/>
        <v>0</v>
      </c>
      <c r="L1608" s="1422">
        <f t="shared" si="985"/>
        <v>1625.98</v>
      </c>
      <c r="M1608" s="889">
        <f>IFERROR(R1608/$S$2,"")</f>
        <v>182.30333333333331</v>
      </c>
      <c r="N1608" s="854">
        <f>(L1608/M1608)</f>
        <v>8.9190908924685974</v>
      </c>
      <c r="O1608" s="889">
        <f>IFERROR(SUMIF(ETM!$A:$A,$Q1608,ETM!$E:$E),"")</f>
        <v>187.99999999999997</v>
      </c>
      <c r="P1608" s="880">
        <f>IFERROR(L1608/O1608,0)</f>
        <v>8.6488297872340443</v>
      </c>
      <c r="Q1608" s="814" t="s">
        <v>626</v>
      </c>
      <c r="R1608" s="785">
        <f>IFERROR(VLOOKUP($Q1608,'391'!$S:$Z,8,0),"")</f>
        <v>1093.82</v>
      </c>
      <c r="S1608" s="786"/>
      <c r="T1608" s="787"/>
      <c r="U1608" s="787"/>
      <c r="V1608" s="787"/>
      <c r="W1608" s="785">
        <f>IFERROR(VLOOKUP($Q1608,'391'!$S:$AG,15,0),0)</f>
        <v>2407.2000000000003</v>
      </c>
      <c r="X1608" s="1090">
        <f t="shared" si="850"/>
        <v>-472.12000000000035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 x14ac:dyDescent="0.25">
      <c r="A1609" s="2013" t="str">
        <f>IF(L1611=0,"",MAX($A$16:A1608)+1)</f>
        <v/>
      </c>
      <c r="B1609" s="2011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4504</v>
      </c>
      <c r="G1609" s="64">
        <v>0</v>
      </c>
      <c r="H1609" s="64"/>
      <c r="I1609" s="64"/>
      <c r="J1609" s="1367"/>
      <c r="K1609" s="64"/>
      <c r="L1609" s="1534">
        <f t="shared" ref="L1609:L1625" si="986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0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 x14ac:dyDescent="0.25">
      <c r="A1610" s="2005"/>
      <c r="B1610" s="2012"/>
      <c r="C1610" s="119" t="s">
        <v>46</v>
      </c>
      <c r="D1610" s="884" t="s">
        <v>10</v>
      </c>
      <c r="E1610" s="1113">
        <v>41751</v>
      </c>
      <c r="F1610" s="71">
        <f>$L$7-E1610</f>
        <v>4510</v>
      </c>
      <c r="G1610" s="37">
        <v>0</v>
      </c>
      <c r="H1610" s="37"/>
      <c r="I1610" s="37"/>
      <c r="J1610" s="1385"/>
      <c r="K1610" s="37"/>
      <c r="L1610" s="1534">
        <f t="shared" si="986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0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 x14ac:dyDescent="0.25">
      <c r="A1611" s="2006" t="s">
        <v>21</v>
      </c>
      <c r="B1611" s="2007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4">
        <f t="shared" si="986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50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 x14ac:dyDescent="0.25">
      <c r="A1612" s="2013" t="str">
        <f>IF(L1614=0,"",MAX($A$16:A1611)+1)</f>
        <v/>
      </c>
      <c r="B1612" s="2011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4510</v>
      </c>
      <c r="G1612" s="64">
        <v>0</v>
      </c>
      <c r="H1612" s="64"/>
      <c r="I1612" s="64"/>
      <c r="J1612" s="1378"/>
      <c r="K1612" s="63"/>
      <c r="L1612" s="1534">
        <f t="shared" si="986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50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 x14ac:dyDescent="0.25">
      <c r="A1613" s="2005"/>
      <c r="B1613" s="2012"/>
      <c r="C1613" s="151" t="s">
        <v>46</v>
      </c>
      <c r="D1613" s="884" t="s">
        <v>10</v>
      </c>
      <c r="E1613" s="1113">
        <v>41751</v>
      </c>
      <c r="F1613" s="71">
        <f>$L$7-E1613</f>
        <v>4510</v>
      </c>
      <c r="G1613" s="58">
        <v>0</v>
      </c>
      <c r="H1613" s="58"/>
      <c r="I1613" s="58"/>
      <c r="J1613" s="1369"/>
      <c r="K1613" s="37"/>
      <c r="L1613" s="1534">
        <f t="shared" si="986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50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 x14ac:dyDescent="0.25">
      <c r="A1614" s="2006" t="s">
        <v>22</v>
      </c>
      <c r="B1614" s="2007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4">
        <f t="shared" si="986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987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 x14ac:dyDescent="0.25">
      <c r="A1615" s="2013">
        <f>IF(L1626=0,"",MAX($A$16:A1614)+1)</f>
        <v>114</v>
      </c>
      <c r="B1615" s="770" t="s">
        <v>2160</v>
      </c>
      <c r="C1615" s="769" t="s">
        <v>2158</v>
      </c>
      <c r="D1615" s="866" t="s">
        <v>10</v>
      </c>
      <c r="E1615" s="1122">
        <v>46241</v>
      </c>
      <c r="F1615" s="71">
        <f t="shared" ref="F1615" si="988">$L$7-E1615</f>
        <v>20</v>
      </c>
      <c r="G1615" s="63">
        <v>1200</v>
      </c>
      <c r="H1615" s="63"/>
      <c r="I1615" s="63"/>
      <c r="J1615" s="1378"/>
      <c r="K1615" s="64">
        <f>IFERROR(SUMIF(INTAKE!$A:$A,$T1615,INTAKE!$P:$P),0)</f>
        <v>0</v>
      </c>
      <c r="L1615" s="1703">
        <f t="shared" si="986"/>
        <v>1200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989">$Q$1626&amp;C1615&amp;E1615</f>
        <v>Premix 52MX4.246241</v>
      </c>
      <c r="U1615" s="787"/>
      <c r="V1615" s="787"/>
      <c r="W1615" s="785">
        <f>IFERROR(VLOOKUP($Q1615,'391'!$S:$AG,15,0),0)</f>
        <v>0</v>
      </c>
      <c r="X1615" s="1090">
        <f t="shared" si="987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5"/>
      <c r="B1616" s="770" t="s">
        <v>2202</v>
      </c>
      <c r="C1616" s="769" t="s">
        <v>1598</v>
      </c>
      <c r="D1616" s="866" t="s">
        <v>10</v>
      </c>
      <c r="E1616" s="1122">
        <v>46247</v>
      </c>
      <c r="F1616" s="71">
        <f t="shared" ref="F1616:F1618" si="990">$L$7-E1616</f>
        <v>14</v>
      </c>
      <c r="G1616" s="63">
        <v>1200</v>
      </c>
      <c r="H1616" s="63"/>
      <c r="I1616" s="63"/>
      <c r="J1616" s="1378"/>
      <c r="K1616" s="64">
        <f>IFERROR(SUMIF(INTAKE!$A:$A,$T1616,INTAKE!$P:$P),0)</f>
        <v>0</v>
      </c>
      <c r="L1616" s="1703">
        <f t="shared" si="986"/>
        <v>1200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89"/>
        <v>Premix 52MX6.246247</v>
      </c>
      <c r="U1616" s="787"/>
      <c r="V1616" s="787"/>
      <c r="W1616" s="785">
        <f>IFERROR(VLOOKUP($Q1616,'391'!$S:$AG,15,0),0)</f>
        <v>0</v>
      </c>
      <c r="X1616" s="1090">
        <f t="shared" si="987"/>
        <v>1200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05"/>
      <c r="B1617" s="770" t="s">
        <v>2230</v>
      </c>
      <c r="C1617" s="769" t="s">
        <v>1598</v>
      </c>
      <c r="D1617" s="866" t="s">
        <v>10</v>
      </c>
      <c r="E1617" s="1122">
        <v>46254</v>
      </c>
      <c r="F1617" s="71">
        <f t="shared" si="990"/>
        <v>7</v>
      </c>
      <c r="G1617" s="63">
        <v>1200</v>
      </c>
      <c r="H1617" s="63"/>
      <c r="I1617" s="63"/>
      <c r="J1617" s="1378"/>
      <c r="K1617" s="64">
        <f>IFERROR(SUMIF(INTAKE!$A:$A,$T1617,INTAKE!$P:$P),0)</f>
        <v>0</v>
      </c>
      <c r="L1617" s="1703">
        <f t="shared" si="986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89"/>
        <v>Premix 52MX6.246254</v>
      </c>
      <c r="U1617" s="787"/>
      <c r="V1617" s="787"/>
      <c r="W1617" s="785">
        <f>IFERROR(VLOOKUP($Q1617,'391'!$S:$AG,15,0),0)</f>
        <v>0</v>
      </c>
      <c r="X1617" s="1090">
        <f t="shared" si="987"/>
        <v>1200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customHeight="1" x14ac:dyDescent="0.25">
      <c r="A1618" s="2005"/>
      <c r="B1618" s="770" t="s">
        <v>2230</v>
      </c>
      <c r="C1618" s="769" t="s">
        <v>2159</v>
      </c>
      <c r="D1618" s="866" t="s">
        <v>10</v>
      </c>
      <c r="E1618" s="1122">
        <v>46254</v>
      </c>
      <c r="F1618" s="71">
        <f t="shared" si="990"/>
        <v>7</v>
      </c>
      <c r="G1618" s="63">
        <v>1200</v>
      </c>
      <c r="H1618" s="63"/>
      <c r="I1618" s="63"/>
      <c r="J1618" s="1378"/>
      <c r="K1618" s="64">
        <f>IFERROR(SUMIF(INTAKE!$A:$A,$T1618,INTAKE!$P:$P),0)</f>
        <v>0</v>
      </c>
      <c r="L1618" s="1703">
        <f t="shared" si="986"/>
        <v>1200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89"/>
        <v>Premix 52MX7.246254</v>
      </c>
      <c r="U1618" s="787"/>
      <c r="V1618" s="787"/>
      <c r="W1618" s="785">
        <f>IFERROR(VLOOKUP($Q1618,'391'!$S:$AG,15,0),0)</f>
        <v>0</v>
      </c>
      <c r="X1618" s="1090">
        <f t="shared" si="987"/>
        <v>1200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05"/>
      <c r="B1619" s="770" t="s">
        <v>2230</v>
      </c>
      <c r="C1619" s="769"/>
      <c r="D1619" s="866" t="s">
        <v>10</v>
      </c>
      <c r="E1619" s="1122">
        <v>46254</v>
      </c>
      <c r="F1619" s="71">
        <f t="shared" ref="F1619" si="991">$L$7-E1619</f>
        <v>7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3">
        <f t="shared" si="986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89"/>
        <v>Premix 52M46254</v>
      </c>
      <c r="U1619" s="787"/>
      <c r="V1619" s="787"/>
      <c r="W1619" s="785">
        <f>IFERROR(VLOOKUP($Q1619,'391'!$S:$AG,15,0),0)</f>
        <v>0</v>
      </c>
      <c r="X1619" s="1090">
        <f t="shared" si="987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5"/>
      <c r="B1620" s="770" t="s">
        <v>1812</v>
      </c>
      <c r="C1620" s="769"/>
      <c r="D1620" s="866" t="s">
        <v>10</v>
      </c>
      <c r="E1620" s="1122">
        <v>46129</v>
      </c>
      <c r="F1620" s="71">
        <f t="shared" ref="F1620" si="992">$L$7-E1620</f>
        <v>132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3">
        <f t="shared" si="986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89"/>
        <v>Premix 52M46129</v>
      </c>
      <c r="U1620" s="787"/>
      <c r="V1620" s="787"/>
      <c r="W1620" s="785">
        <f>IFERROR(VLOOKUP($Q1620,'391'!$S:$AG,15,0),0)</f>
        <v>0</v>
      </c>
      <c r="X1620" s="1090">
        <f t="shared" si="987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5"/>
      <c r="B1621" s="770" t="s">
        <v>1724</v>
      </c>
      <c r="C1621" s="769"/>
      <c r="D1621" s="866" t="s">
        <v>10</v>
      </c>
      <c r="E1621" s="1122">
        <v>46022</v>
      </c>
      <c r="F1621" s="71">
        <f t="shared" ref="F1621" si="993">$L$7-E1621</f>
        <v>239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3">
        <f t="shared" si="986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89"/>
        <v>Premix 52M46022</v>
      </c>
      <c r="U1621" s="787"/>
      <c r="V1621" s="787"/>
      <c r="W1621" s="785">
        <f>IFERROR(VLOOKUP($Q1621,'391'!$S:$AG,15,0),0)</f>
        <v>0</v>
      </c>
      <c r="X1621" s="1090">
        <f t="shared" si="987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5"/>
      <c r="B1622" s="770" t="s">
        <v>1539</v>
      </c>
      <c r="C1622" s="769"/>
      <c r="D1622" s="866" t="s">
        <v>10</v>
      </c>
      <c r="E1622" s="1122">
        <v>45674</v>
      </c>
      <c r="F1622" s="71">
        <f t="shared" ref="F1622" si="994">$L$7-E1622</f>
        <v>587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3">
        <f t="shared" si="986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89"/>
        <v>Premix 52M45674</v>
      </c>
      <c r="U1622" s="787"/>
      <c r="V1622" s="787"/>
      <c r="W1622" s="785">
        <f>IFERROR(VLOOKUP($Q1622,'391'!$S:$AG,15,0),0)</f>
        <v>0</v>
      </c>
      <c r="X1622" s="1090">
        <f t="shared" si="987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05"/>
      <c r="B1623" s="770" t="s">
        <v>1541</v>
      </c>
      <c r="C1623" s="769"/>
      <c r="D1623" s="866" t="s">
        <v>10</v>
      </c>
      <c r="E1623" s="1122">
        <v>45680</v>
      </c>
      <c r="F1623" s="71">
        <f t="shared" ref="F1623" si="995">$L$7-E1623</f>
        <v>581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3">
        <f t="shared" si="986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989"/>
        <v>Premix 52M45680</v>
      </c>
      <c r="U1623" s="787"/>
      <c r="V1623" s="787"/>
      <c r="W1623" s="785">
        <f>IFERROR(VLOOKUP($Q1623,'391'!$S:$AG,15,0),0)</f>
        <v>0</v>
      </c>
      <c r="X1623" s="1090">
        <f t="shared" si="987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 x14ac:dyDescent="0.25">
      <c r="A1624" s="2005"/>
      <c r="B1624" s="770" t="s">
        <v>1394</v>
      </c>
      <c r="C1624" s="769"/>
      <c r="D1624" s="866" t="s">
        <v>10</v>
      </c>
      <c r="E1624" s="1122">
        <v>45317</v>
      </c>
      <c r="F1624" s="71">
        <f t="shared" ref="F1624:F1625" si="996">$L$7-E1624</f>
        <v>944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4">
        <f t="shared" si="986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989"/>
        <v>Premix 52M45317</v>
      </c>
      <c r="U1624" s="787"/>
      <c r="V1624" s="787"/>
      <c r="W1624" s="785">
        <f>IFERROR(VLOOKUP($Q1624,'391'!$S:$AG,15,0),0)</f>
        <v>0</v>
      </c>
      <c r="X1624" s="1090">
        <f t="shared" si="987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 x14ac:dyDescent="0.25">
      <c r="A1625" s="2005"/>
      <c r="B1625" s="1014" t="s">
        <v>2160</v>
      </c>
      <c r="C1625" s="149" t="s">
        <v>46</v>
      </c>
      <c r="D1625" s="884" t="s">
        <v>10</v>
      </c>
      <c r="E1625" s="1123">
        <v>46241</v>
      </c>
      <c r="F1625" s="71">
        <f t="shared" si="996"/>
        <v>20</v>
      </c>
      <c r="G1625" s="56">
        <v>928.46000000000117</v>
      </c>
      <c r="H1625" s="56"/>
      <c r="I1625" s="56">
        <f>+SUM(K1615:K1620)</f>
        <v>0</v>
      </c>
      <c r="J1625" s="1369">
        <f>usage!I232</f>
        <v>404.28</v>
      </c>
      <c r="K1625" s="64">
        <f>IFERROR(SUMIF(INTAKE!$A:$A,$T1625,INTAKE!$P:$P),0)</f>
        <v>0</v>
      </c>
      <c r="L1625" s="1534">
        <f t="shared" si="986"/>
        <v>524.1800000000012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989"/>
        <v>Premix 52MFeedmill46241</v>
      </c>
      <c r="U1625" s="787"/>
      <c r="V1625" s="787"/>
      <c r="W1625" s="785">
        <f>IFERROR(VLOOKUP($Q1625,'391'!$S:$AG,15,0),0)</f>
        <v>0</v>
      </c>
      <c r="X1625" s="1090">
        <f t="shared" si="987"/>
        <v>928.46000000000117</v>
      </c>
      <c r="Y1625" s="787"/>
      <c r="Z1625" s="791"/>
      <c r="AA1625" s="787"/>
      <c r="AB1625" s="787"/>
      <c r="AC1625" s="550"/>
    </row>
    <row r="1626" spans="1:45" s="420" customFormat="1" ht="30" customHeight="1" x14ac:dyDescent="0.25">
      <c r="A1626" s="2006" t="s">
        <v>23</v>
      </c>
      <c r="B1626" s="2007"/>
      <c r="C1626" s="854"/>
      <c r="D1626" s="1027"/>
      <c r="E1626" s="1027"/>
      <c r="F1626" s="896"/>
      <c r="G1626" s="1422">
        <v>5728.4600000000009</v>
      </c>
      <c r="H1626" s="1422">
        <f>SUM(H1615:H1625)</f>
        <v>0</v>
      </c>
      <c r="I1626" s="1422">
        <f>SUM(I1615:I1625)</f>
        <v>0</v>
      </c>
      <c r="J1626" s="1422">
        <f>SUM(J1615:J1625)</f>
        <v>404.28</v>
      </c>
      <c r="K1626" s="1422">
        <f>SUM(K1615:K1625)</f>
        <v>0</v>
      </c>
      <c r="L1626" s="1422">
        <f>SUM(L1615:L1625)</f>
        <v>5324.1800000000012</v>
      </c>
      <c r="M1626" s="889">
        <f>IFERROR(R1626/$S$2,"")</f>
        <v>419.45666666666671</v>
      </c>
      <c r="N1626" s="854">
        <f>IFERROR(L1626/M1626,0)</f>
        <v>12.693039408123209</v>
      </c>
      <c r="O1626" s="889">
        <f>IFERROR(SUMIF(ETM!$A:$A,$Q1626,ETM!$E:$E),"")</f>
        <v>513</v>
      </c>
      <c r="P1626" s="880">
        <f>IFERROR(L1626/O1626,0)</f>
        <v>10.37851851851852</v>
      </c>
      <c r="Q1626" s="814" t="s">
        <v>921</v>
      </c>
      <c r="R1626" s="785">
        <f>IFERROR(VLOOKUP($Q1626,'391'!$S:$Z,8,0),"")</f>
        <v>2516.7400000000002</v>
      </c>
      <c r="S1626" s="786"/>
      <c r="T1626" s="787"/>
      <c r="U1626" s="787"/>
      <c r="V1626" s="787"/>
      <c r="W1626" s="785">
        <f>IFERROR(VLOOKUP($Q1626,'391'!$S:$AG,15,0),0)</f>
        <v>7000.8</v>
      </c>
      <c r="X1626" s="1090">
        <f t="shared" si="987"/>
        <v>-1272.3399999999992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 x14ac:dyDescent="0.25">
      <c r="A1627" s="2013" t="str">
        <f>IF(L1629=0,"",MAX($A$16:A1626)+1)</f>
        <v/>
      </c>
      <c r="B1627" s="2078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1847</v>
      </c>
      <c r="G1627" s="1423">
        <v>0</v>
      </c>
      <c r="H1627" s="12"/>
      <c r="I1627" s="12"/>
      <c r="J1627" s="1368"/>
      <c r="K1627" s="12"/>
      <c r="L1627" s="1534">
        <f t="shared" ref="L1627:L1636" si="997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87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 x14ac:dyDescent="0.25">
      <c r="A1628" s="2005"/>
      <c r="B1628" s="2195"/>
      <c r="C1628" s="43" t="s">
        <v>46</v>
      </c>
      <c r="D1628" s="1115" t="s">
        <v>10</v>
      </c>
      <c r="E1628" s="1107">
        <v>44414</v>
      </c>
      <c r="F1628" s="71">
        <f>$L$7-E1628</f>
        <v>1847</v>
      </c>
      <c r="G1628" s="37">
        <v>0</v>
      </c>
      <c r="H1628" s="37"/>
      <c r="I1628" s="37"/>
      <c r="J1628" s="1385"/>
      <c r="K1628" s="37"/>
      <c r="L1628" s="1534">
        <f t="shared" si="997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987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 x14ac:dyDescent="0.25">
      <c r="A1629" s="2006" t="s">
        <v>144</v>
      </c>
      <c r="B1629" s="2007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4">
        <f t="shared" si="997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987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 x14ac:dyDescent="0.25">
      <c r="A1630" s="2005">
        <f>IF(L1637=0,"",MAX($A$16:A1629)+1)</f>
        <v>115</v>
      </c>
      <c r="B1630" s="390" t="s">
        <v>1582</v>
      </c>
      <c r="C1630" s="239"/>
      <c r="D1630" s="866" t="s">
        <v>10</v>
      </c>
      <c r="E1630" s="1124">
        <v>45787</v>
      </c>
      <c r="F1630" s="71">
        <f t="shared" ref="F1630:F1633" si="998">$L$7-E1630</f>
        <v>474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3">
        <f t="shared" si="997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999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987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05"/>
      <c r="B1631" s="390" t="s">
        <v>2195</v>
      </c>
      <c r="C1631" s="239" t="s">
        <v>1879</v>
      </c>
      <c r="D1631" s="866" t="s">
        <v>10</v>
      </c>
      <c r="E1631" s="1124">
        <v>46247</v>
      </c>
      <c r="F1631" s="71">
        <f t="shared" si="998"/>
        <v>14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3">
        <f t="shared" si="997"/>
        <v>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999"/>
        <v>Premix 10VZ4.346247</v>
      </c>
      <c r="U1631" s="787"/>
      <c r="V1631" s="787"/>
      <c r="W1631" s="785">
        <f>IFERROR(VLOOKUP($Q1631,'391'!$S:$AG,15,0),0)</f>
        <v>0</v>
      </c>
      <c r="X1631" s="1090">
        <f t="shared" si="987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 x14ac:dyDescent="0.25">
      <c r="A1632" s="2005"/>
      <c r="B1632" s="390" t="s">
        <v>2227</v>
      </c>
      <c r="C1632" s="239" t="s">
        <v>265</v>
      </c>
      <c r="D1632" s="866" t="s">
        <v>10</v>
      </c>
      <c r="E1632" s="1124">
        <v>46254</v>
      </c>
      <c r="F1632" s="71">
        <f t="shared" ref="F1632" si="1000">$L$7-E1632</f>
        <v>7</v>
      </c>
      <c r="G1632" s="1423">
        <v>720</v>
      </c>
      <c r="H1632" s="64"/>
      <c r="I1632" s="11"/>
      <c r="J1632" s="1378"/>
      <c r="K1632" s="64">
        <f>IFERROR(SUMIF(INTAKE!$A:$A,$T1632,INTAKE!$P:$P),0)</f>
        <v>0</v>
      </c>
      <c r="L1632" s="1703">
        <f t="shared" si="997"/>
        <v>720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999"/>
        <v>Premix 10VZ5.346254</v>
      </c>
      <c r="U1632" s="787"/>
      <c r="V1632" s="787"/>
      <c r="W1632" s="785">
        <f>IFERROR(VLOOKUP($Q1632,'391'!$S:$AG,15,0),0)</f>
        <v>0</v>
      </c>
      <c r="X1632" s="1090">
        <f t="shared" si="987"/>
        <v>720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hidden="1" customHeight="1" x14ac:dyDescent="0.25">
      <c r="A1633" s="2005"/>
      <c r="B1633" s="390" t="s">
        <v>2116</v>
      </c>
      <c r="C1633" s="239"/>
      <c r="D1633" s="866" t="s">
        <v>10</v>
      </c>
      <c r="E1633" s="1124">
        <v>46227</v>
      </c>
      <c r="F1633" s="71">
        <f t="shared" si="998"/>
        <v>34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703">
        <f t="shared" si="997"/>
        <v>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999"/>
        <v>Premix 10V46227</v>
      </c>
      <c r="U1633" s="787"/>
      <c r="V1633" s="787"/>
      <c r="W1633" s="785">
        <f>IFERROR(VLOOKUP($Q1633,'391'!$S:$AG,15,0),0)</f>
        <v>0</v>
      </c>
      <c r="X1633" s="1090">
        <f t="shared" si="987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05"/>
      <c r="B1634" s="390" t="s">
        <v>2116</v>
      </c>
      <c r="C1634" s="239"/>
      <c r="D1634" s="866" t="s">
        <v>10</v>
      </c>
      <c r="E1634" s="1124">
        <v>46227</v>
      </c>
      <c r="F1634" s="71">
        <f t="shared" ref="F1634:F1636" si="1001">$L$7-E1634</f>
        <v>34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4">
        <f t="shared" si="997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999"/>
        <v>Premix 10V46227</v>
      </c>
      <c r="U1634" s="787"/>
      <c r="V1634" s="787"/>
      <c r="W1634" s="785">
        <f>IFERROR(VLOOKUP($Q1634,'391'!$S:$AG,15,0),0)</f>
        <v>0</v>
      </c>
      <c r="X1634" s="1090">
        <f t="shared" si="987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 x14ac:dyDescent="0.25">
      <c r="A1635" s="2005"/>
      <c r="B1635" s="390" t="s">
        <v>1247</v>
      </c>
      <c r="C1635" s="239"/>
      <c r="D1635" s="866" t="s">
        <v>10</v>
      </c>
      <c r="E1635" s="1124">
        <v>44942</v>
      </c>
      <c r="F1635" s="71">
        <f t="shared" si="1001"/>
        <v>1319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4">
        <f t="shared" si="997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999"/>
        <v>Premix 10V44942</v>
      </c>
      <c r="U1635" s="787"/>
      <c r="V1635" s="787"/>
      <c r="W1635" s="785">
        <f>IFERROR(VLOOKUP($Q1635,'391'!$S:$AG,15,0),0)</f>
        <v>0</v>
      </c>
      <c r="X1635" s="1090">
        <f t="shared" si="987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 x14ac:dyDescent="0.25">
      <c r="A1636" s="2005"/>
      <c r="B1636" s="1015" t="s">
        <v>2195</v>
      </c>
      <c r="C1636" s="159" t="s">
        <v>46</v>
      </c>
      <c r="D1636" s="884" t="s">
        <v>10</v>
      </c>
      <c r="E1636" s="1125">
        <v>46247</v>
      </c>
      <c r="F1636" s="71">
        <f t="shared" si="1001"/>
        <v>14</v>
      </c>
      <c r="G1636" s="1428">
        <v>688.19999999999993</v>
      </c>
      <c r="H1636" s="1214"/>
      <c r="I1636" s="1214">
        <f>+SUM(K1630:K1635)</f>
        <v>0</v>
      </c>
      <c r="J1636" s="1385">
        <f>+usage!I225</f>
        <v>181.42</v>
      </c>
      <c r="K1636" s="64">
        <f>IFERROR(SUMIF(INTAKE!$A:$A,$T1636,INTAKE!$P:$P),0)</f>
        <v>0</v>
      </c>
      <c r="L1636" s="1534">
        <f t="shared" si="997"/>
        <v>506.78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999"/>
        <v>Premix 10VFeedmill46247</v>
      </c>
      <c r="U1636" s="787"/>
      <c r="V1636" s="787"/>
      <c r="W1636" s="785">
        <f>IFERROR(VLOOKUP($Q1636,'391'!$S:$AG,15,0),0)</f>
        <v>0</v>
      </c>
      <c r="X1636" s="1090">
        <f t="shared" si="987"/>
        <v>688.19999999999993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 x14ac:dyDescent="0.25">
      <c r="A1637" s="2006" t="s">
        <v>150</v>
      </c>
      <c r="B1637" s="2007"/>
      <c r="C1637" s="125"/>
      <c r="D1637" s="1027"/>
      <c r="E1637" s="1027"/>
      <c r="F1637" s="896"/>
      <c r="G1637" s="1422">
        <v>1408.1999999999998</v>
      </c>
      <c r="H1637" s="1422">
        <f t="shared" ref="H1637:L1637" si="1002">SUM(H1630:H1636)</f>
        <v>0</v>
      </c>
      <c r="I1637" s="1422">
        <f>SUM(I1630:I1636)</f>
        <v>0</v>
      </c>
      <c r="J1637" s="1422">
        <f t="shared" si="1002"/>
        <v>181.42</v>
      </c>
      <c r="K1637" s="1422">
        <f t="shared" si="1002"/>
        <v>0</v>
      </c>
      <c r="L1637" s="1422">
        <f t="shared" si="1002"/>
        <v>1226.78</v>
      </c>
      <c r="M1637" s="889">
        <f>IFERROR(R1637/$S$2,"")</f>
        <v>130.31333333333333</v>
      </c>
      <c r="N1637" s="366">
        <f>(L1637/M1637)</f>
        <v>9.4140788867856955</v>
      </c>
      <c r="O1637" s="889">
        <f>IFERROR(SUMIF(ETM!$A:$A,$Q1637,ETM!$E:$E),"")</f>
        <v>151.83333333333334</v>
      </c>
      <c r="P1637" s="880">
        <f>IFERROR(L1637/O1637,0)</f>
        <v>8.0797804610318327</v>
      </c>
      <c r="Q1637" s="814" t="s">
        <v>627</v>
      </c>
      <c r="R1637" s="785">
        <f>IFERROR(VLOOKUP($Q1637,'391'!$S:$Z,8,0),"")</f>
        <v>781.88</v>
      </c>
      <c r="S1637" s="786"/>
      <c r="T1637" s="787"/>
      <c r="U1637" s="787"/>
      <c r="V1637" s="787"/>
      <c r="W1637" s="785">
        <f>IFERROR(VLOOKUP($Q1637,'391'!$S:$AG,15,0),0)</f>
        <v>1820.56</v>
      </c>
      <c r="X1637" s="1090">
        <f t="shared" si="987"/>
        <v>-412.36000000000013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5" t="str">
        <f>IF(L1644=0,"",MAX($A$16:A1637)+1)</f>
        <v/>
      </c>
      <c r="B1638" s="2012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03">$L$7-E1638</f>
        <v>3178</v>
      </c>
      <c r="G1638" s="12">
        <v>0</v>
      </c>
      <c r="H1638" s="56"/>
      <c r="I1638" s="63"/>
      <c r="J1638" s="1378"/>
      <c r="K1638" s="63"/>
      <c r="L1638" s="1534">
        <f t="shared" ref="L1638:L1666" si="1004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87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5"/>
      <c r="B1639" s="2012"/>
      <c r="C1639" s="150" t="s">
        <v>147</v>
      </c>
      <c r="D1639" s="866" t="s">
        <v>10</v>
      </c>
      <c r="E1639" s="1116">
        <v>43084</v>
      </c>
      <c r="F1639" s="71">
        <f t="shared" si="1003"/>
        <v>3177</v>
      </c>
      <c r="G1639" s="12">
        <v>0</v>
      </c>
      <c r="H1639" s="11"/>
      <c r="I1639" s="11"/>
      <c r="J1639" s="1388"/>
      <c r="K1639" s="11"/>
      <c r="L1639" s="1534">
        <f t="shared" si="1004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87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5"/>
      <c r="B1640" s="2012"/>
      <c r="C1640" s="150" t="s">
        <v>147</v>
      </c>
      <c r="D1640" s="866" t="s">
        <v>10</v>
      </c>
      <c r="E1640" s="1116">
        <v>43085</v>
      </c>
      <c r="F1640" s="71">
        <f t="shared" si="1003"/>
        <v>3176</v>
      </c>
      <c r="G1640" s="12">
        <v>0</v>
      </c>
      <c r="H1640" s="56"/>
      <c r="I1640" s="63"/>
      <c r="J1640" s="1378"/>
      <c r="K1640" s="63"/>
      <c r="L1640" s="1534">
        <f t="shared" si="1004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87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05"/>
      <c r="B1641" s="2012"/>
      <c r="C1641" s="155" t="s">
        <v>46</v>
      </c>
      <c r="D1641" s="866" t="s">
        <v>10</v>
      </c>
      <c r="E1641" s="1116">
        <v>43086</v>
      </c>
      <c r="F1641" s="71">
        <f t="shared" si="1003"/>
        <v>3175</v>
      </c>
      <c r="G1641" s="56">
        <v>0</v>
      </c>
      <c r="H1641" s="56"/>
      <c r="I1641" s="56"/>
      <c r="J1641" s="1369"/>
      <c r="K1641" s="56"/>
      <c r="L1641" s="1534">
        <f t="shared" si="1004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87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 x14ac:dyDescent="0.25">
      <c r="A1642" s="2005"/>
      <c r="B1642" s="2012"/>
      <c r="C1642" s="157"/>
      <c r="D1642" s="866" t="s">
        <v>10</v>
      </c>
      <c r="E1642" s="1116">
        <v>43087</v>
      </c>
      <c r="F1642" s="71">
        <f t="shared" si="1003"/>
        <v>3174</v>
      </c>
      <c r="G1642" s="56">
        <v>0</v>
      </c>
      <c r="H1642" s="56"/>
      <c r="I1642" s="56"/>
      <c r="J1642" s="1369"/>
      <c r="K1642" s="56"/>
      <c r="L1642" s="1534">
        <f t="shared" si="1004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87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 x14ac:dyDescent="0.25">
      <c r="A1643" s="2005"/>
      <c r="B1643" s="2193"/>
      <c r="C1643" s="156"/>
      <c r="D1643" s="1112" t="s">
        <v>10</v>
      </c>
      <c r="E1643" s="1116">
        <v>43088</v>
      </c>
      <c r="F1643" s="71">
        <f t="shared" si="1003"/>
        <v>3173</v>
      </c>
      <c r="G1643" s="37">
        <v>0</v>
      </c>
      <c r="H1643" s="37"/>
      <c r="I1643" s="37"/>
      <c r="J1643" s="1385"/>
      <c r="K1643" s="37"/>
      <c r="L1643" s="1534">
        <f t="shared" si="1004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87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 x14ac:dyDescent="0.25">
      <c r="A1644" s="2006" t="s">
        <v>24</v>
      </c>
      <c r="B1644" s="2007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4">
        <f t="shared" si="1004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87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 x14ac:dyDescent="0.25">
      <c r="A1645" s="2005" t="str">
        <f>IF(L1648=0,"",MAX($A$16:A1644)+1)</f>
        <v/>
      </c>
      <c r="B1645" s="2078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3173</v>
      </c>
      <c r="G1645" s="11">
        <v>0</v>
      </c>
      <c r="H1645" s="11"/>
      <c r="I1645" s="11"/>
      <c r="J1645" s="1388"/>
      <c r="K1645" s="11"/>
      <c r="L1645" s="1534">
        <f t="shared" si="1004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87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5"/>
      <c r="B1646" s="2079"/>
      <c r="C1646" s="154" t="s">
        <v>46</v>
      </c>
      <c r="D1646" s="1110"/>
      <c r="E1646" s="1116">
        <v>43089</v>
      </c>
      <c r="F1646" s="71">
        <f>$L$7-E1646</f>
        <v>3172</v>
      </c>
      <c r="G1646" s="56">
        <v>0</v>
      </c>
      <c r="H1646" s="56"/>
      <c r="I1646" s="56"/>
      <c r="J1646" s="1369"/>
      <c r="K1646" s="12"/>
      <c r="L1646" s="1534">
        <f t="shared" si="1004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87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05"/>
      <c r="B1647" s="2195"/>
      <c r="C1647" s="154" t="s">
        <v>46</v>
      </c>
      <c r="D1647" s="1108"/>
      <c r="E1647" s="1116">
        <v>43090</v>
      </c>
      <c r="F1647" s="71">
        <f>$L$7-E1647</f>
        <v>3171</v>
      </c>
      <c r="G1647" s="56">
        <v>0</v>
      </c>
      <c r="H1647" s="56"/>
      <c r="I1647" s="56"/>
      <c r="J1647" s="1369"/>
      <c r="K1647" s="12"/>
      <c r="L1647" s="1534">
        <f t="shared" si="1004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987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2006" t="s">
        <v>172</v>
      </c>
      <c r="B1648" s="2007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4">
        <f t="shared" si="1004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987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hidden="1" customHeight="1" x14ac:dyDescent="0.25">
      <c r="A1649" s="2005"/>
      <c r="B1649" s="390" t="s">
        <v>960</v>
      </c>
      <c r="C1649" s="150"/>
      <c r="D1649" s="866" t="s">
        <v>10</v>
      </c>
      <c r="E1649" s="1116">
        <v>44379</v>
      </c>
      <c r="F1649" s="71">
        <f t="shared" ref="F1649:F1655" si="1005">$L$7-E1649</f>
        <v>1882</v>
      </c>
      <c r="G1649" s="11">
        <v>0</v>
      </c>
      <c r="H1649" s="11"/>
      <c r="I1649" s="64"/>
      <c r="J1649" s="1366"/>
      <c r="K1649" s="11">
        <f>IFERROR(VLOOKUP(T1649,INTAKE!$A:$R,16,0),0)</f>
        <v>0</v>
      </c>
      <c r="L1649" s="1534">
        <f t="shared" si="1004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06">$Q$1656&amp;C1649&amp;E1649</f>
        <v>Premix 34V44379</v>
      </c>
      <c r="U1649" s="787"/>
      <c r="V1649" s="787"/>
      <c r="W1649" s="785">
        <f>IFERROR(VLOOKUP($Q1649,'391'!$S:$AG,15,0),0)</f>
        <v>0</v>
      </c>
      <c r="X1649" s="1090">
        <f t="shared" si="987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5"/>
      <c r="B1650" s="390" t="s">
        <v>961</v>
      </c>
      <c r="C1650" s="150" t="s">
        <v>191</v>
      </c>
      <c r="D1650" s="866" t="s">
        <v>10</v>
      </c>
      <c r="E1650" s="1116">
        <v>44386</v>
      </c>
      <c r="F1650" s="71">
        <f t="shared" si="1005"/>
        <v>1875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4">
        <f t="shared" si="1004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06"/>
        <v>Premix 34VX2.144386</v>
      </c>
      <c r="U1650" s="787"/>
      <c r="V1650" s="787"/>
      <c r="W1650" s="785">
        <f>IFERROR(VLOOKUP($Q1650,'391'!$S:$AG,15,0),0)</f>
        <v>0</v>
      </c>
      <c r="X1650" s="1090">
        <f t="shared" si="987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5"/>
      <c r="B1651" s="390" t="s">
        <v>961</v>
      </c>
      <c r="C1651" s="150"/>
      <c r="D1651" s="866" t="s">
        <v>10</v>
      </c>
      <c r="E1651" s="1116">
        <v>44386</v>
      </c>
      <c r="F1651" s="71">
        <f t="shared" si="1005"/>
        <v>1875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4">
        <f t="shared" si="1004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06"/>
        <v>Premix 34V44386</v>
      </c>
      <c r="U1651" s="787"/>
      <c r="V1651" s="787"/>
      <c r="W1651" s="785">
        <f>IFERROR(VLOOKUP($Q1651,'391'!$S:$AG,15,0),0)</f>
        <v>0</v>
      </c>
      <c r="X1651" s="1090">
        <f t="shared" si="987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5"/>
      <c r="B1652" s="390" t="s">
        <v>925</v>
      </c>
      <c r="C1652" s="150"/>
      <c r="D1652" s="866" t="s">
        <v>10</v>
      </c>
      <c r="E1652" s="1116">
        <v>44309</v>
      </c>
      <c r="F1652" s="71">
        <f t="shared" si="1005"/>
        <v>1952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4">
        <f t="shared" si="1004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06"/>
        <v>Premix 34V44309</v>
      </c>
      <c r="U1652" s="787"/>
      <c r="V1652" s="787"/>
      <c r="W1652" s="785">
        <f>IFERROR(VLOOKUP($Q1652,'391'!$S:$AG,15,0),0)</f>
        <v>0</v>
      </c>
      <c r="X1652" s="1090">
        <f t="shared" si="987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05"/>
      <c r="B1653" s="390" t="s">
        <v>362</v>
      </c>
      <c r="C1653" s="150"/>
      <c r="D1653" s="866" t="s">
        <v>10</v>
      </c>
      <c r="E1653" s="1116">
        <v>43141</v>
      </c>
      <c r="F1653" s="71">
        <f t="shared" si="1005"/>
        <v>3120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4">
        <f t="shared" si="1004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06"/>
        <v>Premix 34V43141</v>
      </c>
      <c r="U1653" s="787"/>
      <c r="V1653" s="787"/>
      <c r="W1653" s="785">
        <f>IFERROR(VLOOKUP($Q1653,'391'!$S:$AG,15,0),0)</f>
        <v>0</v>
      </c>
      <c r="X1653" s="1090">
        <f t="shared" si="987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 x14ac:dyDescent="0.25">
      <c r="A1654" s="2005"/>
      <c r="B1654" s="390" t="s">
        <v>363</v>
      </c>
      <c r="C1654" s="150"/>
      <c r="D1654" s="866" t="s">
        <v>10</v>
      </c>
      <c r="E1654" s="1116">
        <v>43144</v>
      </c>
      <c r="F1654" s="71">
        <f t="shared" si="1005"/>
        <v>3117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4">
        <f t="shared" si="1004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06"/>
        <v>Premix 34V43144</v>
      </c>
      <c r="U1654" s="787"/>
      <c r="V1654" s="787"/>
      <c r="W1654" s="785">
        <f>IFERROR(VLOOKUP($Q1654,'391'!$S:$AG,15,0),0)</f>
        <v>0</v>
      </c>
      <c r="X1654" s="1090">
        <f t="shared" si="987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hidden="1" customHeight="1" x14ac:dyDescent="0.25">
      <c r="A1655" s="2005"/>
      <c r="B1655" s="1016" t="s">
        <v>961</v>
      </c>
      <c r="C1655" s="144" t="s">
        <v>46</v>
      </c>
      <c r="D1655" s="884" t="s">
        <v>10</v>
      </c>
      <c r="E1655" s="1114">
        <v>44386</v>
      </c>
      <c r="F1655" s="71">
        <f t="shared" si="1005"/>
        <v>1875</v>
      </c>
      <c r="G1655" s="37">
        <v>0</v>
      </c>
      <c r="H1655" s="37"/>
      <c r="I1655" s="37">
        <f>+SUM(K1649:K1652)</f>
        <v>0</v>
      </c>
      <c r="J1655" s="1385">
        <f>+usage!I228</f>
        <v>0</v>
      </c>
      <c r="K1655" s="64">
        <f>IFERROR(SUMIF(INTAKE!$A:$A,$T1655,INTAKE!$P:$P),0)</f>
        <v>0</v>
      </c>
      <c r="L1655" s="1534">
        <f t="shared" si="1004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06"/>
        <v>Premix 34VFeedmill44386</v>
      </c>
      <c r="U1655" s="787"/>
      <c r="V1655" s="787"/>
      <c r="W1655" s="785">
        <f>IFERROR(VLOOKUP($Q1655,'391'!$S:$AG,15,0),0)</f>
        <v>0</v>
      </c>
      <c r="X1655" s="1090">
        <f t="shared" si="987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hidden="1" customHeight="1" x14ac:dyDescent="0.25">
      <c r="A1656" s="2006" t="s">
        <v>140</v>
      </c>
      <c r="B1656" s="2007"/>
      <c r="C1656" s="125"/>
      <c r="D1656" s="1030"/>
      <c r="E1656" s="1031"/>
      <c r="F1656" s="1032"/>
      <c r="G1656" s="1422">
        <v>0</v>
      </c>
      <c r="H1656" s="1422">
        <f t="shared" ref="H1656:I1656" si="1007">SUM(H1649:H1655)</f>
        <v>0</v>
      </c>
      <c r="I1656" s="1422">
        <f t="shared" si="1007"/>
        <v>0</v>
      </c>
      <c r="J1656" s="1422">
        <f t="shared" ref="J1656:K1656" si="1008">SUM(J1649:J1655)</f>
        <v>0</v>
      </c>
      <c r="K1656" s="1422">
        <f t="shared" si="1008"/>
        <v>0</v>
      </c>
      <c r="L1656" s="1534">
        <f t="shared" si="1004"/>
        <v>0</v>
      </c>
      <c r="M1656" s="889" t="str">
        <f>IFERROR(R1656/$S$2,"")</f>
        <v/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 t="str">
        <f>IFERROR(VLOOKUP($Q1656,'391'!$S:$Z,8,0),"")</f>
        <v/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87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 x14ac:dyDescent="0.25">
      <c r="A1657" s="2190" t="str">
        <f>IF(L1659=0,"",MAX($A$16:A1656)+1)</f>
        <v/>
      </c>
      <c r="B1657" s="2210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3117</v>
      </c>
      <c r="G1657" s="1433">
        <v>0</v>
      </c>
      <c r="H1657" s="11"/>
      <c r="I1657" s="11"/>
      <c r="J1657" s="1388"/>
      <c r="K1657" s="11"/>
      <c r="L1657" s="1534">
        <f t="shared" si="1004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87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 x14ac:dyDescent="0.25">
      <c r="A1658" s="2196"/>
      <c r="B1658" s="2211"/>
      <c r="C1658" s="60" t="s">
        <v>46</v>
      </c>
      <c r="D1658" s="866" t="s">
        <v>10</v>
      </c>
      <c r="E1658" s="1109">
        <v>43144</v>
      </c>
      <c r="F1658" s="71">
        <f>$L$7-E1658</f>
        <v>3117</v>
      </c>
      <c r="G1658" s="1434">
        <v>0</v>
      </c>
      <c r="H1658" s="37"/>
      <c r="I1658" s="37"/>
      <c r="J1658" s="1385"/>
      <c r="K1658" s="37"/>
      <c r="L1658" s="1534">
        <f t="shared" si="1004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987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 x14ac:dyDescent="0.25">
      <c r="A1659" s="2006" t="s">
        <v>69</v>
      </c>
      <c r="B1659" s="2007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4">
        <f t="shared" si="1004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987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 x14ac:dyDescent="0.25">
      <c r="A1660" s="2013">
        <f>IF(L1667=0,"",MAX($A$16:A1659)+1)</f>
        <v>116</v>
      </c>
      <c r="B1660" s="396" t="s">
        <v>2196</v>
      </c>
      <c r="C1660" s="186" t="s">
        <v>191</v>
      </c>
      <c r="D1660" s="866" t="s">
        <v>10</v>
      </c>
      <c r="E1660" s="1126">
        <v>46247</v>
      </c>
      <c r="F1660" s="71">
        <f t="shared" ref="F1660" si="1009">$L$7-E1660</f>
        <v>14</v>
      </c>
      <c r="G1660" s="12">
        <v>60</v>
      </c>
      <c r="H1660" s="12"/>
      <c r="I1660" s="12"/>
      <c r="J1660" s="1369"/>
      <c r="K1660" s="64">
        <f>IFERROR(SUMIF(INTAKE!$A:$A,$T1660,INTAKE!$P:$P),0)</f>
        <v>0</v>
      </c>
      <c r="L1660" s="1703">
        <f t="shared" si="1004"/>
        <v>60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10">$Q$1667&amp;C1660&amp;E1660</f>
        <v>Premix 21VX2.146247</v>
      </c>
      <c r="U1660" s="787"/>
      <c r="V1660" s="787"/>
      <c r="W1660" s="785">
        <f>IFERROR(VLOOKUP($Q1660,'391'!$S:$AG,15,0),0)</f>
        <v>0</v>
      </c>
      <c r="X1660" s="1090">
        <f t="shared" si="987"/>
        <v>60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05"/>
      <c r="B1661" s="396" t="s">
        <v>2228</v>
      </c>
      <c r="C1661" s="186" t="s">
        <v>191</v>
      </c>
      <c r="D1661" s="866" t="s">
        <v>10</v>
      </c>
      <c r="E1661" s="1126">
        <v>46254</v>
      </c>
      <c r="F1661" s="71">
        <f t="shared" ref="F1661" si="1011">$L$7-E1661</f>
        <v>7</v>
      </c>
      <c r="G1661" s="12">
        <v>480</v>
      </c>
      <c r="H1661" s="12"/>
      <c r="I1661" s="12"/>
      <c r="J1661" s="1369"/>
      <c r="K1661" s="64">
        <f>IFERROR(SUMIF(INTAKE!$A:$A,$T1661,INTAKE!$P:$P),0)</f>
        <v>0</v>
      </c>
      <c r="L1661" s="1703">
        <f t="shared" si="1004"/>
        <v>480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10"/>
        <v>Premix 21VX2.146254</v>
      </c>
      <c r="U1661" s="787"/>
      <c r="V1661" s="787"/>
      <c r="W1661" s="785">
        <f>IFERROR(VLOOKUP($Q1661,'391'!$S:$AG,15,0),0)</f>
        <v>0</v>
      </c>
      <c r="X1661" s="1090">
        <f t="shared" si="987"/>
        <v>480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05"/>
      <c r="B1662" s="396" t="s">
        <v>1873</v>
      </c>
      <c r="C1662" s="186"/>
      <c r="D1662" s="866" t="s">
        <v>10</v>
      </c>
      <c r="E1662" s="1126">
        <v>46206</v>
      </c>
      <c r="F1662" s="71">
        <f t="shared" ref="F1662" si="1012">$L$7-E1662</f>
        <v>55</v>
      </c>
      <c r="G1662" s="12">
        <v>0</v>
      </c>
      <c r="H1662" s="12"/>
      <c r="I1662" s="12"/>
      <c r="J1662" s="1369"/>
      <c r="K1662" s="64">
        <f>IFERROR(SUMIF(INTAKE!$A:$A,$T1662,INTAKE!$P:$P),0)</f>
        <v>0</v>
      </c>
      <c r="L1662" s="1703">
        <f t="shared" si="1004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10"/>
        <v>Premix 21V46206</v>
      </c>
      <c r="U1662" s="787"/>
      <c r="V1662" s="787"/>
      <c r="W1662" s="785">
        <f>IFERROR(VLOOKUP($Q1662,'391'!$S:$AG,15,0),0)</f>
        <v>0</v>
      </c>
      <c r="X1662" s="1090">
        <f t="shared" si="987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5"/>
      <c r="B1663" s="396" t="s">
        <v>1850</v>
      </c>
      <c r="C1663" s="186"/>
      <c r="D1663" s="866" t="s">
        <v>10</v>
      </c>
      <c r="E1663" s="1126">
        <v>46185</v>
      </c>
      <c r="F1663" s="71">
        <f t="shared" ref="F1663:F1666" si="1013">$L$7-E1663</f>
        <v>76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3">
        <f t="shared" si="1004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10"/>
        <v>Premix 21V46185</v>
      </c>
      <c r="U1663" s="787"/>
      <c r="V1663" s="787"/>
      <c r="W1663" s="785">
        <f>IFERROR(VLOOKUP($Q1663,'391'!$S:$AG,15,0),0)</f>
        <v>0</v>
      </c>
      <c r="X1663" s="1090">
        <f t="shared" si="987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05"/>
      <c r="B1664" s="396" t="s">
        <v>939</v>
      </c>
      <c r="C1664" s="186"/>
      <c r="D1664" s="866" t="s">
        <v>10</v>
      </c>
      <c r="E1664" s="1126">
        <v>44330</v>
      </c>
      <c r="F1664" s="71">
        <f t="shared" si="1013"/>
        <v>1931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4">
        <f t="shared" si="1004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10"/>
        <v>Premix 21V44330</v>
      </c>
      <c r="U1664" s="787"/>
      <c r="V1664" s="787"/>
      <c r="W1664" s="785">
        <f>IFERROR(VLOOKUP($Q1664,'391'!$S:$AG,15,0),0)</f>
        <v>0</v>
      </c>
      <c r="X1664" s="1090">
        <f t="shared" si="987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 x14ac:dyDescent="0.25">
      <c r="A1665" s="2005"/>
      <c r="B1665" s="396" t="s">
        <v>340</v>
      </c>
      <c r="C1665" s="186"/>
      <c r="D1665" s="866" t="s">
        <v>10</v>
      </c>
      <c r="E1665" s="1126">
        <v>42959</v>
      </c>
      <c r="F1665" s="71">
        <f t="shared" si="1013"/>
        <v>3302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4">
        <f t="shared" si="1004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10"/>
        <v>Premix 21V42959</v>
      </c>
      <c r="U1665" s="787"/>
      <c r="V1665" s="787"/>
      <c r="W1665" s="785">
        <f>IFERROR(VLOOKUP($Q1665,'391'!$S:$AG,15,0),0)</f>
        <v>0</v>
      </c>
      <c r="X1665" s="1090">
        <f t="shared" si="987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 x14ac:dyDescent="0.25">
      <c r="A1666" s="2014"/>
      <c r="B1666" s="1017" t="s">
        <v>2196</v>
      </c>
      <c r="C1666" s="849" t="s">
        <v>46</v>
      </c>
      <c r="D1666" s="884" t="s">
        <v>10</v>
      </c>
      <c r="E1666" s="1123">
        <v>46247</v>
      </c>
      <c r="F1666" s="71">
        <f t="shared" si="1013"/>
        <v>14</v>
      </c>
      <c r="G1666" s="56">
        <v>98.800000000000026</v>
      </c>
      <c r="H1666" s="37"/>
      <c r="I1666" s="37">
        <f>+SUM(K1660:K1665)</f>
        <v>0</v>
      </c>
      <c r="J1666" s="1385">
        <f>+usage!I226</f>
        <v>8.32</v>
      </c>
      <c r="K1666" s="64">
        <f>IFERROR(SUMIF(INTAKE!$A:$A,$T1666,INTAKE!$P:$P),0)</f>
        <v>0</v>
      </c>
      <c r="L1666" s="1534">
        <f t="shared" si="1004"/>
        <v>90.480000000000018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10"/>
        <v>Premix 21VFeedmill46247</v>
      </c>
      <c r="U1666" s="787"/>
      <c r="V1666" s="787"/>
      <c r="W1666" s="785">
        <f>IFERROR(VLOOKUP($Q1666,'391'!$S:$AG,15,0),0)</f>
        <v>0</v>
      </c>
      <c r="X1666" s="1090">
        <f t="shared" si="987"/>
        <v>98.800000000000026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2006" t="s">
        <v>57</v>
      </c>
      <c r="B1667" s="2007"/>
      <c r="C1667" s="1033"/>
      <c r="D1667" s="1034"/>
      <c r="E1667" s="1127"/>
      <c r="F1667" s="1034"/>
      <c r="G1667" s="1422">
        <v>638.80000000000007</v>
      </c>
      <c r="H1667" s="1422">
        <f t="shared" ref="H1667:I1667" si="1014">SUM(H1660:H1666)</f>
        <v>0</v>
      </c>
      <c r="I1667" s="1422">
        <f t="shared" si="1014"/>
        <v>0</v>
      </c>
      <c r="J1667" s="1422">
        <f t="shared" ref="J1667:L1667" si="1015">SUM(J1660:J1666)</f>
        <v>8.32</v>
      </c>
      <c r="K1667" s="1422">
        <f t="shared" si="1015"/>
        <v>0</v>
      </c>
      <c r="L1667" s="1422">
        <f t="shared" si="1015"/>
        <v>630.48</v>
      </c>
      <c r="M1667" s="889">
        <f>IFERROR(R1667/$S$2,"")</f>
        <v>35.886666666666663</v>
      </c>
      <c r="N1667" s="854">
        <f>(L1667/M1667)</f>
        <v>17.568642021177784</v>
      </c>
      <c r="O1667" s="889">
        <f>IFERROR(SUMIF(ETM!$A:$A,$Q1667,ETM!$E:$E),"")</f>
        <v>16.999999999999996</v>
      </c>
      <c r="P1667" s="880">
        <f>IFERROR(L1667/O1667,0)</f>
        <v>37.087058823529418</v>
      </c>
      <c r="Q1667" s="814" t="s">
        <v>628</v>
      </c>
      <c r="R1667" s="785">
        <f>IFERROR(VLOOKUP($Q1667,'391'!$S:$Z,8,0),"")</f>
        <v>215.32</v>
      </c>
      <c r="S1667" s="786"/>
      <c r="T1667" s="787"/>
      <c r="U1667" s="787"/>
      <c r="V1667" s="787"/>
      <c r="W1667" s="785">
        <f>IFERROR(VLOOKUP($Q1667,'391'!$S:$AG,15,0),0)</f>
        <v>667.85</v>
      </c>
      <c r="X1667" s="1090">
        <f t="shared" si="987"/>
        <v>-29.049999999999955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212">
        <f>IF(L1675=0,"",MAX($A$16:A1667)+1)</f>
        <v>117</v>
      </c>
      <c r="B1668" s="390" t="s">
        <v>1344</v>
      </c>
      <c r="C1668" s="186"/>
      <c r="D1668" s="866" t="s">
        <v>10</v>
      </c>
      <c r="E1668" s="1126">
        <v>45177</v>
      </c>
      <c r="F1668" s="71">
        <f t="shared" ref="F1668:F1674" si="1016">$L$7-E1668</f>
        <v>1084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4">
        <f t="shared" ref="L1668:L1674" si="1017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18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987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03"/>
      <c r="B1669" s="390" t="s">
        <v>1502</v>
      </c>
      <c r="C1669" s="186"/>
      <c r="D1669" s="866" t="s">
        <v>10</v>
      </c>
      <c r="E1669" s="1126">
        <v>45562</v>
      </c>
      <c r="F1669" s="71">
        <f t="shared" si="1016"/>
        <v>699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3">
        <f t="shared" si="1017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18"/>
        <v>Premix 25V45562</v>
      </c>
      <c r="U1669" s="787"/>
      <c r="V1669" s="787"/>
      <c r="W1669" s="785">
        <f>IFERROR(VLOOKUP($Q1669,'391'!$S:$AG,15,0),0)</f>
        <v>0</v>
      </c>
      <c r="X1669" s="1090">
        <f t="shared" si="987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3"/>
      <c r="B1670" s="390" t="s">
        <v>2197</v>
      </c>
      <c r="C1670" s="186" t="s">
        <v>2103</v>
      </c>
      <c r="D1670" s="866" t="s">
        <v>10</v>
      </c>
      <c r="E1670" s="1126">
        <v>46247</v>
      </c>
      <c r="F1670" s="71">
        <f t="shared" si="1016"/>
        <v>14</v>
      </c>
      <c r="G1670" s="12">
        <v>240</v>
      </c>
      <c r="H1670" s="56"/>
      <c r="I1670" s="12"/>
      <c r="J1670" s="1369"/>
      <c r="K1670" s="64">
        <f>IFERROR(SUMIF(INTAKE!$A:$A,$T1670,INTAKE!$P:$P),0)</f>
        <v>0</v>
      </c>
      <c r="L1670" s="1703">
        <f t="shared" si="1017"/>
        <v>240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18"/>
        <v>Premix 25VX8.146247</v>
      </c>
      <c r="U1670" s="787"/>
      <c r="V1670" s="787"/>
      <c r="W1670" s="785">
        <f>IFERROR(VLOOKUP($Q1670,'391'!$S:$AG,15,0),0)</f>
        <v>0</v>
      </c>
      <c r="X1670" s="1090">
        <f t="shared" si="987"/>
        <v>240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3"/>
      <c r="B1671" s="390" t="s">
        <v>2229</v>
      </c>
      <c r="C1671" s="186" t="s">
        <v>2103</v>
      </c>
      <c r="D1671" s="866" t="s">
        <v>10</v>
      </c>
      <c r="E1671" s="1126">
        <v>46254</v>
      </c>
      <c r="F1671" s="71">
        <f t="shared" ref="F1671" si="1019">$L$7-E1671</f>
        <v>7</v>
      </c>
      <c r="G1671" s="12">
        <v>60</v>
      </c>
      <c r="H1671" s="56"/>
      <c r="I1671" s="12"/>
      <c r="J1671" s="1369"/>
      <c r="K1671" s="64">
        <f>IFERROR(SUMIF(INTAKE!$A:$A,$T1671,INTAKE!$P:$P),0)</f>
        <v>0</v>
      </c>
      <c r="L1671" s="1703">
        <f t="shared" si="1017"/>
        <v>60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18"/>
        <v>Premix 25VX8.146254</v>
      </c>
      <c r="U1671" s="787"/>
      <c r="V1671" s="787"/>
      <c r="W1671" s="785">
        <f>IFERROR(VLOOKUP($Q1671,'391'!$S:$AG,15,0),0)</f>
        <v>0</v>
      </c>
      <c r="X1671" s="1090">
        <f t="shared" si="987"/>
        <v>60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03"/>
      <c r="B1672" s="390" t="s">
        <v>2134</v>
      </c>
      <c r="C1672" s="186"/>
      <c r="D1672" s="866" t="s">
        <v>10</v>
      </c>
      <c r="E1672" s="1126">
        <v>46233</v>
      </c>
      <c r="F1672" s="71">
        <f t="shared" ref="F1672" si="1020">$L$7-E1672</f>
        <v>28</v>
      </c>
      <c r="G1672" s="12">
        <v>0</v>
      </c>
      <c r="H1672" s="56"/>
      <c r="I1672" s="12"/>
      <c r="J1672" s="1369"/>
      <c r="K1672" s="64">
        <f>IFERROR(SUMIF(INTAKE!$A:$A,$T1672,INTAKE!$P:$P),0)</f>
        <v>0</v>
      </c>
      <c r="L1672" s="1703">
        <f t="shared" si="1017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18"/>
        <v>Premix 25V46233</v>
      </c>
      <c r="U1672" s="787"/>
      <c r="V1672" s="787"/>
      <c r="W1672" s="785">
        <f>IFERROR(VLOOKUP($Q1672,'391'!$S:$AG,15,0),0)</f>
        <v>0</v>
      </c>
      <c r="X1672" s="1090">
        <f t="shared" si="987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3"/>
      <c r="B1673" s="390" t="s">
        <v>1728</v>
      </c>
      <c r="C1673" s="186"/>
      <c r="D1673" s="866" t="s">
        <v>10</v>
      </c>
      <c r="E1673" s="1126">
        <v>46031</v>
      </c>
      <c r="F1673" s="71">
        <f t="shared" si="1016"/>
        <v>230</v>
      </c>
      <c r="G1673" s="12">
        <v>0</v>
      </c>
      <c r="H1673" s="56"/>
      <c r="I1673" s="12"/>
      <c r="J1673" s="1369"/>
      <c r="K1673" s="64">
        <f>IFERROR(SUMIF(INTAKE!$A:$A,$T1673,INTAKE!$P:$P),0)</f>
        <v>0</v>
      </c>
      <c r="L1673" s="1703">
        <f t="shared" si="1017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18"/>
        <v>Premix 25V46031</v>
      </c>
      <c r="U1673" s="787"/>
      <c r="V1673" s="787"/>
      <c r="W1673" s="785">
        <f>IFERROR(VLOOKUP($Q1673,'391'!$S:$AG,15,0),0)</f>
        <v>0</v>
      </c>
      <c r="X1673" s="1090">
        <f t="shared" si="987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 x14ac:dyDescent="0.25">
      <c r="A1674" s="2213"/>
      <c r="B1674" s="1016" t="s">
        <v>2197</v>
      </c>
      <c r="C1674" s="144" t="s">
        <v>46</v>
      </c>
      <c r="D1674" s="884" t="s">
        <v>10</v>
      </c>
      <c r="E1674" s="1123">
        <v>46247</v>
      </c>
      <c r="F1674" s="71">
        <f t="shared" si="1016"/>
        <v>14</v>
      </c>
      <c r="G1674" s="37">
        <v>81.419999999999874</v>
      </c>
      <c r="H1674" s="37"/>
      <c r="I1674" s="37">
        <f>+SUM(K1668:K1673)</f>
        <v>0</v>
      </c>
      <c r="J1674" s="1385">
        <f>+usage!I227</f>
        <v>16.579999999999998</v>
      </c>
      <c r="K1674" s="64">
        <f>IFERROR(SUMIF(INTAKE!$A:$A,$T1674,INTAKE!$P:$P),0)</f>
        <v>0</v>
      </c>
      <c r="L1674" s="1534">
        <f t="shared" si="1017"/>
        <v>64.839999999999876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18"/>
        <v>Premix 25VFeedmill46247</v>
      </c>
      <c r="U1674" s="787"/>
      <c r="V1674" s="787"/>
      <c r="W1674" s="785">
        <f>IFERROR(VLOOKUP($Q1674,'391'!$S:$AG,15,0),0)</f>
        <v>0</v>
      </c>
      <c r="X1674" s="1090">
        <f t="shared" si="987"/>
        <v>81.419999999999874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 x14ac:dyDescent="0.25">
      <c r="A1675" s="2006" t="s">
        <v>74</v>
      </c>
      <c r="B1675" s="2007"/>
      <c r="C1675" s="1033"/>
      <c r="D1675" s="1034"/>
      <c r="E1675" s="1127"/>
      <c r="F1675" s="1034"/>
      <c r="G1675" s="1422">
        <v>381.41999999999985</v>
      </c>
      <c r="H1675" s="1422">
        <f t="shared" ref="H1675:I1675" si="1021">SUM(H1668:H1674)</f>
        <v>0</v>
      </c>
      <c r="I1675" s="1422">
        <f t="shared" si="1021"/>
        <v>0</v>
      </c>
      <c r="J1675" s="1422">
        <f t="shared" ref="J1675:L1675" si="1022">SUM(J1668:J1674)</f>
        <v>16.579999999999998</v>
      </c>
      <c r="K1675" s="1422">
        <f t="shared" si="1022"/>
        <v>0</v>
      </c>
      <c r="L1675" s="1422">
        <f t="shared" si="1022"/>
        <v>364.83999999999986</v>
      </c>
      <c r="M1675" s="889">
        <f>IFERROR(R1675/$S$2,"")</f>
        <v>8.32</v>
      </c>
      <c r="N1675" s="854">
        <f>IFERROR(L1675/M1675,0)</f>
        <v>43.850961538461519</v>
      </c>
      <c r="O1675" s="889">
        <f>IFERROR(SUMIF(ETM!$A:$A,$Q1675,ETM!$E:$E),"")</f>
        <v>8.3333333333333339</v>
      </c>
      <c r="P1675" s="880">
        <f>IFERROR(L1675/O1675,0)</f>
        <v>43.780799999999978</v>
      </c>
      <c r="Q1675" s="814" t="s">
        <v>641</v>
      </c>
      <c r="R1675" s="785">
        <f>IFERROR(VLOOKUP($Q1675,'391'!$S:$Z,8,0),"")</f>
        <v>49.92</v>
      </c>
      <c r="S1675" s="786"/>
      <c r="T1675" s="787"/>
      <c r="U1675" s="787"/>
      <c r="V1675" s="787"/>
      <c r="W1675" s="785">
        <f>IFERROR(VLOOKUP($Q1675,'391'!$S:$AG,15,0),0)</f>
        <v>398.08</v>
      </c>
      <c r="X1675" s="1090">
        <f t="shared" ref="X1675:X1734" si="1023">G1675-W1675</f>
        <v>-16.660000000000139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 x14ac:dyDescent="0.25">
      <c r="A1676" s="2008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24">$L$7-E1676</f>
        <v>1882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4">
        <f t="shared" ref="L1676:L1691" si="1025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26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23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09"/>
      <c r="B1677" s="392" t="s">
        <v>558</v>
      </c>
      <c r="C1677" s="249"/>
      <c r="D1677" s="866" t="s">
        <v>10</v>
      </c>
      <c r="E1677" s="1124">
        <v>43950</v>
      </c>
      <c r="F1677" s="71">
        <f t="shared" si="1024"/>
        <v>2311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4">
        <f t="shared" si="1025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26"/>
        <v>Premix 31V43950</v>
      </c>
      <c r="U1677" s="787"/>
      <c r="V1677" s="787"/>
      <c r="W1677" s="785">
        <f>IFERROR(VLOOKUP($Q1677,'391'!$S:$AG,15,0),0)</f>
        <v>0</v>
      </c>
      <c r="X1677" s="1090">
        <f t="shared" si="1023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09"/>
      <c r="B1678" s="392" t="s">
        <v>554</v>
      </c>
      <c r="C1678" s="249"/>
      <c r="D1678" s="866" t="s">
        <v>10</v>
      </c>
      <c r="E1678" s="1124">
        <v>43931</v>
      </c>
      <c r="F1678" s="71">
        <f t="shared" si="1024"/>
        <v>2330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4">
        <f t="shared" si="1025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26"/>
        <v>Premix 31V43931</v>
      </c>
      <c r="U1678" s="787"/>
      <c r="V1678" s="787"/>
      <c r="W1678" s="785">
        <f>IFERROR(VLOOKUP($Q1678,'391'!$S:$AG,15,0),0)</f>
        <v>0</v>
      </c>
      <c r="X1678" s="1090">
        <f t="shared" si="1023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09"/>
      <c r="B1679" s="392" t="s">
        <v>338</v>
      </c>
      <c r="C1679" s="249"/>
      <c r="D1679" s="866" t="s">
        <v>10</v>
      </c>
      <c r="E1679" s="1124">
        <v>42942</v>
      </c>
      <c r="F1679" s="71">
        <f t="shared" si="1024"/>
        <v>3319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4">
        <f t="shared" si="1025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26"/>
        <v>Premix 31V42942</v>
      </c>
      <c r="U1679" s="787"/>
      <c r="V1679" s="787"/>
      <c r="W1679" s="785">
        <f>IFERROR(VLOOKUP($Q1679,'391'!$S:$AG,15,0),0)</f>
        <v>0</v>
      </c>
      <c r="X1679" s="1090">
        <f t="shared" si="1023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09"/>
      <c r="B1680" s="392" t="s">
        <v>341</v>
      </c>
      <c r="C1680" s="249"/>
      <c r="D1680" s="866" t="s">
        <v>10</v>
      </c>
      <c r="E1680" s="1124">
        <v>42943</v>
      </c>
      <c r="F1680" s="71">
        <f t="shared" si="1024"/>
        <v>3318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4">
        <f t="shared" si="1025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26"/>
        <v>Premix 31V42943</v>
      </c>
      <c r="U1680" s="787"/>
      <c r="V1680" s="787"/>
      <c r="W1680" s="785">
        <f>IFERROR(VLOOKUP($Q1680,'391'!$S:$AG,15,0),0)</f>
        <v>0</v>
      </c>
      <c r="X1680" s="1090">
        <f t="shared" si="1023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 x14ac:dyDescent="0.25">
      <c r="A1681" s="2009"/>
      <c r="B1681" s="392" t="s">
        <v>338</v>
      </c>
      <c r="C1681" s="187"/>
      <c r="D1681" s="866" t="s">
        <v>10</v>
      </c>
      <c r="E1681" s="1129"/>
      <c r="F1681" s="71">
        <f t="shared" si="1024"/>
        <v>46261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4">
        <f t="shared" si="1025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26"/>
        <v>Premix 31V</v>
      </c>
      <c r="U1681" s="787"/>
      <c r="V1681" s="787"/>
      <c r="W1681" s="785">
        <f>IFERROR(VLOOKUP($Q1681,'391'!$S:$AG,15,0),0)</f>
        <v>0</v>
      </c>
      <c r="X1681" s="1090">
        <f t="shared" si="1023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 x14ac:dyDescent="0.25">
      <c r="A1682" s="2010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24"/>
        <v>1882</v>
      </c>
      <c r="G1682" s="37">
        <v>0</v>
      </c>
      <c r="H1682" s="37"/>
      <c r="I1682" s="37">
        <f>+SUM(K1676:K1678)</f>
        <v>0</v>
      </c>
      <c r="J1682" s="1385">
        <f>+usage!I229</f>
        <v>0</v>
      </c>
      <c r="K1682" s="64">
        <f>IFERROR(SUMIF(INTAKE!$A:$A,$T1682,INTAKE!$P:$P),0)</f>
        <v>0</v>
      </c>
      <c r="L1682" s="1534">
        <f t="shared" si="1025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26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23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 x14ac:dyDescent="0.25">
      <c r="A1683" s="2006" t="s">
        <v>136</v>
      </c>
      <c r="B1683" s="2007"/>
      <c r="C1683" s="1033"/>
      <c r="D1683" s="1034"/>
      <c r="E1683" s="1127"/>
      <c r="F1683" s="1034"/>
      <c r="G1683" s="1328">
        <v>0</v>
      </c>
      <c r="H1683" s="1328">
        <f t="shared" ref="H1683:K1683" si="1027">SUM(H1676:H1682)</f>
        <v>0</v>
      </c>
      <c r="I1683" s="1328">
        <f t="shared" si="1027"/>
        <v>0</v>
      </c>
      <c r="J1683" s="1328">
        <f t="shared" si="1027"/>
        <v>0</v>
      </c>
      <c r="K1683" s="1328">
        <f t="shared" si="1027"/>
        <v>0</v>
      </c>
      <c r="L1683" s="1534">
        <f t="shared" si="1025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23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 x14ac:dyDescent="0.25">
      <c r="A1684" s="2008">
        <f>IF(L1692=0,"",MAX($A$16:A1683)+1)</f>
        <v>118</v>
      </c>
      <c r="B1684" s="391" t="s">
        <v>1705</v>
      </c>
      <c r="C1684" s="249"/>
      <c r="D1684" s="866" t="s">
        <v>10</v>
      </c>
      <c r="E1684" s="1126">
        <v>45996</v>
      </c>
      <c r="F1684" s="71">
        <f t="shared" ref="F1684:F1685" si="1028">$L$7-E1684</f>
        <v>265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3">
        <f t="shared" si="1025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29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23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09"/>
      <c r="B1685" s="391" t="s">
        <v>2198</v>
      </c>
      <c r="C1685" s="249" t="s">
        <v>188</v>
      </c>
      <c r="D1685" s="866" t="s">
        <v>10</v>
      </c>
      <c r="E1685" s="1126">
        <v>46247</v>
      </c>
      <c r="F1685" s="71">
        <f t="shared" si="1028"/>
        <v>14</v>
      </c>
      <c r="G1685" s="1435">
        <v>600</v>
      </c>
      <c r="H1685" s="11"/>
      <c r="I1685" s="11"/>
      <c r="J1685" s="1388"/>
      <c r="K1685" s="64">
        <f>IFERROR(SUMIF(INTAKE!$A:$A,$T1685,INTAKE!$P:$P),0)</f>
        <v>0</v>
      </c>
      <c r="L1685" s="1703">
        <f t="shared" si="1025"/>
        <v>600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29"/>
        <v>Premix 48VX1.246247</v>
      </c>
      <c r="U1685" s="787"/>
      <c r="V1685" s="787"/>
      <c r="W1685" s="785">
        <f>IFERROR(VLOOKUP($Q1685,'391'!$S:$AG,15,0),0)</f>
        <v>0</v>
      </c>
      <c r="X1685" s="1090">
        <f t="shared" si="1023"/>
        <v>600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09"/>
      <c r="B1686" s="391" t="s">
        <v>2198</v>
      </c>
      <c r="C1686" s="249"/>
      <c r="D1686" s="866" t="s">
        <v>10</v>
      </c>
      <c r="E1686" s="1126">
        <v>46247</v>
      </c>
      <c r="F1686" s="71">
        <f t="shared" ref="F1686" si="1030">$L$7-E1686</f>
        <v>14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703">
        <f t="shared" si="1025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29"/>
        <v>Premix 48V46247</v>
      </c>
      <c r="U1686" s="787"/>
      <c r="V1686" s="787"/>
      <c r="W1686" s="785">
        <f>IFERROR(VLOOKUP($Q1686,'391'!$S:$AG,15,0),0)</f>
        <v>0</v>
      </c>
      <c r="X1686" s="1090">
        <f t="shared" si="1023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09"/>
      <c r="B1687" s="391" t="s">
        <v>1839</v>
      </c>
      <c r="C1687" s="249"/>
      <c r="D1687" s="866" t="s">
        <v>10</v>
      </c>
      <c r="E1687" s="1126">
        <v>46164</v>
      </c>
      <c r="F1687" s="71">
        <f t="shared" ref="F1687:F1691" si="1031">$L$7-E1687</f>
        <v>97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3">
        <f t="shared" si="1025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29"/>
        <v>Premix 48V46164</v>
      </c>
      <c r="U1687" s="787"/>
      <c r="V1687" s="787"/>
      <c r="W1687" s="785">
        <f>IFERROR(VLOOKUP($Q1687,'391'!$S:$AG,15,0),0)</f>
        <v>0</v>
      </c>
      <c r="X1687" s="1090">
        <f t="shared" si="1023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09"/>
      <c r="B1688" s="391" t="s">
        <v>1750</v>
      </c>
      <c r="C1688" s="249"/>
      <c r="D1688" s="866" t="s">
        <v>10</v>
      </c>
      <c r="E1688" s="1126">
        <v>46059</v>
      </c>
      <c r="F1688" s="71">
        <f t="shared" si="1031"/>
        <v>202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4">
        <f t="shared" si="1025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29"/>
        <v>Premix 48V46059</v>
      </c>
      <c r="U1688" s="787"/>
      <c r="V1688" s="787"/>
      <c r="W1688" s="785">
        <f>IFERROR(VLOOKUP($Q1688,'391'!$S:$AG,15,0),0)</f>
        <v>0</v>
      </c>
      <c r="X1688" s="1090">
        <f t="shared" si="1023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09"/>
      <c r="B1689" s="391" t="s">
        <v>344</v>
      </c>
      <c r="C1689" s="249"/>
      <c r="D1689" s="866" t="s">
        <v>10</v>
      </c>
      <c r="E1689" s="1126">
        <v>42971</v>
      </c>
      <c r="F1689" s="71">
        <f t="shared" si="1031"/>
        <v>3290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4">
        <f t="shared" si="1025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29"/>
        <v>Premix 48V42971</v>
      </c>
      <c r="U1689" s="787"/>
      <c r="V1689" s="787"/>
      <c r="W1689" s="785">
        <f>IFERROR(VLOOKUP($Q1689,'391'!$S:$AG,15,0),0)</f>
        <v>0</v>
      </c>
      <c r="X1689" s="1090">
        <f t="shared" si="1023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 x14ac:dyDescent="0.25">
      <c r="A1690" s="2009"/>
      <c r="B1690" s="391" t="s">
        <v>345</v>
      </c>
      <c r="C1690" s="249"/>
      <c r="D1690" s="866" t="s">
        <v>10</v>
      </c>
      <c r="E1690" s="1126">
        <v>42978</v>
      </c>
      <c r="F1690" s="71">
        <f t="shared" si="1031"/>
        <v>3283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4">
        <f t="shared" si="1025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29"/>
        <v>Premix 48V42978</v>
      </c>
      <c r="U1690" s="787"/>
      <c r="V1690" s="787"/>
      <c r="W1690" s="785">
        <f>IFERROR(VLOOKUP($Q1690,'391'!$S:$AG,15,0),0)</f>
        <v>0</v>
      </c>
      <c r="X1690" s="1090">
        <f t="shared" si="1023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 x14ac:dyDescent="0.25">
      <c r="A1691" s="2010"/>
      <c r="B1691" s="1018" t="s">
        <v>2155</v>
      </c>
      <c r="C1691" s="87" t="s">
        <v>46</v>
      </c>
      <c r="D1691" s="884" t="s">
        <v>10</v>
      </c>
      <c r="E1691" s="1123">
        <v>46241</v>
      </c>
      <c r="F1691" s="71">
        <f t="shared" si="1031"/>
        <v>20</v>
      </c>
      <c r="G1691" s="1434">
        <v>337.18000000000006</v>
      </c>
      <c r="H1691" s="37"/>
      <c r="I1691" s="37">
        <f>+SUM(K1684:K1687)</f>
        <v>0</v>
      </c>
      <c r="J1691" s="1385">
        <f>+usage!I230</f>
        <v>237.14</v>
      </c>
      <c r="K1691" s="64">
        <f>IFERROR(SUMIF(INTAKE!$A:$A,$T1691,INTAKE!$P:$P),0)</f>
        <v>0</v>
      </c>
      <c r="L1691" s="1534">
        <f t="shared" si="1025"/>
        <v>100.04000000000008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29"/>
        <v>Premix 48VFeedmill46241</v>
      </c>
      <c r="U1691" s="787"/>
      <c r="V1691" s="787"/>
      <c r="W1691" s="785">
        <f>IFERROR(VLOOKUP($Q1691,'391'!$S:$AG,15,0),0)</f>
        <v>0</v>
      </c>
      <c r="X1691" s="1090">
        <f t="shared" si="1023"/>
        <v>337.18000000000006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 x14ac:dyDescent="0.25">
      <c r="A1692" s="2006" t="s">
        <v>70</v>
      </c>
      <c r="B1692" s="2007"/>
      <c r="C1692" s="125"/>
      <c r="D1692" s="1027"/>
      <c r="E1692" s="1027"/>
      <c r="F1692" s="896"/>
      <c r="G1692" s="1328">
        <v>937.18000000000006</v>
      </c>
      <c r="H1692" s="1328">
        <f t="shared" ref="H1692:L1692" si="1032">SUM(H1684:H1691)</f>
        <v>0</v>
      </c>
      <c r="I1692" s="1328">
        <f t="shared" si="1032"/>
        <v>0</v>
      </c>
      <c r="J1692" s="1328">
        <f t="shared" si="1032"/>
        <v>237.14</v>
      </c>
      <c r="K1692" s="1328">
        <f t="shared" si="1032"/>
        <v>0</v>
      </c>
      <c r="L1692" s="1328">
        <f t="shared" si="1032"/>
        <v>700.04000000000008</v>
      </c>
      <c r="M1692" s="1036">
        <f>IFERROR(R1692/$S$2,"")</f>
        <v>48.050000000000004</v>
      </c>
      <c r="N1692" s="854">
        <f>(L1692/M1692)</f>
        <v>14.568990634755464</v>
      </c>
      <c r="O1692" s="889">
        <f>IFERROR(SUMIF(ETM!$A:$A,$Q1692,ETM!$E:$E),"")</f>
        <v>67.999999999999986</v>
      </c>
      <c r="P1692" s="880">
        <f>IFERROR(L1692/O1692,0)</f>
        <v>10.294705882352945</v>
      </c>
      <c r="Q1692" s="814" t="s">
        <v>643</v>
      </c>
      <c r="R1692" s="785">
        <f>IFERROR(VLOOKUP($Q1692,'391'!$S:$Z,8,0),"")</f>
        <v>288.3</v>
      </c>
      <c r="S1692" s="786"/>
      <c r="T1692" s="787"/>
      <c r="U1692" s="787"/>
      <c r="V1692" s="787"/>
      <c r="W1692" s="785">
        <f>IFERROR(VLOOKUP($Q1692,'391'!$S:$AG,15,0),0)</f>
        <v>1095.76</v>
      </c>
      <c r="X1692" s="1090">
        <f t="shared" si="1023"/>
        <v>-158.57999999999993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 x14ac:dyDescent="0.25">
      <c r="A1693" s="2191" t="str">
        <f>IF(L1702=0,"",MAX($A$16:A1692)+1)</f>
        <v/>
      </c>
      <c r="B1693" s="2012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33">$L$7-E1693</f>
        <v>3290</v>
      </c>
      <c r="G1693" s="1433">
        <v>0</v>
      </c>
      <c r="H1693" s="958"/>
      <c r="I1693" s="63"/>
      <c r="J1693" s="1436"/>
      <c r="K1693" s="958"/>
      <c r="L1693" s="1534">
        <f t="shared" ref="L1693:L1713" si="1034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23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91"/>
      <c r="B1694" s="2012"/>
      <c r="C1694" s="150" t="s">
        <v>149</v>
      </c>
      <c r="D1694" s="866" t="s">
        <v>10</v>
      </c>
      <c r="E1694" s="1035">
        <v>42972</v>
      </c>
      <c r="F1694" s="71">
        <f t="shared" si="1033"/>
        <v>3289</v>
      </c>
      <c r="G1694" s="1433">
        <v>0</v>
      </c>
      <c r="H1694" s="12"/>
      <c r="I1694" s="63"/>
      <c r="J1694" s="1366"/>
      <c r="K1694" s="958"/>
      <c r="L1694" s="1534">
        <f t="shared" si="1034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23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91"/>
      <c r="B1695" s="2012"/>
      <c r="C1695" s="150" t="s">
        <v>149</v>
      </c>
      <c r="D1695" s="866" t="s">
        <v>10</v>
      </c>
      <c r="E1695" s="1035">
        <v>42973</v>
      </c>
      <c r="F1695" s="71">
        <f t="shared" si="1033"/>
        <v>3288</v>
      </c>
      <c r="G1695" s="1433">
        <v>0</v>
      </c>
      <c r="H1695" s="58"/>
      <c r="I1695" s="11"/>
      <c r="J1695" s="1365"/>
      <c r="K1695" s="58"/>
      <c r="L1695" s="1534">
        <f t="shared" si="1034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23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91"/>
      <c r="B1696" s="2012"/>
      <c r="C1696" s="150" t="s">
        <v>149</v>
      </c>
      <c r="D1696" s="866" t="s">
        <v>10</v>
      </c>
      <c r="E1696" s="1035">
        <v>42974</v>
      </c>
      <c r="F1696" s="71">
        <f t="shared" si="1033"/>
        <v>3287</v>
      </c>
      <c r="G1696" s="1433">
        <v>0</v>
      </c>
      <c r="H1696" s="58"/>
      <c r="I1696" s="11"/>
      <c r="J1696" s="1365"/>
      <c r="K1696" s="58"/>
      <c r="L1696" s="1534">
        <f t="shared" si="1034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23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91"/>
      <c r="B1697" s="2012"/>
      <c r="C1697" s="150" t="s">
        <v>149</v>
      </c>
      <c r="D1697" s="866" t="s">
        <v>10</v>
      </c>
      <c r="E1697" s="1035">
        <v>42975</v>
      </c>
      <c r="F1697" s="71">
        <f t="shared" si="1033"/>
        <v>3286</v>
      </c>
      <c r="G1697" s="1433">
        <v>0</v>
      </c>
      <c r="H1697" s="11"/>
      <c r="I1697" s="11"/>
      <c r="J1697" s="1365"/>
      <c r="K1697" s="58"/>
      <c r="L1697" s="1534">
        <f t="shared" si="1034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23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91"/>
      <c r="B1698" s="2012"/>
      <c r="C1698" s="150" t="s">
        <v>149</v>
      </c>
      <c r="D1698" s="866" t="s">
        <v>10</v>
      </c>
      <c r="E1698" s="1035">
        <v>42976</v>
      </c>
      <c r="F1698" s="71">
        <f t="shared" si="1033"/>
        <v>3285</v>
      </c>
      <c r="G1698" s="1437">
        <v>0</v>
      </c>
      <c r="H1698" s="58"/>
      <c r="I1698" s="58"/>
      <c r="J1698" s="1365"/>
      <c r="K1698" s="58"/>
      <c r="L1698" s="1534">
        <f t="shared" si="1034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23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191"/>
      <c r="B1699" s="2012"/>
      <c r="C1699" s="150" t="s">
        <v>149</v>
      </c>
      <c r="D1699" s="866" t="s">
        <v>10</v>
      </c>
      <c r="E1699" s="1035">
        <v>42977</v>
      </c>
      <c r="F1699" s="71">
        <f t="shared" si="1033"/>
        <v>3284</v>
      </c>
      <c r="G1699" s="1435">
        <v>0</v>
      </c>
      <c r="H1699" s="12"/>
      <c r="I1699" s="12"/>
      <c r="J1699" s="1368"/>
      <c r="K1699" s="12"/>
      <c r="L1699" s="1534">
        <f t="shared" si="1034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23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 x14ac:dyDescent="0.25">
      <c r="A1700" s="2191"/>
      <c r="B1700" s="2012"/>
      <c r="C1700" s="149" t="s">
        <v>46</v>
      </c>
      <c r="D1700" s="866" t="s">
        <v>10</v>
      </c>
      <c r="E1700" s="1035">
        <v>42978</v>
      </c>
      <c r="F1700" s="71">
        <f t="shared" si="1033"/>
        <v>3283</v>
      </c>
      <c r="G1700" s="1324">
        <v>0</v>
      </c>
      <c r="H1700" s="56"/>
      <c r="I1700" s="56"/>
      <c r="J1700" s="1437"/>
      <c r="K1700" s="56"/>
      <c r="L1700" s="1534">
        <f t="shared" si="1034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23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 x14ac:dyDescent="0.25">
      <c r="A1701" s="2196"/>
      <c r="B1701" s="2193"/>
      <c r="C1701" s="144" t="s">
        <v>46</v>
      </c>
      <c r="D1701" s="884" t="s">
        <v>10</v>
      </c>
      <c r="E1701" s="1035">
        <v>42979</v>
      </c>
      <c r="F1701" s="71">
        <f t="shared" si="1033"/>
        <v>3282</v>
      </c>
      <c r="G1701" s="1434">
        <v>0</v>
      </c>
      <c r="H1701" s="37"/>
      <c r="I1701" s="37"/>
      <c r="J1701" s="1428"/>
      <c r="K1701" s="37"/>
      <c r="L1701" s="1534">
        <f t="shared" si="1034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23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 x14ac:dyDescent="0.25">
      <c r="A1702" s="2006" t="s">
        <v>40</v>
      </c>
      <c r="B1702" s="2007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4">
        <f t="shared" si="1034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23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 x14ac:dyDescent="0.25">
      <c r="A1703" s="2190">
        <f>IF(L1714=0,"",MAX($A$16:A1702)+1)</f>
        <v>119</v>
      </c>
      <c r="B1703" s="390" t="s">
        <v>2157</v>
      </c>
      <c r="C1703" s="1180" t="s">
        <v>272</v>
      </c>
      <c r="D1703" s="866" t="s">
        <v>10</v>
      </c>
      <c r="E1703" s="1126">
        <v>46241</v>
      </c>
      <c r="F1703" s="71">
        <f t="shared" ref="F1703:F1707" si="1035">$L$7-E1703</f>
        <v>20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3">
        <f t="shared" si="1034"/>
        <v>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36">$Q$1714&amp;C1703&amp;E1703</f>
        <v>Premix 51VY2.346241</v>
      </c>
      <c r="U1703" s="787"/>
      <c r="V1703" s="787"/>
      <c r="W1703" s="785">
        <f>IFERROR(VLOOKUP($Q1703,'391'!$S:$AG,15,0),0)</f>
        <v>0</v>
      </c>
      <c r="X1703" s="1090">
        <f t="shared" si="1023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91"/>
      <c r="B1704" s="390" t="s">
        <v>2199</v>
      </c>
      <c r="C1704" s="1180" t="s">
        <v>2200</v>
      </c>
      <c r="D1704" s="866" t="s">
        <v>10</v>
      </c>
      <c r="E1704" s="1126">
        <v>46247</v>
      </c>
      <c r="F1704" s="71">
        <f t="shared" si="1035"/>
        <v>14</v>
      </c>
      <c r="G1704" s="1435">
        <v>1050</v>
      </c>
      <c r="H1704" s="58"/>
      <c r="I1704" s="64"/>
      <c r="J1704" s="1365"/>
      <c r="K1704" s="64">
        <f>IFERROR(SUMIF(INTAKE!$A:$A,$T1704,INTAKE!$P:$P),0)</f>
        <v>0</v>
      </c>
      <c r="L1704" s="1703">
        <f t="shared" si="1034"/>
        <v>1050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36"/>
        <v>Premix 51VX8.346247</v>
      </c>
      <c r="U1704" s="787"/>
      <c r="V1704" s="787"/>
      <c r="W1704" s="785">
        <f>IFERROR(VLOOKUP($Q1704,'391'!$S:$AG,15,0),0)</f>
        <v>0</v>
      </c>
      <c r="X1704" s="1090">
        <f t="shared" si="1023"/>
        <v>1050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91"/>
      <c r="B1705" s="390" t="s">
        <v>2199</v>
      </c>
      <c r="C1705" s="1180" t="s">
        <v>1858</v>
      </c>
      <c r="D1705" s="866" t="s">
        <v>10</v>
      </c>
      <c r="E1705" s="1126">
        <v>46247</v>
      </c>
      <c r="F1705" s="71">
        <f t="shared" si="1035"/>
        <v>14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3">
        <f t="shared" si="1034"/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36"/>
        <v>Premix 51VX7.346247</v>
      </c>
      <c r="U1705" s="787"/>
      <c r="V1705" s="787"/>
      <c r="W1705" s="785">
        <f>IFERROR(VLOOKUP($Q1705,'391'!$S:$AG,15,0),0)</f>
        <v>0</v>
      </c>
      <c r="X1705" s="1090">
        <f t="shared" si="1023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191"/>
      <c r="B1706" s="390" t="s">
        <v>2199</v>
      </c>
      <c r="C1706" s="1180" t="s">
        <v>2201</v>
      </c>
      <c r="D1706" s="866" t="s">
        <v>10</v>
      </c>
      <c r="E1706" s="1126">
        <v>46247</v>
      </c>
      <c r="F1706" s="71">
        <f t="shared" si="1035"/>
        <v>14</v>
      </c>
      <c r="G1706" s="1435">
        <v>1050</v>
      </c>
      <c r="H1706" s="58"/>
      <c r="I1706" s="64"/>
      <c r="J1706" s="1365"/>
      <c r="K1706" s="64">
        <f>IFERROR(SUMIF(INTAKE!$A:$A,$T1706,INTAKE!$P:$P),0)</f>
        <v>1050</v>
      </c>
      <c r="L1706" s="1703">
        <f>+G1706+H1706+I1706-J1706-K1706</f>
        <v>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36"/>
        <v>Premix 51VX6.346247</v>
      </c>
      <c r="U1706" s="787"/>
      <c r="V1706" s="787"/>
      <c r="W1706" s="785">
        <f>IFERROR(VLOOKUP($Q1706,'391'!$S:$AG,15,0),0)</f>
        <v>0</v>
      </c>
      <c r="X1706" s="1090">
        <f t="shared" si="1023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customHeight="1" x14ac:dyDescent="0.25">
      <c r="A1707" s="2191"/>
      <c r="B1707" s="390" t="s">
        <v>2199</v>
      </c>
      <c r="C1707" s="1180" t="s">
        <v>139</v>
      </c>
      <c r="D1707" s="866" t="s">
        <v>10</v>
      </c>
      <c r="E1707" s="1126">
        <v>46247</v>
      </c>
      <c r="F1707" s="71">
        <f t="shared" si="1035"/>
        <v>14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3">
        <f>+G1707+H1707+I1707-J1707-K1707</f>
        <v>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36"/>
        <v>Premix 51VX5.346247</v>
      </c>
      <c r="U1707" s="787"/>
      <c r="V1707" s="787"/>
      <c r="W1707" s="785">
        <f>IFERROR(VLOOKUP($Q1707,'391'!$S:$AG,15,0),0)</f>
        <v>0</v>
      </c>
      <c r="X1707" s="1090">
        <f t="shared" si="1023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91"/>
      <c r="B1708" s="390" t="s">
        <v>2199</v>
      </c>
      <c r="C1708" s="1180"/>
      <c r="D1708" s="866" t="s">
        <v>10</v>
      </c>
      <c r="E1708" s="1126">
        <v>46247</v>
      </c>
      <c r="F1708" s="71">
        <f t="shared" ref="F1708" si="1037">$L$7-E1708</f>
        <v>14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3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36"/>
        <v>Premix 51V46247</v>
      </c>
      <c r="U1708" s="787"/>
      <c r="V1708" s="787"/>
      <c r="W1708" s="785">
        <f>IFERROR(VLOOKUP($Q1708,'391'!$S:$AG,15,0),0)</f>
        <v>0</v>
      </c>
      <c r="X1708" s="1090">
        <f t="shared" si="1023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91"/>
      <c r="B1709" s="390" t="s">
        <v>2199</v>
      </c>
      <c r="C1709" s="1180"/>
      <c r="D1709" s="866" t="s">
        <v>10</v>
      </c>
      <c r="E1709" s="1126">
        <v>46247</v>
      </c>
      <c r="F1709" s="71">
        <f t="shared" ref="F1709" si="1038">$L$7-E1709</f>
        <v>14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3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36"/>
        <v>Premix 51V46247</v>
      </c>
      <c r="U1709" s="787"/>
      <c r="V1709" s="787"/>
      <c r="W1709" s="785">
        <f>IFERROR(VLOOKUP($Q1709,'391'!$S:$AG,15,0),0)</f>
        <v>0</v>
      </c>
      <c r="X1709" s="1090">
        <f t="shared" si="1023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91"/>
      <c r="B1710" s="390" t="s">
        <v>1832</v>
      </c>
      <c r="C1710" s="1180"/>
      <c r="D1710" s="866" t="s">
        <v>10</v>
      </c>
      <c r="E1710" s="1126">
        <v>46150</v>
      </c>
      <c r="F1710" s="71">
        <f t="shared" ref="F1710" si="1039">$L$7-E1710</f>
        <v>111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3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36"/>
        <v>Premix 51V46150</v>
      </c>
      <c r="U1710" s="787"/>
      <c r="V1710" s="787"/>
      <c r="W1710" s="785">
        <f>IFERROR(VLOOKUP($Q1710,'391'!$S:$AG,15,0),0)</f>
        <v>0</v>
      </c>
      <c r="X1710" s="1090">
        <f t="shared" si="1023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191"/>
      <c r="B1711" s="390" t="s">
        <v>1832</v>
      </c>
      <c r="C1711" s="1180"/>
      <c r="D1711" s="866" t="s">
        <v>10</v>
      </c>
      <c r="E1711" s="1126">
        <v>46150</v>
      </c>
      <c r="F1711" s="71">
        <f t="shared" ref="F1711" si="1040">$L$7-E1711</f>
        <v>111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3">
        <f t="shared" si="1034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36"/>
        <v>Premix 51V46150</v>
      </c>
      <c r="U1711" s="787"/>
      <c r="V1711" s="787"/>
      <c r="W1711" s="785">
        <f>IFERROR(VLOOKUP($Q1711,'391'!$S:$AG,15,0),0)</f>
        <v>0</v>
      </c>
      <c r="X1711" s="1090">
        <f t="shared" si="1023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 x14ac:dyDescent="0.25">
      <c r="A1712" s="2191"/>
      <c r="B1712" s="390" t="s">
        <v>1544</v>
      </c>
      <c r="C1712" s="1180"/>
      <c r="D1712" s="866" t="s">
        <v>10</v>
      </c>
      <c r="E1712" s="1126">
        <v>45695</v>
      </c>
      <c r="F1712" s="71">
        <f t="shared" ref="F1712:F1713" si="1041">$L$7-E1712</f>
        <v>566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3">
        <f t="shared" si="1034"/>
        <v>0</v>
      </c>
      <c r="M1712" s="1771"/>
      <c r="N1712" s="1771"/>
      <c r="O1712" s="1771"/>
      <c r="P1712" s="1772"/>
      <c r="Q1712" s="795"/>
      <c r="R1712" s="785">
        <f>IFERROR(VLOOKUP($Q1712,'391'!$S:$Z,8,0),"")</f>
        <v>0</v>
      </c>
      <c r="S1712" s="786"/>
      <c r="T1712" s="787" t="str">
        <f t="shared" si="1036"/>
        <v>Premix 51V45695</v>
      </c>
      <c r="U1712" s="787"/>
      <c r="V1712" s="787"/>
      <c r="W1712" s="785">
        <f>IFERROR(VLOOKUP($Q1712,'391'!$S:$AG,15,0),0)</f>
        <v>0</v>
      </c>
      <c r="X1712" s="1090">
        <f t="shared" si="1023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 x14ac:dyDescent="0.25">
      <c r="A1713" s="2191"/>
      <c r="B1713" s="395" t="s">
        <v>2199</v>
      </c>
      <c r="C1713" s="84" t="s">
        <v>46</v>
      </c>
      <c r="D1713" s="884" t="s">
        <v>10</v>
      </c>
      <c r="E1713" s="1123">
        <v>46247</v>
      </c>
      <c r="F1713" s="71">
        <f t="shared" si="1041"/>
        <v>14</v>
      </c>
      <c r="G1713" s="1434">
        <v>500.90000000000032</v>
      </c>
      <c r="H1713" s="37"/>
      <c r="I1713" s="37">
        <f>+SUM(K1703:K1708)</f>
        <v>1050</v>
      </c>
      <c r="J1713" s="1385">
        <f>+usage!I235</f>
        <v>119.4</v>
      </c>
      <c r="K1713" s="64">
        <f>IFERROR(SUMIF(INTAKE!$A:$A,$T1713,INTAKE!$P:$P),0)</f>
        <v>0</v>
      </c>
      <c r="L1713" s="1534">
        <f t="shared" si="1034"/>
        <v>1431.5000000000002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36"/>
        <v>Premix 51VFeedmill46247</v>
      </c>
      <c r="U1713" s="787"/>
      <c r="V1713" s="787"/>
      <c r="W1713" s="785">
        <f>IFERROR(VLOOKUP($Q1713,'391'!$S:$AG,15,0),0)</f>
        <v>0</v>
      </c>
      <c r="X1713" s="1090">
        <f t="shared" si="1023"/>
        <v>500.90000000000032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 x14ac:dyDescent="0.25">
      <c r="A1714" s="2006" t="s">
        <v>54</v>
      </c>
      <c r="B1714" s="2007"/>
      <c r="C1714" s="2090"/>
      <c r="D1714" s="2090"/>
      <c r="E1714" s="2090"/>
      <c r="F1714" s="2090"/>
      <c r="G1714" s="1422">
        <v>3650.9000000000005</v>
      </c>
      <c r="H1714" s="1422">
        <f t="shared" ref="H1714:L1714" si="1042">SUM(H1703:H1713)</f>
        <v>0</v>
      </c>
      <c r="I1714" s="1422">
        <f t="shared" si="1042"/>
        <v>1050</v>
      </c>
      <c r="J1714" s="1422">
        <f t="shared" si="1042"/>
        <v>119.4</v>
      </c>
      <c r="K1714" s="1422">
        <f t="shared" si="1042"/>
        <v>1050</v>
      </c>
      <c r="L1714" s="1422">
        <f t="shared" si="1042"/>
        <v>3531.5</v>
      </c>
      <c r="M1714" s="889">
        <f>IFERROR(R1714/$S$2,"")</f>
        <v>368.29</v>
      </c>
      <c r="N1714" s="854">
        <f>(L1714/M1714)</f>
        <v>9.5889109125960523</v>
      </c>
      <c r="O1714" s="889">
        <f>IFERROR(SUMIF(ETM!$A:$A,$Q1714,ETM!$E:$E),"")</f>
        <v>363.83333333333331</v>
      </c>
      <c r="P1714" s="880">
        <f>IFERROR(L1714/O1714,0)</f>
        <v>9.7063673843334861</v>
      </c>
      <c r="Q1714" s="814" t="s">
        <v>644</v>
      </c>
      <c r="R1714" s="785">
        <f>IFERROR(VLOOKUP($Q1714,'391'!$S:$Z,8,0),"")</f>
        <v>2209.7400000000002</v>
      </c>
      <c r="S1714" s="786"/>
      <c r="T1714" s="787"/>
      <c r="U1714" s="787"/>
      <c r="V1714" s="787"/>
      <c r="W1714" s="785">
        <f>IFERROR(VLOOKUP($Q1714,'391'!$S:$AG,15,0),0)</f>
        <v>4876.0600000000004</v>
      </c>
      <c r="X1714" s="1090">
        <f t="shared" si="1023"/>
        <v>-1225.1599999999999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 x14ac:dyDescent="0.25">
      <c r="A1715" s="2013" t="str">
        <f>IF(L1723=0,"",MAX($A$16:A1714)+1)</f>
        <v/>
      </c>
      <c r="B1715" s="2011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43">$L$7-E1715</f>
        <v>2058</v>
      </c>
      <c r="G1715" s="1427">
        <v>0</v>
      </c>
      <c r="H1715" s="12"/>
      <c r="I1715" s="12"/>
      <c r="J1715" s="1368"/>
      <c r="K1715" s="12"/>
      <c r="L1715" s="1534">
        <f t="shared" ref="L1715:L1734" si="1044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23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5"/>
      <c r="B1716" s="2012"/>
      <c r="C1716" s="237" t="s">
        <v>271</v>
      </c>
      <c r="D1716" s="866" t="s">
        <v>10</v>
      </c>
      <c r="E1716" s="1126">
        <v>44204</v>
      </c>
      <c r="F1716" s="71">
        <f t="shared" si="1043"/>
        <v>2057</v>
      </c>
      <c r="G1716" s="1427">
        <v>0</v>
      </c>
      <c r="H1716" s="12"/>
      <c r="I1716" s="12"/>
      <c r="J1716" s="1368"/>
      <c r="K1716" s="12"/>
      <c r="L1716" s="1534">
        <f t="shared" si="1044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23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5"/>
      <c r="B1717" s="2012"/>
      <c r="C1717" s="237" t="s">
        <v>236</v>
      </c>
      <c r="D1717" s="866" t="s">
        <v>10</v>
      </c>
      <c r="E1717" s="1126">
        <v>44205</v>
      </c>
      <c r="F1717" s="71">
        <f t="shared" si="1043"/>
        <v>2056</v>
      </c>
      <c r="G1717" s="1427">
        <v>0</v>
      </c>
      <c r="H1717" s="12"/>
      <c r="I1717" s="12"/>
      <c r="J1717" s="1368"/>
      <c r="K1717" s="12"/>
      <c r="L1717" s="1534">
        <f t="shared" si="1044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23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5"/>
      <c r="B1718" s="2012"/>
      <c r="C1718" s="237" t="s">
        <v>142</v>
      </c>
      <c r="D1718" s="866" t="s">
        <v>10</v>
      </c>
      <c r="E1718" s="1126">
        <v>44206</v>
      </c>
      <c r="F1718" s="71">
        <f t="shared" si="1043"/>
        <v>2055</v>
      </c>
      <c r="G1718" s="1427">
        <v>0</v>
      </c>
      <c r="H1718" s="12"/>
      <c r="I1718" s="12"/>
      <c r="J1718" s="1368"/>
      <c r="K1718" s="12"/>
      <c r="L1718" s="1534">
        <f t="shared" si="1044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23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5"/>
      <c r="B1719" s="2012"/>
      <c r="C1719" s="237" t="s">
        <v>142</v>
      </c>
      <c r="D1719" s="866" t="s">
        <v>10</v>
      </c>
      <c r="E1719" s="1126">
        <v>44207</v>
      </c>
      <c r="F1719" s="71">
        <f t="shared" si="1043"/>
        <v>2054</v>
      </c>
      <c r="G1719" s="1435">
        <v>0</v>
      </c>
      <c r="H1719" s="12"/>
      <c r="I1719" s="12"/>
      <c r="J1719" s="1368"/>
      <c r="K1719" s="12"/>
      <c r="L1719" s="1534">
        <f t="shared" si="1044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23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5"/>
      <c r="B1720" s="2012"/>
      <c r="C1720" s="237" t="s">
        <v>236</v>
      </c>
      <c r="D1720" s="866" t="s">
        <v>10</v>
      </c>
      <c r="E1720" s="1126">
        <v>44208</v>
      </c>
      <c r="F1720" s="71">
        <f t="shared" si="1043"/>
        <v>2053</v>
      </c>
      <c r="G1720" s="1427">
        <v>0</v>
      </c>
      <c r="H1720" s="1438"/>
      <c r="I1720" s="12"/>
      <c r="J1720" s="1368"/>
      <c r="K1720" s="12"/>
      <c r="L1720" s="1534">
        <f t="shared" si="1044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23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05"/>
      <c r="B1721" s="2012"/>
      <c r="C1721" s="237" t="s">
        <v>245</v>
      </c>
      <c r="D1721" s="866" t="s">
        <v>10</v>
      </c>
      <c r="E1721" s="1126">
        <v>44209</v>
      </c>
      <c r="F1721" s="71">
        <f t="shared" si="1043"/>
        <v>2052</v>
      </c>
      <c r="G1721" s="1435">
        <v>0</v>
      </c>
      <c r="H1721" s="1438"/>
      <c r="I1721" s="12"/>
      <c r="J1721" s="1397"/>
      <c r="K1721" s="958"/>
      <c r="L1721" s="1534">
        <f t="shared" si="1044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23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 x14ac:dyDescent="0.25">
      <c r="A1722" s="2014"/>
      <c r="B1722" s="2193"/>
      <c r="C1722" s="144" t="s">
        <v>46</v>
      </c>
      <c r="D1722" s="884" t="s">
        <v>10</v>
      </c>
      <c r="E1722" s="1126">
        <v>44210</v>
      </c>
      <c r="F1722" s="71">
        <f t="shared" si="1043"/>
        <v>2051</v>
      </c>
      <c r="G1722" s="1434">
        <v>0</v>
      </c>
      <c r="H1722" s="1438"/>
      <c r="I1722" s="958"/>
      <c r="J1722" s="1397"/>
      <c r="K1722" s="958"/>
      <c r="L1722" s="1534">
        <f t="shared" si="1044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23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 x14ac:dyDescent="0.25">
      <c r="A1723" s="2006" t="s">
        <v>161</v>
      </c>
      <c r="B1723" s="2007"/>
      <c r="C1723" s="2089"/>
      <c r="D1723" s="2090"/>
      <c r="E1723" s="2090"/>
      <c r="F1723" s="2090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4">
        <f t="shared" si="1044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23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 x14ac:dyDescent="0.25">
      <c r="A1724" s="2004">
        <f>IF(L1735=0,"",MAX($A$16:A1723)+1)</f>
        <v>120</v>
      </c>
      <c r="B1724" s="390" t="s">
        <v>1579</v>
      </c>
      <c r="C1724" s="190"/>
      <c r="D1724" s="866" t="s">
        <v>10</v>
      </c>
      <c r="E1724" s="1119">
        <v>45780</v>
      </c>
      <c r="F1724" s="71">
        <f t="shared" ref="F1724:F1729" si="1045">$L$7-E1724</f>
        <v>481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44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46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23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192"/>
      <c r="B1725" s="390" t="s">
        <v>2204</v>
      </c>
      <c r="C1725" s="190" t="s">
        <v>2162</v>
      </c>
      <c r="D1725" s="866" t="s">
        <v>10</v>
      </c>
      <c r="E1725" s="1119">
        <v>46247</v>
      </c>
      <c r="F1725" s="71">
        <f t="shared" si="1045"/>
        <v>14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3">
        <f t="shared" si="1044"/>
        <v>1050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46"/>
        <v>Premix 52VY2.246247</v>
      </c>
      <c r="U1725" s="787"/>
      <c r="V1725" s="787"/>
      <c r="W1725" s="785">
        <f>IFERROR(VLOOKUP($Q1725,'391'!$S:$AG,15,0),0)</f>
        <v>0</v>
      </c>
      <c r="X1725" s="1090">
        <f t="shared" si="1023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5"/>
      <c r="B1726" s="390" t="s">
        <v>2232</v>
      </c>
      <c r="C1726" s="190" t="s">
        <v>272</v>
      </c>
      <c r="D1726" s="866" t="s">
        <v>10</v>
      </c>
      <c r="E1726" s="1119">
        <v>46254</v>
      </c>
      <c r="F1726" s="71">
        <f t="shared" si="1045"/>
        <v>7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3">
        <f t="shared" si="1044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46"/>
        <v>Premix 52VY2.346254</v>
      </c>
      <c r="U1726" s="787"/>
      <c r="V1726" s="787"/>
      <c r="W1726" s="785">
        <f>IFERROR(VLOOKUP($Q1726,'391'!$S:$AG,15,0),0)</f>
        <v>0</v>
      </c>
      <c r="X1726" s="1090">
        <f t="shared" si="1023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hidden="1" customHeight="1" x14ac:dyDescent="0.25">
      <c r="A1727" s="2005"/>
      <c r="B1727" s="390" t="s">
        <v>2204</v>
      </c>
      <c r="C1727" s="190"/>
      <c r="D1727" s="866" t="s">
        <v>10</v>
      </c>
      <c r="E1727" s="1119">
        <v>46247</v>
      </c>
      <c r="F1727" s="71">
        <f t="shared" ref="F1725:F1727" si="1047">$L$7-E1727</f>
        <v>14</v>
      </c>
      <c r="G1727" s="63"/>
      <c r="H1727" s="63"/>
      <c r="I1727" s="1348"/>
      <c r="J1727" s="1365"/>
      <c r="K1727" s="64">
        <f>IFERROR(SUMIF(INTAKE!$A:$A,$T1727,INTAKE!$P:$P),0)</f>
        <v>0</v>
      </c>
      <c r="L1727" s="1703">
        <f t="shared" si="1044"/>
        <v>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46"/>
        <v>Premix 52V46247</v>
      </c>
      <c r="U1727" s="787"/>
      <c r="V1727" s="787"/>
      <c r="W1727" s="785">
        <f>IFERROR(VLOOKUP($Q1727,'391'!$S:$AG,15,0),0)</f>
        <v>0</v>
      </c>
      <c r="X1727" s="1090">
        <f t="shared" si="1023"/>
        <v>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hidden="1" customHeight="1" x14ac:dyDescent="0.25">
      <c r="A1728" s="2005"/>
      <c r="B1728" s="390" t="s">
        <v>2232</v>
      </c>
      <c r="C1728" s="190"/>
      <c r="D1728" s="866" t="s">
        <v>10</v>
      </c>
      <c r="E1728" s="1119">
        <v>46254</v>
      </c>
      <c r="F1728" s="71">
        <f t="shared" ref="F1728" si="1048">$L$7-E1728</f>
        <v>7</v>
      </c>
      <c r="G1728" s="63"/>
      <c r="H1728" s="63"/>
      <c r="I1728" s="1348"/>
      <c r="J1728" s="1365"/>
      <c r="K1728" s="64">
        <f>IFERROR(SUMIF(INTAKE!$A:$A,$T1728,INTAKE!$P:$P),0)</f>
        <v>0</v>
      </c>
      <c r="L1728" s="1703">
        <f t="shared" si="1044"/>
        <v>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46"/>
        <v>Premix 52V46254</v>
      </c>
      <c r="U1728" s="787"/>
      <c r="V1728" s="787"/>
      <c r="W1728" s="785">
        <f>IFERROR(VLOOKUP($Q1728,'391'!$S:$AG,15,0),0)</f>
        <v>0</v>
      </c>
      <c r="X1728" s="1090">
        <f t="shared" si="1023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 x14ac:dyDescent="0.25">
      <c r="A1729" s="2005"/>
      <c r="B1729" s="390" t="s">
        <v>2204</v>
      </c>
      <c r="C1729" s="190"/>
      <c r="D1729" s="866" t="s">
        <v>10</v>
      </c>
      <c r="E1729" s="1119">
        <v>46247</v>
      </c>
      <c r="F1729" s="71">
        <f t="shared" si="1045"/>
        <v>14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3">
        <f t="shared" si="1044"/>
        <v>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46"/>
        <v>Premix 52V46247</v>
      </c>
      <c r="U1729" s="787"/>
      <c r="V1729" s="787"/>
      <c r="W1729" s="785">
        <f>IFERROR(VLOOKUP($Q1729,'391'!$S:$AG,15,0),0)</f>
        <v>0</v>
      </c>
      <c r="X1729" s="1090">
        <f t="shared" si="1023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5"/>
      <c r="B1730" s="390" t="s">
        <v>2118</v>
      </c>
      <c r="C1730" s="190"/>
      <c r="D1730" s="866" t="s">
        <v>10</v>
      </c>
      <c r="E1730" s="1119">
        <v>46227</v>
      </c>
      <c r="F1730" s="71">
        <f t="shared" ref="F1730" si="1049">$L$7-E1730</f>
        <v>34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3">
        <f t="shared" si="1044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46"/>
        <v>Premix 52V46227</v>
      </c>
      <c r="U1730" s="787"/>
      <c r="V1730" s="787"/>
      <c r="W1730" s="785">
        <f>IFERROR(VLOOKUP($Q1730,'391'!$S:$AG,15,0),0)</f>
        <v>0</v>
      </c>
      <c r="X1730" s="1090">
        <f t="shared" si="1023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5"/>
      <c r="B1731" s="390" t="s">
        <v>2118</v>
      </c>
      <c r="C1731" s="190"/>
      <c r="D1731" s="866" t="s">
        <v>10</v>
      </c>
      <c r="E1731" s="1119">
        <v>46227</v>
      </c>
      <c r="F1731" s="71">
        <f t="shared" ref="F1731" si="1050">$L$7-E1731</f>
        <v>34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3">
        <f t="shared" si="1044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46"/>
        <v>Premix 52V46227</v>
      </c>
      <c r="U1731" s="787"/>
      <c r="V1731" s="787"/>
      <c r="W1731" s="785">
        <f>IFERROR(VLOOKUP($Q1731,'391'!$S:$AG,15,0),0)</f>
        <v>0</v>
      </c>
      <c r="X1731" s="1090">
        <f t="shared" si="1023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05"/>
      <c r="B1732" s="390" t="s">
        <v>1509</v>
      </c>
      <c r="C1732" s="190"/>
      <c r="D1732" s="866" t="s">
        <v>10</v>
      </c>
      <c r="E1732" s="1119">
        <v>45576</v>
      </c>
      <c r="F1732" s="71">
        <f t="shared" ref="F1732:F1733" si="1051">$L$7-E1732</f>
        <v>685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3">
        <f t="shared" si="1044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46"/>
        <v>Premix 52V45576</v>
      </c>
      <c r="U1732" s="787"/>
      <c r="V1732" s="787"/>
      <c r="W1732" s="785">
        <f>IFERROR(VLOOKUP($Q1732,'391'!$S:$AG,15,0),0)</f>
        <v>0</v>
      </c>
      <c r="X1732" s="1090">
        <f t="shared" si="1023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 x14ac:dyDescent="0.25">
      <c r="A1733" s="2005"/>
      <c r="B1733" s="390" t="s">
        <v>1397</v>
      </c>
      <c r="C1733" s="190"/>
      <c r="D1733" s="866" t="s">
        <v>10</v>
      </c>
      <c r="E1733" s="1119">
        <v>45323</v>
      </c>
      <c r="F1733" s="71">
        <f t="shared" si="1051"/>
        <v>938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4">
        <f t="shared" si="1044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46"/>
        <v>Premix 52V45323</v>
      </c>
      <c r="U1733" s="787"/>
      <c r="V1733" s="787"/>
      <c r="W1733" s="785">
        <f>IFERROR(VLOOKUP($Q1733,'391'!$S:$AG,15,0),0)</f>
        <v>0</v>
      </c>
      <c r="X1733" s="1090">
        <f t="shared" si="1023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 x14ac:dyDescent="0.25">
      <c r="A1734" s="2005"/>
      <c r="B1734" s="1014" t="s">
        <v>2163</v>
      </c>
      <c r="C1734" s="151" t="s">
        <v>46</v>
      </c>
      <c r="D1734" s="884" t="s">
        <v>10</v>
      </c>
      <c r="E1734" s="1118">
        <v>46241</v>
      </c>
      <c r="F1734" s="71">
        <f t="shared" ref="F1734" si="1052">$L$7-E1734</f>
        <v>20</v>
      </c>
      <c r="G1734" s="56">
        <v>1058.7800000000002</v>
      </c>
      <c r="H1734" s="12"/>
      <c r="I1734" s="58">
        <f>+SUM(K1724:K1730)</f>
        <v>0</v>
      </c>
      <c r="J1734" s="1385">
        <f>+usage!I237</f>
        <v>212.98</v>
      </c>
      <c r="K1734" s="64">
        <f>IFERROR(SUMIF(INTAKE!$A:$A,$T1734,INTAKE!$P:$P),0)</f>
        <v>0</v>
      </c>
      <c r="L1734" s="1534">
        <f t="shared" si="1044"/>
        <v>845.80000000000018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46"/>
        <v>Premix 52VFeedmill46241</v>
      </c>
      <c r="U1734" s="787"/>
      <c r="V1734" s="787"/>
      <c r="W1734" s="785">
        <f>IFERROR(VLOOKUP($Q1734,'391'!$S:$AG,15,0),0)</f>
        <v>0</v>
      </c>
      <c r="X1734" s="1090">
        <f t="shared" si="1023"/>
        <v>1058.7800000000002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 x14ac:dyDescent="0.25">
      <c r="A1735" s="2006" t="s">
        <v>26</v>
      </c>
      <c r="B1735" s="2007"/>
      <c r="C1735" s="125"/>
      <c r="D1735" s="1027"/>
      <c r="E1735" s="1027"/>
      <c r="F1735" s="896"/>
      <c r="G1735" s="1328">
        <v>3158.78</v>
      </c>
      <c r="H1735" s="1328">
        <f>+SUM(H1724:H1734)</f>
        <v>0</v>
      </c>
      <c r="I1735" s="1328">
        <f>+SUM(I1724:I1734)</f>
        <v>0</v>
      </c>
      <c r="J1735" s="1328">
        <f>+SUM(J1724:J1734)</f>
        <v>212.98</v>
      </c>
      <c r="K1735" s="1328">
        <f>+SUM(K1724:K1734)</f>
        <v>0</v>
      </c>
      <c r="L1735" s="1328">
        <f>+SUM(L1724:L1734)</f>
        <v>2945.8</v>
      </c>
      <c r="M1735" s="889">
        <f>IFERROR(R1735/$S$2,"")</f>
        <v>234.42666666666665</v>
      </c>
      <c r="N1735" s="366">
        <f>(L1735/M1735)</f>
        <v>12.565976566943467</v>
      </c>
      <c r="O1735" s="889">
        <f>IFERROR(SUMIF(ETM!$A:$A,$Q1735,ETM!$E:$E),"")</f>
        <v>332.33333333333331</v>
      </c>
      <c r="P1735" s="855">
        <f>IFERROR(L1735/O1735,0)</f>
        <v>8.8639919759277852</v>
      </c>
      <c r="Q1735" s="814" t="s">
        <v>646</v>
      </c>
      <c r="R1735" s="785">
        <f>IFERROR(VLOOKUP($Q1735,'391'!$S:$Z,8,0),"")</f>
        <v>1406.56</v>
      </c>
      <c r="S1735" s="786"/>
      <c r="T1735" s="787"/>
      <c r="U1735" s="787"/>
      <c r="V1735" s="787"/>
      <c r="W1735" s="785">
        <f>IFERROR(VLOOKUP($Q1735,'391'!$S:$AG,15,0),0)</f>
        <v>3920.76</v>
      </c>
      <c r="X1735" s="1090">
        <f t="shared" ref="X1735:X1798" si="1053">G1735-W1735</f>
        <v>-761.98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 x14ac:dyDescent="0.25">
      <c r="A1736" s="2013" t="str">
        <f>IF(L1742=0,"",MAX($A$16:A1735)+1)</f>
        <v/>
      </c>
      <c r="B1736" s="2011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54">$L$7-E1736</f>
        <v>1840</v>
      </c>
      <c r="G1736" s="63">
        <v>0</v>
      </c>
      <c r="H1736" s="63"/>
      <c r="I1736" s="63"/>
      <c r="J1736" s="1369"/>
      <c r="K1736" s="56"/>
      <c r="L1736" s="1534">
        <f t="shared" ref="L1736:L1766" si="1055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53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5"/>
      <c r="B1737" s="2012"/>
      <c r="C1737" s="164" t="s">
        <v>249</v>
      </c>
      <c r="D1737" s="866" t="s">
        <v>10</v>
      </c>
      <c r="E1737" s="1119">
        <v>44422</v>
      </c>
      <c r="F1737" s="71">
        <f t="shared" si="1054"/>
        <v>1839</v>
      </c>
      <c r="G1737" s="63">
        <v>0</v>
      </c>
      <c r="H1737" s="63"/>
      <c r="I1737" s="63"/>
      <c r="J1737" s="1369"/>
      <c r="K1737" s="56"/>
      <c r="L1737" s="1534">
        <f t="shared" si="1055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53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5"/>
      <c r="B1738" s="2012"/>
      <c r="C1738" s="164" t="s">
        <v>249</v>
      </c>
      <c r="D1738" s="866" t="s">
        <v>10</v>
      </c>
      <c r="E1738" s="1119">
        <v>44423</v>
      </c>
      <c r="F1738" s="71">
        <f t="shared" si="1054"/>
        <v>1838</v>
      </c>
      <c r="G1738" s="63">
        <v>0</v>
      </c>
      <c r="H1738" s="63"/>
      <c r="I1738" s="63"/>
      <c r="J1738" s="1369"/>
      <c r="K1738" s="56"/>
      <c r="L1738" s="1534">
        <f t="shared" si="1055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53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5"/>
      <c r="B1739" s="2012"/>
      <c r="C1739" s="164" t="s">
        <v>249</v>
      </c>
      <c r="D1739" s="866" t="s">
        <v>10</v>
      </c>
      <c r="E1739" s="1119">
        <v>44424</v>
      </c>
      <c r="F1739" s="71">
        <f t="shared" si="1054"/>
        <v>1837</v>
      </c>
      <c r="G1739" s="63">
        <v>0</v>
      </c>
      <c r="H1739" s="63"/>
      <c r="I1739" s="63"/>
      <c r="J1739" s="1369"/>
      <c r="K1739" s="56"/>
      <c r="L1739" s="1534">
        <f t="shared" si="1055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53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05"/>
      <c r="B1740" s="2012"/>
      <c r="C1740" s="164" t="s">
        <v>243</v>
      </c>
      <c r="D1740" s="866" t="s">
        <v>10</v>
      </c>
      <c r="E1740" s="1119">
        <v>44425</v>
      </c>
      <c r="F1740" s="71">
        <f t="shared" si="1054"/>
        <v>1836</v>
      </c>
      <c r="G1740" s="63">
        <v>0</v>
      </c>
      <c r="H1740" s="63"/>
      <c r="I1740" s="63"/>
      <c r="J1740" s="1369"/>
      <c r="K1740" s="56"/>
      <c r="L1740" s="1534">
        <f t="shared" si="1055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53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 x14ac:dyDescent="0.25">
      <c r="A1741" s="2014"/>
      <c r="B1741" s="2193"/>
      <c r="C1741" s="144" t="s">
        <v>46</v>
      </c>
      <c r="D1741" s="884" t="s">
        <v>10</v>
      </c>
      <c r="E1741" s="1119">
        <v>44426</v>
      </c>
      <c r="F1741" s="71">
        <f t="shared" si="1054"/>
        <v>1835</v>
      </c>
      <c r="G1741" s="56">
        <v>0</v>
      </c>
      <c r="H1741" s="37"/>
      <c r="I1741" s="37"/>
      <c r="J1741" s="1385"/>
      <c r="K1741" s="37"/>
      <c r="L1741" s="1534">
        <f t="shared" si="1055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53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 x14ac:dyDescent="0.25">
      <c r="A1742" s="2006" t="s">
        <v>216</v>
      </c>
      <c r="B1742" s="2007"/>
      <c r="C1742" s="125"/>
      <c r="D1742" s="1027"/>
      <c r="E1742" s="1027"/>
      <c r="F1742" s="896"/>
      <c r="G1742" s="1328">
        <v>0</v>
      </c>
      <c r="H1742" s="1328">
        <f t="shared" ref="H1742:K1742" si="1056">+SUM(H1736:H1741)</f>
        <v>0</v>
      </c>
      <c r="I1742" s="1328">
        <f t="shared" si="1056"/>
        <v>0</v>
      </c>
      <c r="J1742" s="1328">
        <f t="shared" si="1056"/>
        <v>0</v>
      </c>
      <c r="K1742" s="1328">
        <f t="shared" si="1056"/>
        <v>0</v>
      </c>
      <c r="L1742" s="1534">
        <f t="shared" si="1055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53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 x14ac:dyDescent="0.25">
      <c r="A1743" s="2013" t="str">
        <f>IF(L1751=0,"",MAX($A$16:A1742)+1)</f>
        <v/>
      </c>
      <c r="B1743" s="2011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57">$L$7-E1743</f>
        <v>1836</v>
      </c>
      <c r="G1743" s="12">
        <v>0</v>
      </c>
      <c r="H1743" s="12"/>
      <c r="I1743" s="12"/>
      <c r="J1743" s="1368"/>
      <c r="K1743" s="12"/>
      <c r="L1743" s="1534">
        <f t="shared" si="1055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53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5"/>
      <c r="B1744" s="2012"/>
      <c r="C1744" s="190" t="s">
        <v>272</v>
      </c>
      <c r="D1744" s="866" t="s">
        <v>10</v>
      </c>
      <c r="E1744" s="1119">
        <v>44425</v>
      </c>
      <c r="F1744" s="71">
        <f t="shared" si="1057"/>
        <v>1836</v>
      </c>
      <c r="G1744" s="12">
        <v>0</v>
      </c>
      <c r="H1744" s="12"/>
      <c r="I1744" s="12"/>
      <c r="J1744" s="1368"/>
      <c r="K1744" s="12"/>
      <c r="L1744" s="1534">
        <f t="shared" si="1055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53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5"/>
      <c r="B1745" s="2012"/>
      <c r="C1745" s="190" t="s">
        <v>272</v>
      </c>
      <c r="D1745" s="866" t="s">
        <v>10</v>
      </c>
      <c r="E1745" s="1119">
        <v>44425</v>
      </c>
      <c r="F1745" s="71">
        <f t="shared" si="1057"/>
        <v>1836</v>
      </c>
      <c r="G1745" s="12">
        <v>0</v>
      </c>
      <c r="H1745" s="12"/>
      <c r="I1745" s="12"/>
      <c r="J1745" s="1368"/>
      <c r="K1745" s="12"/>
      <c r="L1745" s="1534">
        <f t="shared" si="1055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53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5"/>
      <c r="B1746" s="2012"/>
      <c r="C1746" s="190" t="s">
        <v>272</v>
      </c>
      <c r="D1746" s="866" t="s">
        <v>10</v>
      </c>
      <c r="E1746" s="1119">
        <v>44425</v>
      </c>
      <c r="F1746" s="71">
        <f t="shared" si="1057"/>
        <v>1836</v>
      </c>
      <c r="G1746" s="12">
        <v>0</v>
      </c>
      <c r="H1746" s="12"/>
      <c r="I1746" s="12"/>
      <c r="J1746" s="1368"/>
      <c r="K1746" s="12"/>
      <c r="L1746" s="1534">
        <f t="shared" si="1055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53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5"/>
      <c r="B1747" s="2012"/>
      <c r="C1747" s="190" t="s">
        <v>258</v>
      </c>
      <c r="D1747" s="866" t="s">
        <v>10</v>
      </c>
      <c r="E1747" s="1119">
        <v>44425</v>
      </c>
      <c r="F1747" s="71">
        <f t="shared" si="1057"/>
        <v>1836</v>
      </c>
      <c r="G1747" s="12">
        <v>0</v>
      </c>
      <c r="H1747" s="12"/>
      <c r="I1747" s="12"/>
      <c r="J1747" s="1368"/>
      <c r="K1747" s="12"/>
      <c r="L1747" s="1534">
        <f t="shared" si="1055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53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5"/>
      <c r="B1748" s="2012"/>
      <c r="C1748" s="190" t="s">
        <v>258</v>
      </c>
      <c r="D1748" s="866" t="s">
        <v>10</v>
      </c>
      <c r="E1748" s="1119">
        <v>44425</v>
      </c>
      <c r="F1748" s="71">
        <f t="shared" si="1057"/>
        <v>1836</v>
      </c>
      <c r="G1748" s="12">
        <v>0</v>
      </c>
      <c r="H1748" s="12"/>
      <c r="I1748" s="12"/>
      <c r="J1748" s="1368"/>
      <c r="K1748" s="12"/>
      <c r="L1748" s="1534">
        <f t="shared" si="1055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53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5"/>
      <c r="B1749" s="2012"/>
      <c r="C1749" s="262" t="s">
        <v>46</v>
      </c>
      <c r="D1749" s="866" t="s">
        <v>10</v>
      </c>
      <c r="E1749" s="1119">
        <v>44425</v>
      </c>
      <c r="F1749" s="71">
        <f t="shared" si="1057"/>
        <v>1836</v>
      </c>
      <c r="G1749" s="958">
        <v>0</v>
      </c>
      <c r="H1749" s="64"/>
      <c r="I1749" s="58"/>
      <c r="J1749" s="1365"/>
      <c r="K1749" s="64"/>
      <c r="L1749" s="1534">
        <f t="shared" si="1055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53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05"/>
      <c r="B1750" s="2012"/>
      <c r="C1750" s="261" t="s">
        <v>46</v>
      </c>
      <c r="D1750" s="1112" t="s">
        <v>10</v>
      </c>
      <c r="E1750" s="1119">
        <v>44425</v>
      </c>
      <c r="F1750" s="71">
        <f t="shared" si="1057"/>
        <v>1836</v>
      </c>
      <c r="G1750" s="958">
        <v>0</v>
      </c>
      <c r="H1750" s="64"/>
      <c r="I1750" s="58"/>
      <c r="J1750" s="1365"/>
      <c r="K1750" s="64"/>
      <c r="L1750" s="1534">
        <f t="shared" si="1055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53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 x14ac:dyDescent="0.25">
      <c r="A1751" s="2006" t="s">
        <v>163</v>
      </c>
      <c r="B1751" s="2007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4">
        <f t="shared" si="1055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53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 x14ac:dyDescent="0.25">
      <c r="A1752" s="2013" t="str">
        <f>IF(L1761=0,"",MAX($A$16:A1751)+1)</f>
        <v/>
      </c>
      <c r="B1752" s="2011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58">$L$7-E1752</f>
        <v>1836</v>
      </c>
      <c r="G1752" s="12">
        <v>0</v>
      </c>
      <c r="H1752" s="12"/>
      <c r="I1752" s="12"/>
      <c r="J1752" s="1368"/>
      <c r="K1752" s="12"/>
      <c r="L1752" s="1534">
        <f t="shared" si="1055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53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5"/>
      <c r="B1753" s="2012"/>
      <c r="C1753" s="164" t="s">
        <v>259</v>
      </c>
      <c r="D1753" s="866" t="s">
        <v>10</v>
      </c>
      <c r="E1753" s="1119">
        <v>44425</v>
      </c>
      <c r="F1753" s="71">
        <f t="shared" si="1058"/>
        <v>1836</v>
      </c>
      <c r="G1753" s="12">
        <v>0</v>
      </c>
      <c r="H1753" s="12"/>
      <c r="I1753" s="12"/>
      <c r="J1753" s="1368"/>
      <c r="K1753" s="12"/>
      <c r="L1753" s="1534">
        <f t="shared" si="1055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53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5"/>
      <c r="B1754" s="2012"/>
      <c r="C1754" s="164" t="s">
        <v>259</v>
      </c>
      <c r="D1754" s="866" t="s">
        <v>10</v>
      </c>
      <c r="E1754" s="1119">
        <v>44425</v>
      </c>
      <c r="F1754" s="71">
        <f t="shared" si="1058"/>
        <v>1836</v>
      </c>
      <c r="G1754" s="12">
        <v>0</v>
      </c>
      <c r="H1754" s="12"/>
      <c r="I1754" s="12"/>
      <c r="J1754" s="1368"/>
      <c r="K1754" s="12"/>
      <c r="L1754" s="1534">
        <f t="shared" si="1055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53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5"/>
      <c r="B1755" s="2012"/>
      <c r="C1755" s="164" t="s">
        <v>259</v>
      </c>
      <c r="D1755" s="866" t="s">
        <v>10</v>
      </c>
      <c r="E1755" s="1119">
        <v>44425</v>
      </c>
      <c r="F1755" s="71">
        <f t="shared" si="1058"/>
        <v>1836</v>
      </c>
      <c r="G1755" s="12">
        <v>0</v>
      </c>
      <c r="H1755" s="12"/>
      <c r="I1755" s="12"/>
      <c r="J1755" s="1368"/>
      <c r="K1755" s="12"/>
      <c r="L1755" s="1534">
        <f t="shared" si="1055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53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5"/>
      <c r="B1756" s="2012"/>
      <c r="C1756" s="164" t="s">
        <v>250</v>
      </c>
      <c r="D1756" s="866" t="s">
        <v>10</v>
      </c>
      <c r="E1756" s="1119">
        <v>44425</v>
      </c>
      <c r="F1756" s="71">
        <f t="shared" si="1058"/>
        <v>1836</v>
      </c>
      <c r="G1756" s="12">
        <v>0</v>
      </c>
      <c r="H1756" s="12"/>
      <c r="I1756" s="12"/>
      <c r="J1756" s="1368"/>
      <c r="K1756" s="12"/>
      <c r="L1756" s="1534">
        <f t="shared" si="1055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53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5"/>
      <c r="B1757" s="2012"/>
      <c r="C1757" s="164" t="s">
        <v>250</v>
      </c>
      <c r="D1757" s="866" t="s">
        <v>10</v>
      </c>
      <c r="E1757" s="1119">
        <v>44425</v>
      </c>
      <c r="F1757" s="71">
        <f t="shared" si="1058"/>
        <v>1836</v>
      </c>
      <c r="G1757" s="12">
        <v>0</v>
      </c>
      <c r="H1757" s="12"/>
      <c r="I1757" s="12"/>
      <c r="J1757" s="1368"/>
      <c r="K1757" s="12"/>
      <c r="L1757" s="1534">
        <f t="shared" si="1055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53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5"/>
      <c r="B1758" s="2012"/>
      <c r="C1758" s="164" t="s">
        <v>250</v>
      </c>
      <c r="D1758" s="866" t="s">
        <v>10</v>
      </c>
      <c r="E1758" s="1119">
        <v>44425</v>
      </c>
      <c r="F1758" s="71">
        <f t="shared" si="1058"/>
        <v>1836</v>
      </c>
      <c r="G1758" s="12">
        <v>0</v>
      </c>
      <c r="H1758" s="12"/>
      <c r="I1758" s="12"/>
      <c r="J1758" s="1368"/>
      <c r="K1758" s="12"/>
      <c r="L1758" s="1534">
        <f t="shared" si="1055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53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05"/>
      <c r="B1759" s="2012"/>
      <c r="C1759" s="123" t="s">
        <v>46</v>
      </c>
      <c r="D1759" s="866" t="s">
        <v>10</v>
      </c>
      <c r="E1759" s="1119">
        <v>44425</v>
      </c>
      <c r="F1759" s="71">
        <f t="shared" si="1058"/>
        <v>1836</v>
      </c>
      <c r="G1759" s="958">
        <v>0</v>
      </c>
      <c r="H1759" s="958"/>
      <c r="I1759" s="958"/>
      <c r="J1759" s="1397"/>
      <c r="K1759" s="958"/>
      <c r="L1759" s="1534">
        <f t="shared" si="1055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53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 x14ac:dyDescent="0.25">
      <c r="A1760" s="2005"/>
      <c r="B1760" s="2012"/>
      <c r="C1760" s="123" t="s">
        <v>46</v>
      </c>
      <c r="D1760" s="1112" t="s">
        <v>10</v>
      </c>
      <c r="E1760" s="1119">
        <v>44425</v>
      </c>
      <c r="F1760" s="71">
        <f t="shared" si="1058"/>
        <v>1836</v>
      </c>
      <c r="G1760" s="56">
        <v>0</v>
      </c>
      <c r="H1760" s="37"/>
      <c r="I1760" s="37"/>
      <c r="J1760" s="1385"/>
      <c r="K1760" s="37"/>
      <c r="L1760" s="1534">
        <f t="shared" si="1055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53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 x14ac:dyDescent="0.25">
      <c r="A1761" s="2006" t="s">
        <v>165</v>
      </c>
      <c r="B1761" s="2007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4">
        <f t="shared" si="1055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53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 x14ac:dyDescent="0.25">
      <c r="A1762" s="2004">
        <f>IF(L1767=0,"",MAX($A$16:A1761)+1)</f>
        <v>121</v>
      </c>
      <c r="B1762" s="390" t="s">
        <v>1881</v>
      </c>
      <c r="C1762" s="246" t="s">
        <v>1857</v>
      </c>
      <c r="D1762" s="866" t="s">
        <v>10</v>
      </c>
      <c r="E1762" s="1124">
        <v>46213</v>
      </c>
      <c r="F1762" s="71">
        <f>$L$7-E1762</f>
        <v>48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3">
        <f t="shared" si="1055"/>
        <v>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62VY5.246213</v>
      </c>
      <c r="U1762" s="787"/>
      <c r="V1762" s="787"/>
      <c r="W1762" s="785">
        <f>IFERROR(VLOOKUP($Q1762,'391'!$S:$AG,15,0),0)</f>
        <v>0</v>
      </c>
      <c r="X1762" s="1090">
        <f t="shared" si="1053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05"/>
      <c r="B1763" s="390" t="s">
        <v>1881</v>
      </c>
      <c r="C1763" s="246"/>
      <c r="D1763" s="866" t="s">
        <v>10</v>
      </c>
      <c r="E1763" s="1124">
        <v>46213</v>
      </c>
      <c r="F1763" s="71">
        <f>$L$7-E1763</f>
        <v>48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703">
        <f t="shared" si="1055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62V46213</v>
      </c>
      <c r="U1763" s="787"/>
      <c r="V1763" s="787"/>
      <c r="W1763" s="785">
        <f>IFERROR(VLOOKUP($Q1763,'391'!$S:$AG,15,0),0)</f>
        <v>0</v>
      </c>
      <c r="X1763" s="1090">
        <f t="shared" si="1053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5"/>
      <c r="B1764" s="390" t="s">
        <v>1881</v>
      </c>
      <c r="C1764" s="246"/>
      <c r="D1764" s="866" t="s">
        <v>10</v>
      </c>
      <c r="E1764" s="1124">
        <v>46213</v>
      </c>
      <c r="F1764" s="71">
        <f>$L$7-E1764</f>
        <v>48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3">
        <f t="shared" si="1055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53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05"/>
      <c r="B1765" s="390" t="s">
        <v>1113</v>
      </c>
      <c r="C1765" s="246"/>
      <c r="D1765" s="866" t="s">
        <v>10</v>
      </c>
      <c r="E1765" s="1124">
        <v>44547</v>
      </c>
      <c r="F1765" s="71">
        <f>$L$7-E1765</f>
        <v>1714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4">
        <f t="shared" si="1055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53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 x14ac:dyDescent="0.25">
      <c r="A1766" s="2005"/>
      <c r="B1766" s="1019" t="s">
        <v>1881</v>
      </c>
      <c r="C1766" s="119" t="s">
        <v>46</v>
      </c>
      <c r="D1766" s="884" t="s">
        <v>10</v>
      </c>
      <c r="E1766" s="1130">
        <v>46213</v>
      </c>
      <c r="F1766" s="71">
        <f>$L$7-E1766</f>
        <v>48</v>
      </c>
      <c r="G1766" s="37">
        <v>22</v>
      </c>
      <c r="H1766" s="37"/>
      <c r="I1766" s="37">
        <f>+SUM(K1762:K1765)</f>
        <v>0</v>
      </c>
      <c r="J1766" s="1385">
        <f>+usage!I239</f>
        <v>0</v>
      </c>
      <c r="K1766" s="64">
        <f>IFERROR(SUMIF(INTAKE!$A:$A,$T1766,INTAKE!$P:$P),0)</f>
        <v>0</v>
      </c>
      <c r="L1766" s="1534">
        <f t="shared" si="1055"/>
        <v>22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62VFeedmill46213</v>
      </c>
      <c r="U1766" s="787"/>
      <c r="V1766" s="787"/>
      <c r="W1766" s="785">
        <f>IFERROR(VLOOKUP($Q1766,'391'!$S:$AG,15,0),0)</f>
        <v>0</v>
      </c>
      <c r="X1766" s="1090">
        <f t="shared" si="1053"/>
        <v>22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 x14ac:dyDescent="0.25">
      <c r="A1767" s="2006" t="s">
        <v>27</v>
      </c>
      <c r="B1767" s="2007"/>
      <c r="C1767" s="125"/>
      <c r="D1767" s="1027"/>
      <c r="E1767" s="1027"/>
      <c r="F1767" s="896"/>
      <c r="G1767" s="1328">
        <v>22</v>
      </c>
      <c r="H1767" s="1328">
        <f>+SUM(H1762:H1766)</f>
        <v>0</v>
      </c>
      <c r="I1767" s="1328">
        <f t="shared" ref="I1767" si="1059">SUM(I1762:I1766)</f>
        <v>0</v>
      </c>
      <c r="J1767" s="1328">
        <f t="shared" ref="J1767:L1767" si="1060">SUM(J1762:J1766)</f>
        <v>0</v>
      </c>
      <c r="K1767" s="1328">
        <f t="shared" si="1060"/>
        <v>0</v>
      </c>
      <c r="L1767" s="1328">
        <f t="shared" si="1060"/>
        <v>22</v>
      </c>
      <c r="M1767" s="889">
        <f>IFERROR(R1767/$S$2,"")</f>
        <v>4.2</v>
      </c>
      <c r="N1767" s="366">
        <f>IFERROR(L1767/M1767,0)</f>
        <v>5.2380952380952381</v>
      </c>
      <c r="O1767" s="889">
        <f>IFERROR(SUMIF(ETM!$A:$A,$Q1767,ETM!$E:$E),"")</f>
        <v>2.6666666666666665</v>
      </c>
      <c r="P1767" s="880">
        <f>IFERROR(L1767/O1767,0)</f>
        <v>8.25</v>
      </c>
      <c r="Q1767" s="814" t="s">
        <v>648</v>
      </c>
      <c r="R1767" s="785">
        <f>IFERROR(VLOOKUP($Q1767,'391'!$S:$Z,8,0),"")</f>
        <v>25.2</v>
      </c>
      <c r="S1767" s="786"/>
      <c r="T1767" s="787"/>
      <c r="U1767" s="787"/>
      <c r="V1767" s="787"/>
      <c r="W1767" s="785">
        <f>IFERROR(VLOOKUP($Q1767,'391'!$S:$AG,15,0),0)</f>
        <v>30.400000000000002</v>
      </c>
      <c r="X1767" s="1090">
        <f t="shared" si="1053"/>
        <v>-8.4000000000000021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 x14ac:dyDescent="0.25">
      <c r="A1768" s="2004">
        <f>IF(L1774=0,"",MAX($A$16:A1767)+1)</f>
        <v>122</v>
      </c>
      <c r="B1768" s="390" t="s">
        <v>1194</v>
      </c>
      <c r="C1768" s="348"/>
      <c r="D1768" s="866" t="s">
        <v>10</v>
      </c>
      <c r="E1768" s="1120">
        <v>44805</v>
      </c>
      <c r="F1768" s="71">
        <f t="shared" ref="F1768:F1773" si="1061">$L$7-E1768</f>
        <v>1456</v>
      </c>
      <c r="G1768" s="12">
        <v>0</v>
      </c>
      <c r="H1768" s="12"/>
      <c r="I1768" s="12"/>
      <c r="J1768" s="1388"/>
      <c r="K1768" s="64"/>
      <c r="L1768" s="1534">
        <f t="shared" ref="L1768:L1773" si="1062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63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53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05"/>
      <c r="B1769" s="390" t="s">
        <v>2233</v>
      </c>
      <c r="C1769" s="348"/>
      <c r="D1769" s="866" t="s">
        <v>10</v>
      </c>
      <c r="E1769" s="1120">
        <v>46254</v>
      </c>
      <c r="F1769" s="71">
        <f t="shared" ref="F1769" si="1064">$L$7-E1769</f>
        <v>7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3">
        <f t="shared" si="1062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63"/>
        <v>Premix 62PV46254</v>
      </c>
      <c r="U1769" s="787"/>
      <c r="V1769" s="787"/>
      <c r="W1769" s="785">
        <f>IFERROR(VLOOKUP($Q1769,'391'!$S:$AG,15,0),0)</f>
        <v>0</v>
      </c>
      <c r="X1769" s="1090">
        <f t="shared" si="1053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05"/>
      <c r="B1770" s="390" t="s">
        <v>2233</v>
      </c>
      <c r="C1770" s="348"/>
      <c r="D1770" s="866" t="s">
        <v>10</v>
      </c>
      <c r="E1770" s="1120">
        <v>46254</v>
      </c>
      <c r="F1770" s="71">
        <f t="shared" si="1061"/>
        <v>7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3">
        <f t="shared" si="1062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63"/>
        <v>Premix 62PV46254</v>
      </c>
      <c r="U1770" s="787"/>
      <c r="V1770" s="787"/>
      <c r="W1770" s="785">
        <f>IFERROR(VLOOKUP($Q1770,'391'!$S:$AG,15,0),0)</f>
        <v>0</v>
      </c>
      <c r="X1770" s="1090">
        <f t="shared" si="1053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05"/>
      <c r="B1771" s="390" t="s">
        <v>1875</v>
      </c>
      <c r="C1771" s="348"/>
      <c r="D1771" s="866" t="s">
        <v>10</v>
      </c>
      <c r="E1771" s="1120">
        <v>46206</v>
      </c>
      <c r="F1771" s="71">
        <f t="shared" ref="F1771" si="1065">$L$7-E1771</f>
        <v>55</v>
      </c>
      <c r="G1771" s="12">
        <v>0</v>
      </c>
      <c r="H1771" s="12"/>
      <c r="I1771" s="12"/>
      <c r="J1771" s="1388"/>
      <c r="K1771" s="64">
        <f>IFERROR(SUMIF(INTAKE!$A:$A,$T1771,INTAKE!$P:$P),0)</f>
        <v>0</v>
      </c>
      <c r="L1771" s="1703">
        <f t="shared" si="1062"/>
        <v>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63"/>
        <v>Premix 62PV46206</v>
      </c>
      <c r="U1771" s="787"/>
      <c r="V1771" s="787"/>
      <c r="W1771" s="785">
        <f>IFERROR(VLOOKUP($Q1771,'391'!$S:$AG,15,0),0)</f>
        <v>0</v>
      </c>
      <c r="X1771" s="1090">
        <f t="shared" si="1053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05"/>
      <c r="B1772" s="390" t="s">
        <v>1542</v>
      </c>
      <c r="C1772" s="348"/>
      <c r="D1772" s="866" t="s">
        <v>10</v>
      </c>
      <c r="E1772" s="1120">
        <v>45680</v>
      </c>
      <c r="F1772" s="71">
        <f t="shared" si="1061"/>
        <v>581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3">
        <f t="shared" si="1062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63"/>
        <v>Premix 62PV45680</v>
      </c>
      <c r="U1772" s="787"/>
      <c r="V1772" s="787"/>
      <c r="W1772" s="785">
        <f>IFERROR(VLOOKUP($Q1772,'391'!$S:$AG,15,0),0)</f>
        <v>0</v>
      </c>
      <c r="X1772" s="1090">
        <f t="shared" si="1053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 x14ac:dyDescent="0.25">
      <c r="A1773" s="2005"/>
      <c r="B1773" s="1020" t="s">
        <v>2233</v>
      </c>
      <c r="C1773" s="123" t="s">
        <v>46</v>
      </c>
      <c r="D1773" s="884" t="s">
        <v>10</v>
      </c>
      <c r="E1773" s="1117">
        <v>46254</v>
      </c>
      <c r="F1773" s="71">
        <f t="shared" si="1061"/>
        <v>7</v>
      </c>
      <c r="G1773" s="56">
        <v>188.95999999999998</v>
      </c>
      <c r="H1773" s="56"/>
      <c r="I1773" s="12">
        <f>+SUM(K1768:K1771)</f>
        <v>0</v>
      </c>
      <c r="J1773" s="1369">
        <f>+usage!I240</f>
        <v>0</v>
      </c>
      <c r="K1773" s="64">
        <f>IFERROR(SUMIF(INTAKE!$A:$A,$T1773,INTAKE!$P:$P),0)</f>
        <v>0</v>
      </c>
      <c r="L1773" s="1534">
        <f t="shared" si="1062"/>
        <v>188.95999999999998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63"/>
        <v>Premix 62PVFeedmill46254</v>
      </c>
      <c r="U1773" s="787"/>
      <c r="V1773" s="787"/>
      <c r="W1773" s="785">
        <f>IFERROR(VLOOKUP($Q1773,'391'!$S:$AG,15,0),0)</f>
        <v>0</v>
      </c>
      <c r="X1773" s="1090">
        <f t="shared" si="1053"/>
        <v>188.95999999999998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 x14ac:dyDescent="0.25">
      <c r="A1774" s="2006" t="s">
        <v>125</v>
      </c>
      <c r="B1774" s="2007"/>
      <c r="C1774" s="125"/>
      <c r="D1774" s="1027"/>
      <c r="E1774" s="1027"/>
      <c r="F1774" s="896"/>
      <c r="G1774" s="1328">
        <v>188.95999999999998</v>
      </c>
      <c r="H1774" s="1328">
        <f>SUM(H1768:H1773)</f>
        <v>0</v>
      </c>
      <c r="I1774" s="1328">
        <f t="shared" ref="I1774" si="1066">SUM(I1768:I1773)</f>
        <v>0</v>
      </c>
      <c r="J1774" s="1328">
        <f t="shared" ref="J1774:L1774" si="1067">SUM(J1768:J1773)</f>
        <v>0</v>
      </c>
      <c r="K1774" s="1328">
        <f t="shared" si="1067"/>
        <v>0</v>
      </c>
      <c r="L1774" s="1328">
        <f t="shared" si="1067"/>
        <v>188.95999999999998</v>
      </c>
      <c r="M1774" s="889">
        <f>IFERROR(R1774/$S$2,"")</f>
        <v>22.858333333333334</v>
      </c>
      <c r="N1774" s="854">
        <f>(L1774/M1774)</f>
        <v>8.2665694495078377</v>
      </c>
      <c r="O1774" s="889">
        <f>IFERROR(SUMIF(ETM!$A:$A,$Q1774,ETM!$E:$E),"")</f>
        <v>28.666666666666664</v>
      </c>
      <c r="P1774" s="855">
        <f>IFERROR(L1774/O1774,0)</f>
        <v>6.5916279069767443</v>
      </c>
      <c r="Q1774" s="814" t="s">
        <v>647</v>
      </c>
      <c r="R1774" s="785">
        <f>IFERROR(VLOOKUP($Q1774,'391'!$S:$Z,8,0),"")</f>
        <v>137.15</v>
      </c>
      <c r="S1774" s="786"/>
      <c r="T1774" s="787"/>
      <c r="U1774" s="787"/>
      <c r="V1774" s="787"/>
      <c r="W1774" s="785">
        <f>IFERROR(VLOOKUP($Q1774,'391'!$S:$AG,15,0),0)</f>
        <v>330.29</v>
      </c>
      <c r="X1774" s="1090">
        <f t="shared" si="1053"/>
        <v>-141.33000000000004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 x14ac:dyDescent="0.25">
      <c r="A1775" s="2013" t="str">
        <f>IF(L1781=0,"",MAX($A$16:A1774)+1)</f>
        <v/>
      </c>
      <c r="B1775" s="2011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68">$L$7-E1775</f>
        <v>3171</v>
      </c>
      <c r="G1775" s="12">
        <v>0</v>
      </c>
      <c r="H1775" s="1315"/>
      <c r="I1775" s="1315"/>
      <c r="J1775" s="1439"/>
      <c r="K1775" s="1315"/>
      <c r="L1775" s="1534">
        <f t="shared" ref="L1775:L1787" si="1069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53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5"/>
      <c r="B1776" s="2012"/>
      <c r="C1776" s="246" t="s">
        <v>233</v>
      </c>
      <c r="D1776" s="866" t="s">
        <v>10</v>
      </c>
      <c r="E1776" s="1120">
        <v>43091</v>
      </c>
      <c r="F1776" s="71">
        <f t="shared" si="1068"/>
        <v>3170</v>
      </c>
      <c r="G1776" s="12">
        <v>0</v>
      </c>
      <c r="H1776" s="1362"/>
      <c r="I1776" s="1362"/>
      <c r="J1776" s="1440"/>
      <c r="K1776" s="1362"/>
      <c r="L1776" s="1534">
        <f t="shared" si="1069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53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5"/>
      <c r="B1777" s="2012"/>
      <c r="C1777" s="246" t="s">
        <v>233</v>
      </c>
      <c r="D1777" s="866" t="s">
        <v>10</v>
      </c>
      <c r="E1777" s="1120">
        <v>43092</v>
      </c>
      <c r="F1777" s="71">
        <f t="shared" si="1068"/>
        <v>3169</v>
      </c>
      <c r="G1777" s="12">
        <v>0</v>
      </c>
      <c r="H1777" s="12"/>
      <c r="I1777" s="12"/>
      <c r="J1777" s="1368"/>
      <c r="K1777" s="12"/>
      <c r="L1777" s="1534">
        <f t="shared" si="1069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53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05"/>
      <c r="B1778" s="2012"/>
      <c r="C1778" s="246" t="s">
        <v>233</v>
      </c>
      <c r="D1778" s="866" t="s">
        <v>10</v>
      </c>
      <c r="E1778" s="1120">
        <v>43093</v>
      </c>
      <c r="F1778" s="71">
        <f t="shared" si="1068"/>
        <v>3168</v>
      </c>
      <c r="G1778" s="12">
        <v>0</v>
      </c>
      <c r="H1778" s="12"/>
      <c r="I1778" s="12"/>
      <c r="J1778" s="1368"/>
      <c r="K1778" s="12"/>
      <c r="L1778" s="1534">
        <f t="shared" si="1069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53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05"/>
      <c r="B1779" s="2012"/>
      <c r="C1779" s="104" t="s">
        <v>233</v>
      </c>
      <c r="D1779" s="866" t="s">
        <v>10</v>
      </c>
      <c r="E1779" s="1120">
        <v>43094</v>
      </c>
      <c r="F1779" s="71">
        <f t="shared" si="1068"/>
        <v>3167</v>
      </c>
      <c r="G1779" s="12">
        <v>0</v>
      </c>
      <c r="H1779" s="12"/>
      <c r="I1779" s="12"/>
      <c r="J1779" s="1368"/>
      <c r="K1779" s="12"/>
      <c r="L1779" s="1534">
        <f t="shared" si="1069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53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 x14ac:dyDescent="0.25">
      <c r="A1780" s="2005"/>
      <c r="B1780" s="2012"/>
      <c r="C1780" s="123" t="s">
        <v>46</v>
      </c>
      <c r="D1780" s="884" t="s">
        <v>10</v>
      </c>
      <c r="E1780" s="1120">
        <v>43097</v>
      </c>
      <c r="F1780" s="71">
        <f t="shared" si="1068"/>
        <v>3164</v>
      </c>
      <c r="G1780" s="56">
        <v>0</v>
      </c>
      <c r="H1780" s="56"/>
      <c r="I1780" s="56"/>
      <c r="J1780" s="1369"/>
      <c r="K1780" s="56"/>
      <c r="L1780" s="1534">
        <f t="shared" si="1069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53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 x14ac:dyDescent="0.25">
      <c r="A1781" s="2006" t="s">
        <v>169</v>
      </c>
      <c r="B1781" s="2007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4">
        <f t="shared" si="1069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53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 x14ac:dyDescent="0.25">
      <c r="A1782" s="2192">
        <f>IF(L1788=0,"",MAX($A$16:A1781)+1)</f>
        <v>123</v>
      </c>
      <c r="B1782" s="507" t="s">
        <v>2164</v>
      </c>
      <c r="C1782" s="240" t="s">
        <v>243</v>
      </c>
      <c r="D1782" s="866" t="s">
        <v>10</v>
      </c>
      <c r="E1782" s="1121">
        <v>46241</v>
      </c>
      <c r="F1782" s="71">
        <f t="shared" ref="F1782:F1783" si="1070">$L$7-E1782</f>
        <v>20</v>
      </c>
      <c r="G1782" s="12">
        <v>0</v>
      </c>
      <c r="H1782" s="58"/>
      <c r="I1782" s="11"/>
      <c r="J1782" s="1388"/>
      <c r="K1782" s="64">
        <f>IFERROR(SUMIF(INTAKE!$A:$A,$T1782,INTAKE!$P:$P),0)</f>
        <v>0</v>
      </c>
      <c r="L1782" s="1703">
        <f t="shared" si="1069"/>
        <v>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71">$Q$1788&amp;C1782&amp;E1782</f>
        <v>Premix 66VX1.146241</v>
      </c>
      <c r="U1782" s="787"/>
      <c r="V1782" s="787"/>
      <c r="W1782" s="785">
        <f>IFERROR(VLOOKUP($Q1782,'391'!$S:$AG,15,0),0)</f>
        <v>0</v>
      </c>
      <c r="X1782" s="1090">
        <f t="shared" si="1053"/>
        <v>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05"/>
      <c r="B1783" s="507" t="s">
        <v>2205</v>
      </c>
      <c r="C1783" s="240" t="s">
        <v>243</v>
      </c>
      <c r="D1783" s="866" t="s">
        <v>10</v>
      </c>
      <c r="E1783" s="1121">
        <v>46247</v>
      </c>
      <c r="F1783" s="71">
        <f t="shared" si="1070"/>
        <v>14</v>
      </c>
      <c r="G1783" s="12">
        <v>300</v>
      </c>
      <c r="H1783" s="58"/>
      <c r="I1783" s="11"/>
      <c r="J1783" s="1388"/>
      <c r="K1783" s="64">
        <f>IFERROR(SUMIF(INTAKE!$A:$A,$T1783,INTAKE!$P:$P),0)</f>
        <v>120</v>
      </c>
      <c r="L1783" s="1703">
        <f t="shared" si="1069"/>
        <v>180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1"/>
        <v>Premix 66VX1.146247</v>
      </c>
      <c r="U1783" s="787"/>
      <c r="V1783" s="787"/>
      <c r="W1783" s="785">
        <f>IFERROR(VLOOKUP($Q1783,'391'!$S:$AG,15,0),0)</f>
        <v>0</v>
      </c>
      <c r="X1783" s="1090">
        <f t="shared" si="1053"/>
        <v>300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 x14ac:dyDescent="0.25">
      <c r="A1784" s="2005"/>
      <c r="B1784" s="507" t="s">
        <v>2234</v>
      </c>
      <c r="C1784" s="240" t="s">
        <v>243</v>
      </c>
      <c r="D1784" s="866" t="s">
        <v>10</v>
      </c>
      <c r="E1784" s="1121">
        <v>46254</v>
      </c>
      <c r="F1784" s="71">
        <f t="shared" ref="F1784" si="1072">$L$7-E1784</f>
        <v>7</v>
      </c>
      <c r="G1784" s="12">
        <v>360</v>
      </c>
      <c r="H1784" s="58"/>
      <c r="I1784" s="11"/>
      <c r="J1784" s="1388"/>
      <c r="K1784" s="64">
        <f>IFERROR(SUMIF(INTAKE!$A:$A,$T1784,INTAKE!$P:$P),0)</f>
        <v>0</v>
      </c>
      <c r="L1784" s="1703">
        <f t="shared" si="1069"/>
        <v>360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1"/>
        <v>Premix 66VX1.146254</v>
      </c>
      <c r="U1784" s="787"/>
      <c r="V1784" s="787"/>
      <c r="W1784" s="785">
        <f>IFERROR(VLOOKUP($Q1784,'391'!$S:$AG,15,0),0)</f>
        <v>0</v>
      </c>
      <c r="X1784" s="1090">
        <f t="shared" si="1053"/>
        <v>360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05"/>
      <c r="B1785" s="507" t="s">
        <v>2205</v>
      </c>
      <c r="C1785" s="240"/>
      <c r="D1785" s="866" t="s">
        <v>10</v>
      </c>
      <c r="E1785" s="1121">
        <v>46247</v>
      </c>
      <c r="F1785" s="71">
        <f t="shared" ref="F1785" si="1073">$L$7-E1785</f>
        <v>14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3">
        <f t="shared" si="1069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71"/>
        <v>Premix 66V46247</v>
      </c>
      <c r="U1785" s="787"/>
      <c r="V1785" s="787"/>
      <c r="W1785" s="785">
        <f>IFERROR(VLOOKUP($Q1785,'391'!$S:$AG,15,0),0)</f>
        <v>0</v>
      </c>
      <c r="X1785" s="1090">
        <f t="shared" si="1053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 x14ac:dyDescent="0.25">
      <c r="A1786" s="2005"/>
      <c r="B1786" s="507" t="s">
        <v>1562</v>
      </c>
      <c r="C1786" s="240"/>
      <c r="D1786" s="866" t="s">
        <v>10</v>
      </c>
      <c r="E1786" s="1121">
        <v>45716</v>
      </c>
      <c r="F1786" s="71">
        <f t="shared" ref="F1786:F1787" si="1074">$L$7-E1786</f>
        <v>545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4">
        <f t="shared" si="1069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71"/>
        <v>Premix 66V45716</v>
      </c>
      <c r="U1786" s="787"/>
      <c r="V1786" s="787"/>
      <c r="W1786" s="785">
        <f>IFERROR(VLOOKUP($Q1786,'391'!$S:$AG,15,0),0)</f>
        <v>0</v>
      </c>
      <c r="X1786" s="1090">
        <f t="shared" si="1053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 x14ac:dyDescent="0.25">
      <c r="A1787" s="2014"/>
      <c r="B1787" s="1020" t="s">
        <v>2205</v>
      </c>
      <c r="C1787" s="123" t="s">
        <v>46</v>
      </c>
      <c r="D1787" s="884" t="s">
        <v>10</v>
      </c>
      <c r="E1787" s="1114">
        <v>46247</v>
      </c>
      <c r="F1787" s="71">
        <f t="shared" si="1074"/>
        <v>14</v>
      </c>
      <c r="G1787" s="56">
        <v>116.29999999999994</v>
      </c>
      <c r="H1787" s="37"/>
      <c r="I1787" s="37">
        <f>+SUM(K1782:K1786)</f>
        <v>120</v>
      </c>
      <c r="J1787" s="1385">
        <f>+usage!I238</f>
        <v>108.11</v>
      </c>
      <c r="K1787" s="64">
        <f>IFERROR(SUMIF(INTAKE!$A:$A,$T1787,INTAKE!$P:$P),0)</f>
        <v>0</v>
      </c>
      <c r="L1787" s="1534">
        <f t="shared" si="1069"/>
        <v>128.18999999999994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71"/>
        <v>Premix 66VFeedmill46247</v>
      </c>
      <c r="U1787" s="787"/>
      <c r="V1787" s="787"/>
      <c r="W1787" s="785">
        <f>IFERROR(VLOOKUP($Q1787,'391'!$S:$AG,15,0),0)</f>
        <v>0</v>
      </c>
      <c r="X1787" s="1090">
        <f t="shared" si="1053"/>
        <v>116.29999999999994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 x14ac:dyDescent="0.25">
      <c r="A1788" s="2006" t="s">
        <v>28</v>
      </c>
      <c r="B1788" s="2007"/>
      <c r="C1788" s="854"/>
      <c r="D1788" s="2091"/>
      <c r="E1788" s="2092"/>
      <c r="F1788" s="1032"/>
      <c r="G1788" s="1328">
        <v>776.3</v>
      </c>
      <c r="H1788" s="1328">
        <f t="shared" ref="H1788:I1788" si="1075">SUM(H1782:H1787)</f>
        <v>0</v>
      </c>
      <c r="I1788" s="1328">
        <f t="shared" si="1075"/>
        <v>120</v>
      </c>
      <c r="J1788" s="1328">
        <f t="shared" ref="J1788:L1788" si="1076">SUM(J1782:J1787)</f>
        <v>108.11</v>
      </c>
      <c r="K1788" s="1328">
        <f t="shared" si="1076"/>
        <v>120</v>
      </c>
      <c r="L1788" s="1328">
        <f t="shared" si="1076"/>
        <v>668.18999999999994</v>
      </c>
      <c r="M1788" s="889">
        <f>IFERROR(R1788/$S$2,"")</f>
        <v>75.923333333333332</v>
      </c>
      <c r="N1788" s="366">
        <f>(L1788/M1788)</f>
        <v>8.8008517364007552</v>
      </c>
      <c r="O1788" s="889">
        <f>IFERROR(SUMIF(ETM!$A:$A,$Q1788,ETM!$E:$E),"")</f>
        <v>60.5</v>
      </c>
      <c r="P1788" s="880">
        <f>IFERROR(L1788/O1788,0)</f>
        <v>11.044462809917354</v>
      </c>
      <c r="Q1788" s="814" t="s">
        <v>649</v>
      </c>
      <c r="R1788" s="785">
        <f>IFERROR(VLOOKUP($Q1788,'391'!$S:$Z,8,0),"")</f>
        <v>455.54</v>
      </c>
      <c r="S1788" s="786"/>
      <c r="T1788" s="787"/>
      <c r="U1788" s="787"/>
      <c r="V1788" s="787"/>
      <c r="W1788" s="785">
        <f>IFERROR(VLOOKUP($Q1788,'391'!$S:$AG,15,0),0)</f>
        <v>884.75</v>
      </c>
      <c r="X1788" s="1090">
        <f t="shared" si="1053"/>
        <v>-108.45000000000005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 x14ac:dyDescent="0.25">
      <c r="A1789" s="2008">
        <f>IF(L1795=0,"",MAX($A$16:A1788)+1)</f>
        <v>124</v>
      </c>
      <c r="B1789" s="391" t="s">
        <v>1214</v>
      </c>
      <c r="C1789" s="249"/>
      <c r="D1789" s="866" t="s">
        <v>10</v>
      </c>
      <c r="E1789" s="1126">
        <v>44847</v>
      </c>
      <c r="F1789" s="71">
        <f t="shared" ref="F1789:F1794" si="1077">$L$7-E1789</f>
        <v>1414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4">
        <f t="shared" ref="L1789:L1794" si="1078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079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53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09"/>
      <c r="B1790" s="391" t="s">
        <v>2135</v>
      </c>
      <c r="C1790" s="249"/>
      <c r="D1790" s="866" t="s">
        <v>10</v>
      </c>
      <c r="E1790" s="1126">
        <v>46233</v>
      </c>
      <c r="F1790" s="71">
        <f t="shared" ref="F1790" si="1080">$L$7-E1790</f>
        <v>28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3">
        <f t="shared" si="1078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079"/>
        <v>Premix 67V46233</v>
      </c>
      <c r="U1790" s="787"/>
      <c r="V1790" s="787"/>
      <c r="W1790" s="785">
        <f>IFERROR(VLOOKUP($Q1790,'391'!$S:$AG,15,0),0)</f>
        <v>0</v>
      </c>
      <c r="X1790" s="1090">
        <f t="shared" si="1053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09"/>
      <c r="B1791" s="391" t="s">
        <v>2165</v>
      </c>
      <c r="C1791" s="249"/>
      <c r="D1791" s="866" t="s">
        <v>10</v>
      </c>
      <c r="E1791" s="1126">
        <v>46241</v>
      </c>
      <c r="F1791" s="71">
        <f t="shared" si="1077"/>
        <v>20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703">
        <f t="shared" si="1078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79"/>
        <v>Premix 67V46241</v>
      </c>
      <c r="U1791" s="787"/>
      <c r="V1791" s="787"/>
      <c r="W1791" s="785">
        <f>IFERROR(VLOOKUP($Q1791,'391'!$S:$AG,15,0),0)</f>
        <v>0</v>
      </c>
      <c r="X1791" s="1090">
        <f t="shared" si="1053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hidden="1" customHeight="1" x14ac:dyDescent="0.25">
      <c r="A1792" s="2009"/>
      <c r="B1792" s="391" t="s">
        <v>1806</v>
      </c>
      <c r="C1792" s="249"/>
      <c r="D1792" s="866" t="s">
        <v>10</v>
      </c>
      <c r="E1792" s="1126">
        <v>46122</v>
      </c>
      <c r="F1792" s="71">
        <f t="shared" ref="F1792" si="1081">$L$7-E1792</f>
        <v>139</v>
      </c>
      <c r="G1792" s="1435">
        <v>0</v>
      </c>
      <c r="H1792" s="63"/>
      <c r="I1792" s="63"/>
      <c r="J1792" s="1378"/>
      <c r="K1792" s="64">
        <f>IFERROR(SUMIF(INTAKE!$A:$A,$T1792,INTAKE!$P:$P),0)</f>
        <v>0</v>
      </c>
      <c r="L1792" s="1703">
        <f t="shared" si="1078"/>
        <v>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79"/>
        <v>Premix 67V46122</v>
      </c>
      <c r="U1792" s="787"/>
      <c r="V1792" s="787"/>
      <c r="W1792" s="785">
        <f>IFERROR(VLOOKUP($Q1792,'391'!$S:$AG,15,0),0)</f>
        <v>0</v>
      </c>
      <c r="X1792" s="1090">
        <f t="shared" si="1053"/>
        <v>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 x14ac:dyDescent="0.25">
      <c r="A1793" s="2009"/>
      <c r="B1793" s="391" t="s">
        <v>1529</v>
      </c>
      <c r="C1793" s="249"/>
      <c r="D1793" s="866" t="s">
        <v>10</v>
      </c>
      <c r="E1793" s="1126">
        <v>45626</v>
      </c>
      <c r="F1793" s="71">
        <f t="shared" si="1077"/>
        <v>635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4">
        <f t="shared" si="1078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079"/>
        <v>Premix 67V45626</v>
      </c>
      <c r="U1793" s="787"/>
      <c r="V1793" s="787"/>
      <c r="W1793" s="785">
        <f>IFERROR(VLOOKUP($Q1793,'391'!$S:$AG,15,0),0)</f>
        <v>0</v>
      </c>
      <c r="X1793" s="1090">
        <f t="shared" si="1053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 x14ac:dyDescent="0.25">
      <c r="A1794" s="2009"/>
      <c r="B1794" s="1021" t="s">
        <v>2165</v>
      </c>
      <c r="C1794" s="848" t="s">
        <v>46</v>
      </c>
      <c r="D1794" s="884" t="s">
        <v>10</v>
      </c>
      <c r="E1794" s="1123">
        <v>46241</v>
      </c>
      <c r="F1794" s="71">
        <f t="shared" si="1077"/>
        <v>20</v>
      </c>
      <c r="G1794" s="1324">
        <v>62.07</v>
      </c>
      <c r="H1794" s="56"/>
      <c r="I1794" s="56">
        <f>+SUM(K1789:K1793)</f>
        <v>0</v>
      </c>
      <c r="J1794" s="1369">
        <f>+usage!I241</f>
        <v>0</v>
      </c>
      <c r="K1794" s="64">
        <f>IFERROR(SUMIF(INTAKE!$A:$A,$T1794,INTAKE!$P:$P),0)</f>
        <v>0</v>
      </c>
      <c r="L1794" s="1534">
        <f t="shared" si="1078"/>
        <v>62.07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079"/>
        <v>Premix 67VFeedmill46241</v>
      </c>
      <c r="U1794" s="787"/>
      <c r="V1794" s="787"/>
      <c r="W1794" s="785">
        <f>IFERROR(VLOOKUP($Q1794,'391'!$S:$AG,15,0),0)</f>
        <v>0</v>
      </c>
      <c r="X1794" s="1090">
        <f t="shared" si="1053"/>
        <v>62.07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 x14ac:dyDescent="0.25">
      <c r="A1795" s="2006" t="s">
        <v>58</v>
      </c>
      <c r="B1795" s="2007"/>
      <c r="C1795" s="125"/>
      <c r="D1795" s="1027"/>
      <c r="E1795" s="1131"/>
      <c r="F1795" s="896"/>
      <c r="G1795" s="1422">
        <v>62.07</v>
      </c>
      <c r="H1795" s="1422">
        <f t="shared" ref="H1795:I1795" si="1082">SUM(H1789:H1794)</f>
        <v>0</v>
      </c>
      <c r="I1795" s="1422">
        <f t="shared" si="1082"/>
        <v>0</v>
      </c>
      <c r="J1795" s="1422">
        <f t="shared" ref="J1795:L1795" si="1083">SUM(J1789:J1794)</f>
        <v>0</v>
      </c>
      <c r="K1795" s="1422">
        <f t="shared" si="1083"/>
        <v>0</v>
      </c>
      <c r="L1795" s="1422">
        <f t="shared" si="1083"/>
        <v>62.07</v>
      </c>
      <c r="M1795" s="889">
        <f>IFERROR(R1795/$S$2,"")</f>
        <v>0</v>
      </c>
      <c r="N1795" s="366">
        <f>IFERROR(L1795/M1795,0)</f>
        <v>0</v>
      </c>
      <c r="O1795" s="889">
        <f>IFERROR(SUMIF(ETM!$A:$A,$Q1795,ETM!$E:$E),"")</f>
        <v>6.666666666666667</v>
      </c>
      <c r="P1795" s="880">
        <f>IFERROR(L1795/O1795,0)</f>
        <v>9.3104999999999993</v>
      </c>
      <c r="Q1795" s="814" t="s">
        <v>651</v>
      </c>
      <c r="R1795" s="785">
        <f>IFERROR(VLOOKUP($Q1795,'391'!$S:$Z,8,0),"")</f>
        <v>0</v>
      </c>
      <c r="S1795" s="786"/>
      <c r="T1795" s="787"/>
      <c r="U1795" s="787"/>
      <c r="V1795" s="787"/>
      <c r="W1795" s="785">
        <f>IFERROR(VLOOKUP($Q1795,'391'!$S:$AG,15,0),0)</f>
        <v>95.75</v>
      </c>
      <c r="X1795" s="1090">
        <f t="shared" si="1053"/>
        <v>-33.68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 x14ac:dyDescent="0.25">
      <c r="A1796" s="2004">
        <f>IF(L1805=0,"",MAX($A$16:A1795)+1)</f>
        <v>125</v>
      </c>
      <c r="B1796" s="390" t="s">
        <v>2203</v>
      </c>
      <c r="C1796" s="246" t="s">
        <v>258</v>
      </c>
      <c r="D1796" s="866" t="s">
        <v>10</v>
      </c>
      <c r="E1796" s="1122">
        <v>46247</v>
      </c>
      <c r="F1796" s="71">
        <f t="shared" ref="F1796:F1797" si="1084">$L$7-E1796</f>
        <v>14</v>
      </c>
      <c r="G1796" s="12">
        <v>1050</v>
      </c>
      <c r="H1796" s="12"/>
      <c r="I1796" s="12"/>
      <c r="J1796" s="1368"/>
      <c r="K1796" s="64">
        <f>IFERROR(SUMIF(INTAKE!$A:$A,$T1796,INTAKE!$P:$P),0)</f>
        <v>0</v>
      </c>
      <c r="L1796" s="1703">
        <f t="shared" ref="L1796:L1804" si="1085">+G1796+H1796+I1796-J1796-K1796</f>
        <v>1050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086">$Q$1805&amp;C1796&amp;E1796</f>
        <v>Premix 52SVY4.346247</v>
      </c>
      <c r="U1796" s="787"/>
      <c r="V1796" s="787"/>
      <c r="W1796" s="785">
        <f>IFERROR(VLOOKUP($Q1796,'391'!$S:$AG,15,0),0)</f>
        <v>0</v>
      </c>
      <c r="X1796" s="1090">
        <f t="shared" si="1053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05"/>
      <c r="B1797" s="390" t="s">
        <v>2231</v>
      </c>
      <c r="C1797" s="246" t="s">
        <v>142</v>
      </c>
      <c r="D1797" s="866" t="s">
        <v>10</v>
      </c>
      <c r="E1797" s="1122">
        <v>46254</v>
      </c>
      <c r="F1797" s="71">
        <f t="shared" si="1084"/>
        <v>7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3">
        <f t="shared" si="1085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86"/>
        <v>Premix 52SVY7.346254</v>
      </c>
      <c r="U1797" s="787"/>
      <c r="V1797" s="787"/>
      <c r="W1797" s="785">
        <f>IFERROR(VLOOKUP($Q1797,'391'!$S:$AG,15,0),0)</f>
        <v>0</v>
      </c>
      <c r="X1797" s="1090">
        <f t="shared" si="1053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hidden="1" customHeight="1" x14ac:dyDescent="0.25">
      <c r="A1798" s="2005"/>
      <c r="B1798" s="390" t="s">
        <v>2203</v>
      </c>
      <c r="C1798" s="246"/>
      <c r="D1798" s="866" t="s">
        <v>10</v>
      </c>
      <c r="E1798" s="1122">
        <v>46247</v>
      </c>
      <c r="F1798" s="71">
        <f t="shared" ref="F1796:F1798" si="1087">$L$7-E1798</f>
        <v>14</v>
      </c>
      <c r="G1798" s="12"/>
      <c r="H1798" s="12"/>
      <c r="I1798" s="12"/>
      <c r="J1798" s="1368"/>
      <c r="K1798" s="64">
        <f>IFERROR(SUMIF(INTAKE!$A:$A,$T1798,INTAKE!$P:$P),0)</f>
        <v>0</v>
      </c>
      <c r="L1798" s="1703">
        <f t="shared" si="1085"/>
        <v>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86"/>
        <v>Premix 52SV46247</v>
      </c>
      <c r="U1798" s="787"/>
      <c r="V1798" s="787"/>
      <c r="W1798" s="785">
        <f>IFERROR(VLOOKUP($Q1798,'391'!$S:$AG,15,0),0)</f>
        <v>0</v>
      </c>
      <c r="X1798" s="1090">
        <f t="shared" si="1053"/>
        <v>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hidden="1" customHeight="1" x14ac:dyDescent="0.25">
      <c r="A1799" s="2005"/>
      <c r="B1799" s="390" t="s">
        <v>2231</v>
      </c>
      <c r="C1799" s="246"/>
      <c r="D1799" s="866" t="s">
        <v>10</v>
      </c>
      <c r="E1799" s="1122">
        <v>46254</v>
      </c>
      <c r="F1799" s="71">
        <f t="shared" ref="F1799" si="1088">$L$7-E1799</f>
        <v>7</v>
      </c>
      <c r="G1799" s="12"/>
      <c r="H1799" s="12"/>
      <c r="I1799" s="12"/>
      <c r="J1799" s="1368"/>
      <c r="K1799" s="64">
        <f>IFERROR(SUMIF(INTAKE!$A:$A,$T1799,INTAKE!$P:$P),0)</f>
        <v>0</v>
      </c>
      <c r="L1799" s="1703">
        <f t="shared" si="1085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86"/>
        <v>Premix 52SV46254</v>
      </c>
      <c r="U1799" s="787"/>
      <c r="V1799" s="787"/>
      <c r="W1799" s="785">
        <f>IFERROR(VLOOKUP($Q1799,'391'!$S:$AG,15,0),0)</f>
        <v>0</v>
      </c>
      <c r="X1799" s="1090">
        <f t="shared" ref="X1799:X1863" si="1089">G1799-W1799</f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5"/>
      <c r="B1800" s="390" t="s">
        <v>2117</v>
      </c>
      <c r="C1800" s="246"/>
      <c r="D1800" s="866" t="s">
        <v>10</v>
      </c>
      <c r="E1800" s="1122">
        <v>46227</v>
      </c>
      <c r="F1800" s="71">
        <f t="shared" ref="F1800" si="1090">$L$7-E1800</f>
        <v>34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3">
        <f t="shared" si="1085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86"/>
        <v>Premix 52SV46227</v>
      </c>
      <c r="U1800" s="787"/>
      <c r="V1800" s="787"/>
      <c r="W1800" s="785">
        <f>IFERROR(VLOOKUP($Q1800,'391'!$S:$AG,15,0),0)</f>
        <v>0</v>
      </c>
      <c r="X1800" s="1090">
        <f t="shared" si="1089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5"/>
      <c r="B1801" s="390" t="s">
        <v>2117</v>
      </c>
      <c r="C1801" s="246"/>
      <c r="D1801" s="866" t="s">
        <v>10</v>
      </c>
      <c r="E1801" s="1122">
        <v>46227</v>
      </c>
      <c r="F1801" s="71">
        <f t="shared" ref="F1801" si="1091">$L$7-E1801</f>
        <v>34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3">
        <f t="shared" si="1085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86"/>
        <v>Premix 52SV46227</v>
      </c>
      <c r="U1801" s="787"/>
      <c r="V1801" s="787"/>
      <c r="W1801" s="785">
        <f>IFERROR(VLOOKUP($Q1801,'391'!$S:$AG,15,0),0)</f>
        <v>0</v>
      </c>
      <c r="X1801" s="1090">
        <f t="shared" si="1089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5"/>
      <c r="B1802" s="390" t="s">
        <v>1817</v>
      </c>
      <c r="C1802" s="246"/>
      <c r="D1802" s="866" t="s">
        <v>10</v>
      </c>
      <c r="E1802" s="1122">
        <v>46135</v>
      </c>
      <c r="F1802" s="71">
        <f t="shared" ref="F1802" si="1092">$L$7-E1802</f>
        <v>126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3">
        <f t="shared" si="1085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86"/>
        <v>Premix 52SV46135</v>
      </c>
      <c r="U1802" s="787"/>
      <c r="V1802" s="787"/>
      <c r="W1802" s="785">
        <f>IFERROR(VLOOKUP($Q1802,'391'!$S:$AG,15,0),0)</f>
        <v>0</v>
      </c>
      <c r="X1802" s="1090">
        <f t="shared" si="1089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05"/>
      <c r="B1803" s="390" t="s">
        <v>1545</v>
      </c>
      <c r="C1803" s="246"/>
      <c r="D1803" s="866" t="s">
        <v>10</v>
      </c>
      <c r="E1803" s="1122">
        <v>45695</v>
      </c>
      <c r="F1803" s="71">
        <f t="shared" ref="F1803:F1804" si="1093">$L$7-E1803</f>
        <v>566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4">
        <f t="shared" si="1085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086"/>
        <v>Premix 52SV45695</v>
      </c>
      <c r="U1803" s="787"/>
      <c r="V1803" s="787"/>
      <c r="W1803" s="785">
        <f>IFERROR(VLOOKUP($Q1803,'391'!$S:$AG,15,0),0)</f>
        <v>0</v>
      </c>
      <c r="X1803" s="1090">
        <f t="shared" si="1089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 x14ac:dyDescent="0.25">
      <c r="A1804" s="2005"/>
      <c r="B1804" s="1020" t="s">
        <v>2161</v>
      </c>
      <c r="C1804" s="123" t="s">
        <v>46</v>
      </c>
      <c r="D1804" s="884" t="s">
        <v>10</v>
      </c>
      <c r="E1804" s="1132">
        <v>46241</v>
      </c>
      <c r="F1804" s="71">
        <f t="shared" si="1093"/>
        <v>20</v>
      </c>
      <c r="G1804" s="56">
        <v>846.42000000000007</v>
      </c>
      <c r="H1804" s="12"/>
      <c r="I1804" s="56">
        <f>+SUM(K1796:K1800)</f>
        <v>0</v>
      </c>
      <c r="J1804" s="1365">
        <f>+usage!I236</f>
        <v>341.58</v>
      </c>
      <c r="K1804" s="64">
        <f>IFERROR(SUMIF(INTAKE!$A:$A,$T1804,INTAKE!$P:$P),0)</f>
        <v>0</v>
      </c>
      <c r="L1804" s="1534">
        <f t="shared" si="1085"/>
        <v>504.84000000000009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086"/>
        <v>Premix 52SVFeedmill46241</v>
      </c>
      <c r="U1804" s="787"/>
      <c r="V1804" s="787"/>
      <c r="W1804" s="785">
        <f>IFERROR(VLOOKUP($Q1804,'391'!$S:$AG,15,0),0)</f>
        <v>0</v>
      </c>
      <c r="X1804" s="1090">
        <f t="shared" si="1089"/>
        <v>846.42000000000007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 x14ac:dyDescent="0.25">
      <c r="A1805" s="2006" t="s">
        <v>25</v>
      </c>
      <c r="B1805" s="2007"/>
      <c r="C1805" s="125"/>
      <c r="D1805" s="1027"/>
      <c r="E1805" s="1131"/>
      <c r="F1805" s="896"/>
      <c r="G1805" s="1422">
        <v>2946.42</v>
      </c>
      <c r="H1805" s="1422">
        <f t="shared" ref="H1805:I1805" si="1094">SUM(H1796:H1804)</f>
        <v>0</v>
      </c>
      <c r="I1805" s="1422">
        <f t="shared" si="1094"/>
        <v>0</v>
      </c>
      <c r="J1805" s="1422">
        <f t="shared" ref="J1805:L1805" si="1095">SUM(J1796:J1804)</f>
        <v>341.58</v>
      </c>
      <c r="K1805" s="1422">
        <f t="shared" si="1095"/>
        <v>0</v>
      </c>
      <c r="L1805" s="1422">
        <f t="shared" si="1095"/>
        <v>2604.84</v>
      </c>
      <c r="M1805" s="889">
        <f>IFERROR(R1805/$S$2,"")</f>
        <v>253.99333333333334</v>
      </c>
      <c r="N1805" s="366">
        <f>(L1805/M1805)</f>
        <v>10.255544764954461</v>
      </c>
      <c r="O1805" s="889">
        <f>IFERROR(SUMIF(ETM!$A:$A,$Q1805,ETM!$E:$E),"")</f>
        <v>302</v>
      </c>
      <c r="P1805" s="855">
        <f>IFERROR(L1805/O1805,0)</f>
        <v>8.6252980132450343</v>
      </c>
      <c r="Q1805" s="814" t="s">
        <v>645</v>
      </c>
      <c r="R1805" s="785">
        <f>IFERROR(VLOOKUP($Q1805,'391'!$S:$Z,8,0),"")</f>
        <v>1523.96</v>
      </c>
      <c r="S1805" s="786"/>
      <c r="T1805" s="787"/>
      <c r="U1805" s="787"/>
      <c r="V1805" s="787"/>
      <c r="W1805" s="785">
        <f>IFERROR(VLOOKUP($Q1805,'391'!$S:$AG,15,0),0)</f>
        <v>3612.96</v>
      </c>
      <c r="X1805" s="1090">
        <f t="shared" si="1089"/>
        <v>-666.54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 x14ac:dyDescent="0.25">
      <c r="A1806" s="2013" t="str">
        <f>IF(L1815=0,"",MAX($A$16:A1805)+1)</f>
        <v/>
      </c>
      <c r="B1806" s="2015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096">$L$7-E1806</f>
        <v>1840</v>
      </c>
      <c r="G1806" s="1433">
        <v>0</v>
      </c>
      <c r="H1806" s="12"/>
      <c r="I1806" s="12"/>
      <c r="J1806" s="1368"/>
      <c r="K1806" s="1422"/>
      <c r="L1806" s="1534">
        <f t="shared" ref="L1806:L1822" si="1097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89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5"/>
      <c r="B1807" s="2016"/>
      <c r="C1807" s="249" t="s">
        <v>244</v>
      </c>
      <c r="D1807" s="866" t="s">
        <v>10</v>
      </c>
      <c r="E1807" s="1122">
        <v>44421</v>
      </c>
      <c r="F1807" s="71">
        <f t="shared" si="1096"/>
        <v>1840</v>
      </c>
      <c r="G1807" s="1433">
        <v>0</v>
      </c>
      <c r="H1807" s="12"/>
      <c r="I1807" s="12"/>
      <c r="J1807" s="1368"/>
      <c r="K1807" s="1422"/>
      <c r="L1807" s="1534">
        <f t="shared" si="1097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89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5"/>
      <c r="B1808" s="2016"/>
      <c r="C1808" s="249" t="s">
        <v>148</v>
      </c>
      <c r="D1808" s="866" t="s">
        <v>10</v>
      </c>
      <c r="E1808" s="1122">
        <v>44421</v>
      </c>
      <c r="F1808" s="71">
        <f t="shared" si="1096"/>
        <v>1840</v>
      </c>
      <c r="G1808" s="1433">
        <v>0</v>
      </c>
      <c r="H1808" s="12"/>
      <c r="I1808" s="12"/>
      <c r="J1808" s="1368"/>
      <c r="K1808" s="1422"/>
      <c r="L1808" s="1534">
        <f t="shared" si="1097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89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5"/>
      <c r="B1809" s="2016"/>
      <c r="C1809" s="249" t="s">
        <v>148</v>
      </c>
      <c r="D1809" s="866" t="s">
        <v>10</v>
      </c>
      <c r="E1809" s="1122">
        <v>44421</v>
      </c>
      <c r="F1809" s="71">
        <f t="shared" si="1096"/>
        <v>1840</v>
      </c>
      <c r="G1809" s="1433">
        <v>0</v>
      </c>
      <c r="H1809" s="12"/>
      <c r="I1809" s="12"/>
      <c r="J1809" s="1368"/>
      <c r="K1809" s="1422"/>
      <c r="L1809" s="1534">
        <f t="shared" si="1097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89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5"/>
      <c r="B1810" s="2016"/>
      <c r="C1810" s="249" t="s">
        <v>244</v>
      </c>
      <c r="D1810" s="866" t="s">
        <v>10</v>
      </c>
      <c r="E1810" s="1122">
        <v>44421</v>
      </c>
      <c r="F1810" s="71">
        <f t="shared" si="1096"/>
        <v>1840</v>
      </c>
      <c r="G1810" s="1433">
        <v>0</v>
      </c>
      <c r="H1810" s="12"/>
      <c r="I1810" s="12"/>
      <c r="J1810" s="1368"/>
      <c r="K1810" s="1422"/>
      <c r="L1810" s="1534">
        <f t="shared" si="1097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89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5"/>
      <c r="B1811" s="2016"/>
      <c r="C1811" s="249" t="s">
        <v>244</v>
      </c>
      <c r="D1811" s="866" t="s">
        <v>10</v>
      </c>
      <c r="E1811" s="1122">
        <v>44421</v>
      </c>
      <c r="F1811" s="71">
        <f t="shared" si="1096"/>
        <v>1840</v>
      </c>
      <c r="G1811" s="1433">
        <v>0</v>
      </c>
      <c r="H1811" s="12"/>
      <c r="I1811" s="12"/>
      <c r="J1811" s="1397"/>
      <c r="K1811" s="1422"/>
      <c r="L1811" s="1534">
        <f t="shared" si="1097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89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5"/>
      <c r="B1812" s="2016"/>
      <c r="C1812" s="249" t="s">
        <v>244</v>
      </c>
      <c r="D1812" s="866" t="s">
        <v>10</v>
      </c>
      <c r="E1812" s="1122">
        <v>44421</v>
      </c>
      <c r="F1812" s="71">
        <f t="shared" si="1096"/>
        <v>1840</v>
      </c>
      <c r="G1812" s="1441">
        <v>0</v>
      </c>
      <c r="H1812" s="12"/>
      <c r="I1812" s="958"/>
      <c r="J1812" s="1397"/>
      <c r="K1812" s="1422"/>
      <c r="L1812" s="1534">
        <f t="shared" si="1097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89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05"/>
      <c r="B1813" s="2016"/>
      <c r="C1813" s="149" t="s">
        <v>46</v>
      </c>
      <c r="D1813" s="866" t="s">
        <v>10</v>
      </c>
      <c r="E1813" s="1122">
        <v>44421</v>
      </c>
      <c r="F1813" s="71">
        <f t="shared" si="1096"/>
        <v>1840</v>
      </c>
      <c r="G1813" s="1441">
        <v>0</v>
      </c>
      <c r="H1813" s="12"/>
      <c r="I1813" s="958"/>
      <c r="J1813" s="1397"/>
      <c r="K1813" s="1422"/>
      <c r="L1813" s="1534">
        <f t="shared" si="1097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89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14"/>
      <c r="B1814" s="2017"/>
      <c r="C1814" s="144" t="s">
        <v>46</v>
      </c>
      <c r="D1814" s="1112" t="s">
        <v>10</v>
      </c>
      <c r="E1814" s="1122">
        <v>44421</v>
      </c>
      <c r="F1814" s="71">
        <f t="shared" si="1096"/>
        <v>1840</v>
      </c>
      <c r="G1814" s="37">
        <v>0</v>
      </c>
      <c r="H1814" s="1415"/>
      <c r="I1814" s="1308"/>
      <c r="J1814" s="1417"/>
      <c r="K1814" s="1422"/>
      <c r="L1814" s="1534">
        <f t="shared" si="1097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089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 x14ac:dyDescent="0.25">
      <c r="A1815" s="2006" t="s">
        <v>153</v>
      </c>
      <c r="B1815" s="2007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4">
        <f t="shared" si="1097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089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 x14ac:dyDescent="0.25">
      <c r="A1816" s="2004">
        <f>IF(L1824=0,"",MAX($A$16:A1815)+1)</f>
        <v>126</v>
      </c>
      <c r="B1816" s="390" t="s">
        <v>1256</v>
      </c>
      <c r="C1816" s="186"/>
      <c r="D1816" s="866" t="s">
        <v>10</v>
      </c>
      <c r="E1816" s="1124">
        <v>44960</v>
      </c>
      <c r="F1816" s="71">
        <f t="shared" ref="F1816:F1823" si="1098">$L$7-E1816</f>
        <v>1301</v>
      </c>
      <c r="G1816" s="12">
        <v>0</v>
      </c>
      <c r="H1816" s="12"/>
      <c r="I1816" s="12"/>
      <c r="J1816" s="1368"/>
      <c r="K1816" s="1422"/>
      <c r="L1816" s="1534">
        <f t="shared" si="1097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099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089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05"/>
      <c r="B1817" s="390" t="s">
        <v>1339</v>
      </c>
      <c r="C1817" s="246"/>
      <c r="D1817" s="866" t="s">
        <v>10</v>
      </c>
      <c r="E1817" s="1124">
        <v>45169</v>
      </c>
      <c r="F1817" s="71">
        <f t="shared" si="1098"/>
        <v>1092</v>
      </c>
      <c r="G1817" s="12">
        <v>0</v>
      </c>
      <c r="H1817" s="12"/>
      <c r="I1817" s="12"/>
      <c r="J1817" s="1368"/>
      <c r="K1817" s="1422"/>
      <c r="L1817" s="1534">
        <f t="shared" si="1097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099"/>
        <v>Premix 67SV45169</v>
      </c>
      <c r="U1817" s="787"/>
      <c r="V1817" s="787"/>
      <c r="W1817" s="785">
        <f>IFERROR(VLOOKUP($Q1817,'391'!$S:$AG,15,0),0)</f>
        <v>0</v>
      </c>
      <c r="X1817" s="1090">
        <f t="shared" si="1089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05"/>
      <c r="B1818" s="390" t="s">
        <v>2206</v>
      </c>
      <c r="C1818" s="186" t="s">
        <v>2156</v>
      </c>
      <c r="D1818" s="866" t="s">
        <v>10</v>
      </c>
      <c r="E1818" s="1124">
        <v>46247</v>
      </c>
      <c r="F1818" s="71">
        <f t="shared" ref="F1818" si="1100">$L$7-E1818</f>
        <v>14</v>
      </c>
      <c r="G1818" s="12">
        <v>0</v>
      </c>
      <c r="H1818" s="12"/>
      <c r="I1818" s="12"/>
      <c r="J1818" s="1368"/>
      <c r="K1818" s="64">
        <f>IFERROR(SUMIF(INTAKE!$A:$A,$T1818,INTAKE!$P:$P),0)</f>
        <v>0</v>
      </c>
      <c r="L1818" s="1703">
        <f t="shared" si="1097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099"/>
        <v>Premix 67SVY1.246247</v>
      </c>
      <c r="U1818" s="787"/>
      <c r="V1818" s="787"/>
      <c r="W1818" s="785">
        <f>IFERROR(VLOOKUP($Q1818,'391'!$S:$AG,15,0),0)</f>
        <v>0</v>
      </c>
      <c r="X1818" s="1090">
        <f t="shared" si="1089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05"/>
      <c r="B1819" s="390" t="s">
        <v>2206</v>
      </c>
      <c r="C1819" s="186"/>
      <c r="D1819" s="866" t="s">
        <v>10</v>
      </c>
      <c r="E1819" s="1124">
        <v>46247</v>
      </c>
      <c r="F1819" s="71">
        <f t="shared" si="1098"/>
        <v>14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3">
        <f t="shared" si="1097"/>
        <v>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099"/>
        <v>Premix 67SV46247</v>
      </c>
      <c r="U1819" s="787"/>
      <c r="V1819" s="787"/>
      <c r="W1819" s="785">
        <f>IFERROR(VLOOKUP($Q1819,'391'!$S:$AG,15,0),0)</f>
        <v>0</v>
      </c>
      <c r="X1819" s="1090">
        <f t="shared" si="1089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05"/>
      <c r="B1820" s="390" t="s">
        <v>2206</v>
      </c>
      <c r="C1820" s="186"/>
      <c r="D1820" s="866" t="s">
        <v>10</v>
      </c>
      <c r="E1820" s="1124">
        <v>46247</v>
      </c>
      <c r="F1820" s="71">
        <f t="shared" ref="F1820" si="1101">$L$7-E1820</f>
        <v>14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3">
        <f t="shared" si="1097"/>
        <v>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099"/>
        <v>Premix 67SV46247</v>
      </c>
      <c r="U1820" s="787"/>
      <c r="V1820" s="787"/>
      <c r="W1820" s="785">
        <f>IFERROR(VLOOKUP($Q1820,'391'!$S:$AG,15,0),0)</f>
        <v>0</v>
      </c>
      <c r="X1820" s="1090">
        <f t="shared" si="1089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5"/>
      <c r="B1821" s="390" t="s">
        <v>1833</v>
      </c>
      <c r="C1821" s="186"/>
      <c r="D1821" s="866" t="s">
        <v>10</v>
      </c>
      <c r="E1821" s="1124">
        <v>46150</v>
      </c>
      <c r="F1821" s="71">
        <f t="shared" ref="F1821" si="1102">$L$7-E1821</f>
        <v>111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3">
        <f t="shared" si="1097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099"/>
        <v>Premix 67SV46150</v>
      </c>
      <c r="U1821" s="787"/>
      <c r="V1821" s="787"/>
      <c r="W1821" s="785">
        <f>IFERROR(VLOOKUP($Q1821,'391'!$S:$AG,15,0),0)</f>
        <v>0</v>
      </c>
      <c r="X1821" s="1090">
        <f t="shared" si="1089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05"/>
      <c r="B1822" s="390" t="s">
        <v>1546</v>
      </c>
      <c r="C1822" s="186"/>
      <c r="D1822" s="866" t="s">
        <v>10</v>
      </c>
      <c r="E1822" s="1124">
        <v>45695</v>
      </c>
      <c r="F1822" s="71">
        <f t="shared" si="1098"/>
        <v>566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3">
        <f t="shared" si="1097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099"/>
        <v>Premix 67SV45695</v>
      </c>
      <c r="U1822" s="787"/>
      <c r="V1822" s="787"/>
      <c r="W1822" s="785">
        <f>IFERROR(VLOOKUP($Q1822,'391'!$S:$AG,15,0),0)</f>
        <v>0</v>
      </c>
      <c r="X1822" s="1090">
        <f t="shared" si="1089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 x14ac:dyDescent="0.25">
      <c r="A1823" s="2005"/>
      <c r="B1823" s="1016" t="s">
        <v>2206</v>
      </c>
      <c r="C1823" s="144" t="s">
        <v>46</v>
      </c>
      <c r="D1823" s="884" t="s">
        <v>10</v>
      </c>
      <c r="E1823" s="1125">
        <v>46247</v>
      </c>
      <c r="F1823" s="71">
        <f t="shared" si="1098"/>
        <v>14</v>
      </c>
      <c r="G1823" s="207">
        <v>1155.6400000000001</v>
      </c>
      <c r="H1823" s="1308"/>
      <c r="I1823" s="1308">
        <f>+SUM(K1816:K1822)</f>
        <v>0</v>
      </c>
      <c r="J1823" s="1417">
        <f>+usage!I242</f>
        <v>141.41999999999999</v>
      </c>
      <c r="K1823" s="64">
        <f>IFERROR(SUMIF(INTAKE!$A:$A,$T1823,INTAKE!$P:$P),0)</f>
        <v>0</v>
      </c>
      <c r="L1823" s="1534">
        <f>+G1823+H1823+I1823-J1823-K1823</f>
        <v>1014.2200000000001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099"/>
        <v>Premix 67SVFeedmill46247</v>
      </c>
      <c r="U1823" s="787"/>
      <c r="V1823" s="787"/>
      <c r="W1823" s="785">
        <f>IFERROR(VLOOKUP($Q1823,'391'!$S:$AG,15,0),0)</f>
        <v>0</v>
      </c>
      <c r="X1823" s="1090">
        <f t="shared" si="1089"/>
        <v>1155.6400000000001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 x14ac:dyDescent="0.25">
      <c r="A1824" s="2006" t="s">
        <v>29</v>
      </c>
      <c r="B1824" s="2007"/>
      <c r="C1824" s="125"/>
      <c r="D1824" s="1027"/>
      <c r="E1824" s="1131"/>
      <c r="F1824" s="896"/>
      <c r="G1824" s="1422">
        <v>1155.6400000000001</v>
      </c>
      <c r="H1824" s="1422">
        <f t="shared" ref="H1824:L1824" si="1103">SUM(H1816:H1823)</f>
        <v>0</v>
      </c>
      <c r="I1824" s="1422">
        <f t="shared" si="1103"/>
        <v>0</v>
      </c>
      <c r="J1824" s="1422">
        <f t="shared" si="1103"/>
        <v>141.41999999999999</v>
      </c>
      <c r="K1824" s="1422">
        <f>SUM(K1816:K1823)</f>
        <v>0</v>
      </c>
      <c r="L1824" s="1422">
        <f t="shared" si="1103"/>
        <v>1014.2200000000001</v>
      </c>
      <c r="M1824" s="889">
        <f>IFERROR(R1824/$S$2,"")</f>
        <v>110.28666666666668</v>
      </c>
      <c r="N1824" s="366">
        <f>(L1824/M1824)</f>
        <v>9.1962159221422972</v>
      </c>
      <c r="O1824" s="889">
        <f>IFERROR(SUMIF(ETM!$A:$A,$Q1824,ETM!$E:$E),"")</f>
        <v>155</v>
      </c>
      <c r="P1824" s="880">
        <f>IFERROR(L1824/O1824,0)</f>
        <v>6.5433548387096785</v>
      </c>
      <c r="Q1824" s="814" t="s">
        <v>650</v>
      </c>
      <c r="R1824" s="785">
        <f>IFERROR(VLOOKUP($Q1824,'391'!$S:$Z,8,0),"")</f>
        <v>661.72</v>
      </c>
      <c r="S1824" s="786"/>
      <c r="T1824" s="787"/>
      <c r="U1824" s="787"/>
      <c r="V1824" s="787"/>
      <c r="W1824" s="785">
        <f>IFERROR(VLOOKUP($Q1824,'391'!$S:$AG,15,0),0)</f>
        <v>1662.9</v>
      </c>
      <c r="X1824" s="1090">
        <f t="shared" si="1089"/>
        <v>-507.26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 x14ac:dyDescent="0.25">
      <c r="A1825" s="2013" t="str">
        <f>IF(L1833=0,"",MAX($A$16:A1824)+1)</f>
        <v/>
      </c>
      <c r="B1825" s="2011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04">$L$7-E1825</f>
        <v>2435</v>
      </c>
      <c r="G1825" s="12">
        <v>0</v>
      </c>
      <c r="H1825" s="12"/>
      <c r="I1825" s="12"/>
      <c r="J1825" s="1368"/>
      <c r="K1825" s="12"/>
      <c r="L1825" s="1534">
        <f t="shared" ref="L1825:L1840" si="1105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89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5"/>
      <c r="B1826" s="2012"/>
      <c r="C1826" s="246" t="s">
        <v>232</v>
      </c>
      <c r="D1826" s="866" t="s">
        <v>10</v>
      </c>
      <c r="E1826" s="1124">
        <v>43827</v>
      </c>
      <c r="F1826" s="71">
        <f t="shared" si="1104"/>
        <v>2434</v>
      </c>
      <c r="G1826" s="12">
        <v>0</v>
      </c>
      <c r="H1826" s="12"/>
      <c r="I1826" s="12"/>
      <c r="J1826" s="1368"/>
      <c r="K1826" s="12"/>
      <c r="L1826" s="1534">
        <f t="shared" si="1105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89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5"/>
      <c r="B1827" s="2012"/>
      <c r="C1827" s="246" t="s">
        <v>232</v>
      </c>
      <c r="D1827" s="866" t="s">
        <v>10</v>
      </c>
      <c r="E1827" s="1124">
        <v>43828</v>
      </c>
      <c r="F1827" s="71">
        <f t="shared" si="1104"/>
        <v>2433</v>
      </c>
      <c r="G1827" s="12">
        <v>0</v>
      </c>
      <c r="H1827" s="12"/>
      <c r="I1827" s="12"/>
      <c r="J1827" s="1368"/>
      <c r="K1827" s="12"/>
      <c r="L1827" s="1534">
        <f t="shared" si="1105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89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5"/>
      <c r="B1828" s="2012"/>
      <c r="C1828" s="246" t="s">
        <v>253</v>
      </c>
      <c r="D1828" s="866" t="s">
        <v>10</v>
      </c>
      <c r="E1828" s="1124">
        <v>43829</v>
      </c>
      <c r="F1828" s="71">
        <f t="shared" si="1104"/>
        <v>2432</v>
      </c>
      <c r="G1828" s="12">
        <v>0</v>
      </c>
      <c r="H1828" s="12"/>
      <c r="I1828" s="12"/>
      <c r="J1828" s="1369"/>
      <c r="K1828" s="56"/>
      <c r="L1828" s="1534">
        <f t="shared" si="1105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89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5"/>
      <c r="B1829" s="2012"/>
      <c r="C1829" s="246" t="s">
        <v>232</v>
      </c>
      <c r="D1829" s="866" t="s">
        <v>10</v>
      </c>
      <c r="E1829" s="1124">
        <v>43830</v>
      </c>
      <c r="F1829" s="71">
        <f t="shared" si="1104"/>
        <v>2431</v>
      </c>
      <c r="G1829" s="12">
        <v>0</v>
      </c>
      <c r="H1829" s="12"/>
      <c r="I1829" s="12"/>
      <c r="J1829" s="1368"/>
      <c r="K1829" s="12"/>
      <c r="L1829" s="1534">
        <f t="shared" si="1105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89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5"/>
      <c r="B1830" s="2012"/>
      <c r="C1830" s="246" t="s">
        <v>232</v>
      </c>
      <c r="D1830" s="866" t="s">
        <v>10</v>
      </c>
      <c r="E1830" s="1124">
        <v>43831</v>
      </c>
      <c r="F1830" s="71">
        <f t="shared" si="1104"/>
        <v>2430</v>
      </c>
      <c r="G1830" s="12">
        <v>0</v>
      </c>
      <c r="H1830" s="12"/>
      <c r="I1830" s="12"/>
      <c r="J1830" s="1368"/>
      <c r="K1830" s="12"/>
      <c r="L1830" s="1534">
        <f t="shared" si="1105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89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05"/>
      <c r="B1831" s="2012"/>
      <c r="C1831" s="123" t="s">
        <v>46</v>
      </c>
      <c r="D1831" s="866" t="s">
        <v>10</v>
      </c>
      <c r="E1831" s="1124">
        <v>43832</v>
      </c>
      <c r="F1831" s="71">
        <f t="shared" si="1104"/>
        <v>2429</v>
      </c>
      <c r="G1831" s="56">
        <v>0</v>
      </c>
      <c r="H1831" s="56"/>
      <c r="I1831" s="56"/>
      <c r="J1831" s="1369"/>
      <c r="K1831" s="56"/>
      <c r="L1831" s="1534">
        <f t="shared" si="1105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89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 x14ac:dyDescent="0.25">
      <c r="A1832" s="2005"/>
      <c r="B1832" s="2012"/>
      <c r="C1832" s="123" t="s">
        <v>46</v>
      </c>
      <c r="D1832" s="1112" t="s">
        <v>10</v>
      </c>
      <c r="E1832" s="1124">
        <v>43833</v>
      </c>
      <c r="F1832" s="71">
        <f t="shared" si="1104"/>
        <v>2428</v>
      </c>
      <c r="G1832" s="37">
        <v>0</v>
      </c>
      <c r="H1832" s="37"/>
      <c r="I1832" s="37"/>
      <c r="J1832" s="1385"/>
      <c r="K1832" s="37"/>
      <c r="L1832" s="1534">
        <f t="shared" si="1105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089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 x14ac:dyDescent="0.25">
      <c r="A1833" s="2006" t="s">
        <v>167</v>
      </c>
      <c r="B1833" s="2007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4">
        <f t="shared" si="1105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089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 x14ac:dyDescent="0.25">
      <c r="A1834" s="2004">
        <f>IF(L1841=0,"",MAX($A$16:A1833)+1)</f>
        <v>127</v>
      </c>
      <c r="B1834" s="507" t="s">
        <v>2190</v>
      </c>
      <c r="C1834" s="1760" t="s">
        <v>1847</v>
      </c>
      <c r="D1834" s="866" t="s">
        <v>10</v>
      </c>
      <c r="E1834" s="1124">
        <v>46247</v>
      </c>
      <c r="F1834" s="71">
        <f t="shared" ref="F1834" si="1106">$L$7-E1834</f>
        <v>14</v>
      </c>
      <c r="G1834" s="12">
        <v>60</v>
      </c>
      <c r="H1834" s="12"/>
      <c r="I1834" s="12"/>
      <c r="J1834" s="1388"/>
      <c r="K1834" s="64">
        <f>IFERROR(SUMIF(INTAKE!$A:$A,$T1834,INTAKE!$P:$P),0)</f>
        <v>0</v>
      </c>
      <c r="L1834" s="1703">
        <f t="shared" si="1105"/>
        <v>60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07">$Q$1841&amp;C1834&amp;E1834</f>
        <v>Premix 572SX8.246247</v>
      </c>
      <c r="U1834" s="787"/>
      <c r="V1834" s="787"/>
      <c r="W1834" s="785">
        <f>IFERROR(VLOOKUP($Q1834,'391'!$S:$AG,15,0),0)</f>
        <v>0</v>
      </c>
      <c r="X1834" s="1090">
        <f t="shared" si="1089"/>
        <v>60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 x14ac:dyDescent="0.25">
      <c r="A1835" s="2005"/>
      <c r="B1835" s="507" t="s">
        <v>2223</v>
      </c>
      <c r="C1835" s="1760" t="s">
        <v>1847</v>
      </c>
      <c r="D1835" s="866" t="s">
        <v>10</v>
      </c>
      <c r="E1835" s="1124">
        <v>46254</v>
      </c>
      <c r="F1835" s="71">
        <f t="shared" ref="F1835" si="1108">$L$7-E1835</f>
        <v>7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3">
        <f t="shared" si="1105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07"/>
        <v>Premix 572SX8.246254</v>
      </c>
      <c r="U1835" s="787"/>
      <c r="V1835" s="787"/>
      <c r="W1835" s="785">
        <f>IFERROR(VLOOKUP($Q1835,'391'!$S:$AG,15,0),0)</f>
        <v>0</v>
      </c>
      <c r="X1835" s="1090">
        <f t="shared" si="1089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05"/>
      <c r="B1836" s="507" t="s">
        <v>1830</v>
      </c>
      <c r="C1836" s="1760"/>
      <c r="D1836" s="866" t="s">
        <v>10</v>
      </c>
      <c r="E1836" s="1124">
        <v>46150</v>
      </c>
      <c r="F1836" s="71">
        <f t="shared" ref="F1836" si="1109">$L$7-E1836</f>
        <v>111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3">
        <f t="shared" si="1105"/>
        <v>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07"/>
        <v>Premix 572S46150</v>
      </c>
      <c r="U1836" s="787"/>
      <c r="V1836" s="787"/>
      <c r="W1836" s="785">
        <f>IFERROR(VLOOKUP($Q1836,'391'!$S:$AG,15,0),0)</f>
        <v>0</v>
      </c>
      <c r="X1836" s="1090">
        <f t="shared" si="1089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5"/>
      <c r="B1837" s="507" t="s">
        <v>1787</v>
      </c>
      <c r="C1837" s="1760"/>
      <c r="D1837" s="866" t="s">
        <v>10</v>
      </c>
      <c r="E1837" s="1124">
        <v>46101</v>
      </c>
      <c r="F1837" s="71">
        <f t="shared" ref="F1837:F1840" si="1110">$L$7-E1837</f>
        <v>160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3">
        <f t="shared" si="1105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07"/>
        <v>Premix 572S46101</v>
      </c>
      <c r="U1837" s="787"/>
      <c r="V1837" s="787"/>
      <c r="W1837" s="785">
        <f>IFERROR(VLOOKUP($Q1837,'391'!$S:$AG,15,0),0)</f>
        <v>0</v>
      </c>
      <c r="X1837" s="1090">
        <f t="shared" si="1089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05"/>
      <c r="B1838" s="507" t="s">
        <v>984</v>
      </c>
      <c r="C1838" s="246"/>
      <c r="D1838" s="866" t="s">
        <v>10</v>
      </c>
      <c r="E1838" s="1124">
        <v>44440</v>
      </c>
      <c r="F1838" s="71">
        <f t="shared" si="1110"/>
        <v>1821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4">
        <f t="shared" si="1105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07"/>
        <v>Premix 572S44440</v>
      </c>
      <c r="U1838" s="787"/>
      <c r="V1838" s="787"/>
      <c r="W1838" s="785">
        <f>IFERROR(VLOOKUP($Q1838,'391'!$S:$AG,15,0),0)</f>
        <v>0</v>
      </c>
      <c r="X1838" s="1090">
        <f t="shared" si="1089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 x14ac:dyDescent="0.25">
      <c r="A1839" s="2005"/>
      <c r="B1839" s="507" t="s">
        <v>623</v>
      </c>
      <c r="C1839" s="246"/>
      <c r="D1839" s="866" t="s">
        <v>10</v>
      </c>
      <c r="E1839" s="1124">
        <v>44232</v>
      </c>
      <c r="F1839" s="71">
        <f t="shared" si="1110"/>
        <v>2029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4">
        <f t="shared" si="1105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07"/>
        <v>Premix 572S44232</v>
      </c>
      <c r="U1839" s="787"/>
      <c r="V1839" s="787"/>
      <c r="W1839" s="785">
        <f>IFERROR(VLOOKUP($Q1839,'391'!$S:$AG,15,0),0)</f>
        <v>0</v>
      </c>
      <c r="X1839" s="1090">
        <f t="shared" si="1089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 x14ac:dyDescent="0.25">
      <c r="A1840" s="2014"/>
      <c r="B1840" s="1022" t="s">
        <v>2190</v>
      </c>
      <c r="C1840" s="148" t="s">
        <v>46</v>
      </c>
      <c r="D1840" s="884" t="s">
        <v>10</v>
      </c>
      <c r="E1840" s="1123">
        <v>46247</v>
      </c>
      <c r="F1840" s="71">
        <f t="shared" si="1110"/>
        <v>14</v>
      </c>
      <c r="G1840" s="56">
        <v>83.149999999999991</v>
      </c>
      <c r="H1840" s="56"/>
      <c r="I1840" s="56">
        <f>+SUM(K1834:K1839)</f>
        <v>0</v>
      </c>
      <c r="J1840" s="1369">
        <f>+usage!I245</f>
        <v>0</v>
      </c>
      <c r="K1840" s="64">
        <f>IFERROR(SUMIF(INTAKE!$A:$A,$T1840,INTAKE!$P:$P),0)</f>
        <v>0</v>
      </c>
      <c r="L1840" s="1534">
        <f t="shared" si="1105"/>
        <v>83.149999999999991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07"/>
        <v>Premix 572SFeedmill46247</v>
      </c>
      <c r="U1840" s="787"/>
      <c r="V1840" s="787"/>
      <c r="W1840" s="785">
        <f>IFERROR(VLOOKUP($Q1840,'391'!$S:$AG,15,0),0)</f>
        <v>0</v>
      </c>
      <c r="X1840" s="1090">
        <f t="shared" si="1089"/>
        <v>83.149999999999991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 x14ac:dyDescent="0.25">
      <c r="A1841" s="2006" t="s">
        <v>48</v>
      </c>
      <c r="B1841" s="2007"/>
      <c r="C1841" s="1038"/>
      <c r="D1841" s="1034"/>
      <c r="E1841" s="1127"/>
      <c r="F1841" s="1034"/>
      <c r="G1841" s="1422">
        <v>203.14999999999998</v>
      </c>
      <c r="H1841" s="1422">
        <f t="shared" ref="H1841:L1841" si="1111">+SUM(H1834:H1840)</f>
        <v>0</v>
      </c>
      <c r="I1841" s="1422">
        <f t="shared" si="1111"/>
        <v>0</v>
      </c>
      <c r="J1841" s="1422">
        <f t="shared" si="1111"/>
        <v>0</v>
      </c>
      <c r="K1841" s="1422">
        <f t="shared" si="1111"/>
        <v>0</v>
      </c>
      <c r="L1841" s="1422">
        <f t="shared" si="1111"/>
        <v>203.14999999999998</v>
      </c>
      <c r="M1841" s="889">
        <f>IFERROR(R1841/$S$2,"")</f>
        <v>12.533333333333333</v>
      </c>
      <c r="N1841" s="854">
        <f>IFERROR(L1841/M1841,0)</f>
        <v>16.208776595744681</v>
      </c>
      <c r="O1841" s="889">
        <f>IFERROR(SUMIF(ETM!$A:$A,$Q1841,ETM!$E:$E),"")</f>
        <v>13.333333333333334</v>
      </c>
      <c r="P1841" s="880">
        <f>IFERROR(L1841/O1841,0)</f>
        <v>15.236249999999998</v>
      </c>
      <c r="Q1841" s="814" t="s">
        <v>636</v>
      </c>
      <c r="R1841" s="785">
        <f>IFERROR(VLOOKUP($Q1841,'391'!$S:$Z,8,0),"")</f>
        <v>75.2</v>
      </c>
      <c r="S1841" s="786"/>
      <c r="T1841" s="787"/>
      <c r="U1841" s="787"/>
      <c r="V1841" s="787"/>
      <c r="W1841" s="821">
        <f>IFERROR(VLOOKUP($Q1841,'391'!$S:$AG,15,0),0)</f>
        <v>236.6</v>
      </c>
      <c r="X1841" s="1090">
        <f t="shared" si="1089"/>
        <v>-33.450000000000017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08">
        <f>IF(L1846=0,"",MAX($A$16:A1841)+1)</f>
        <v>128</v>
      </c>
      <c r="B1842" s="507" t="s">
        <v>2132</v>
      </c>
      <c r="C1842" s="246" t="s">
        <v>147</v>
      </c>
      <c r="D1842" s="866" t="s">
        <v>10</v>
      </c>
      <c r="E1842" s="1124">
        <v>46233</v>
      </c>
      <c r="F1842" s="71">
        <f>$L$7-E1842</f>
        <v>28</v>
      </c>
      <c r="G1842" s="12">
        <v>60</v>
      </c>
      <c r="H1842" s="12"/>
      <c r="I1842" s="12"/>
      <c r="J1842" s="1368"/>
      <c r="K1842" s="64">
        <f>IFERROR(SUMIF(INTAKE!$A:$A,$T1842,INTAKE!$P:$P),0)</f>
        <v>0</v>
      </c>
      <c r="L1842" s="1703">
        <f>+G1842+H1842+I1842-J1842-K1842</f>
        <v>60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572GY7.246233</v>
      </c>
      <c r="U1842" s="787"/>
      <c r="V1842" s="787"/>
      <c r="W1842" s="785">
        <f>IFERROR(VLOOKUP($Q1842,'391'!$S:$AG,15,0),0)</f>
        <v>0</v>
      </c>
      <c r="X1842" s="1090">
        <f t="shared" si="1089"/>
        <v>60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09"/>
      <c r="B1843" s="507" t="s">
        <v>2132</v>
      </c>
      <c r="C1843" s="246"/>
      <c r="D1843" s="866" t="s">
        <v>10</v>
      </c>
      <c r="E1843" s="1124">
        <v>46233</v>
      </c>
      <c r="F1843" s="71">
        <f>$L$7-E1843</f>
        <v>28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3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572G46233</v>
      </c>
      <c r="U1843" s="787"/>
      <c r="V1843" s="787"/>
      <c r="W1843" s="785">
        <f>IFERROR(VLOOKUP($Q1843,'391'!$S:$AG,15,0),0)</f>
        <v>0</v>
      </c>
      <c r="X1843" s="1090">
        <f t="shared" si="1089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09"/>
      <c r="B1844" s="507" t="s">
        <v>1838</v>
      </c>
      <c r="C1844" s="246"/>
      <c r="D1844" s="866" t="s">
        <v>10</v>
      </c>
      <c r="E1844" s="1124">
        <v>46164</v>
      </c>
      <c r="F1844" s="71">
        <f>$L$7-E1844</f>
        <v>97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3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089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0"/>
      <c r="B1845" s="1022" t="s">
        <v>2119</v>
      </c>
      <c r="C1845" s="148" t="s">
        <v>46</v>
      </c>
      <c r="D1845" s="884" t="s">
        <v>10</v>
      </c>
      <c r="E1845" s="1123">
        <v>46227</v>
      </c>
      <c r="F1845" s="71">
        <f>$L$7-E1845</f>
        <v>34</v>
      </c>
      <c r="G1845" s="56">
        <v>0</v>
      </c>
      <c r="H1845" s="56"/>
      <c r="I1845" s="56">
        <f>+SUM(K1842:K1844)</f>
        <v>0</v>
      </c>
      <c r="J1845" s="1369">
        <f>+usage!I247</f>
        <v>0</v>
      </c>
      <c r="K1845" s="64">
        <f>IFERROR(SUMIF(INTAKE!$A:$A,$T1845,INTAKE!$P:$P),0)</f>
        <v>0</v>
      </c>
      <c r="L1845" s="1534">
        <f>+G1845+H1845+I1845-J1845-K1845</f>
        <v>0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572GFeedmill46227</v>
      </c>
      <c r="U1845" s="787"/>
      <c r="V1845" s="787"/>
      <c r="W1845" s="785">
        <f>IFERROR(VLOOKUP($Q1845,'391'!$S:$AG,15,0),0)</f>
        <v>0</v>
      </c>
      <c r="X1845" s="1090">
        <f t="shared" si="1089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06" t="s">
        <v>354</v>
      </c>
      <c r="B1846" s="2007"/>
      <c r="C1846" s="1038"/>
      <c r="D1846" s="1034"/>
      <c r="E1846" s="1127"/>
      <c r="F1846" s="1034"/>
      <c r="G1846" s="1422">
        <v>60</v>
      </c>
      <c r="H1846" s="1422">
        <f>+SUM(H1842:H1845)</f>
        <v>0</v>
      </c>
      <c r="I1846" s="1422">
        <f t="shared" ref="I1846:L1846" si="1112">+SUM(I1842:I1845)</f>
        <v>0</v>
      </c>
      <c r="J1846" s="1422">
        <f t="shared" si="1112"/>
        <v>0</v>
      </c>
      <c r="K1846" s="1422">
        <f t="shared" si="1112"/>
        <v>0</v>
      </c>
      <c r="L1846" s="1422">
        <f t="shared" si="1112"/>
        <v>60</v>
      </c>
      <c r="M1846" s="889">
        <f>IFERROR(R1846/$S$2,"")</f>
        <v>2.8000000000000003</v>
      </c>
      <c r="N1846" s="854">
        <f>IFERROR(L1846/M1846,0)</f>
        <v>21.428571428571427</v>
      </c>
      <c r="O1846" s="889">
        <f>IFERROR(SUMIF(ETM!$A:$A,$Q1846,ETM!$E:$E),"")</f>
        <v>0</v>
      </c>
      <c r="P1846" s="880">
        <f>IFERROR(L1846/O1846,0)</f>
        <v>0</v>
      </c>
      <c r="Q1846" s="814" t="s">
        <v>635</v>
      </c>
      <c r="R1846" s="785">
        <f>IFERROR(VLOOKUP($Q1846,'391'!$S:$Z,8,0),"")</f>
        <v>16.8</v>
      </c>
      <c r="S1846" s="786"/>
      <c r="T1846" s="787"/>
      <c r="U1846" s="787"/>
      <c r="V1846" s="787"/>
      <c r="W1846" s="785">
        <f>IFERROR(VLOOKUP($Q1846,'391'!$S:$AG,15,0),0)</f>
        <v>59.9</v>
      </c>
      <c r="X1846" s="1090">
        <f t="shared" si="1089"/>
        <v>0.10000000000000142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customHeight="1" x14ac:dyDescent="0.25">
      <c r="A1847" s="2008">
        <f>IF(L1852=0,"",MAX($A$16:A1846)+1)</f>
        <v>129</v>
      </c>
      <c r="B1847" s="507" t="s">
        <v>2189</v>
      </c>
      <c r="C1847" s="1760" t="s">
        <v>1844</v>
      </c>
      <c r="D1847" s="866" t="s">
        <v>10</v>
      </c>
      <c r="E1847" s="1124">
        <v>46247</v>
      </c>
      <c r="F1847" s="71">
        <f>$L$7-E1847</f>
        <v>14</v>
      </c>
      <c r="G1847" s="12">
        <v>90</v>
      </c>
      <c r="H1847" s="12"/>
      <c r="I1847" s="12"/>
      <c r="J1847" s="1368"/>
      <c r="K1847" s="64">
        <f>IFERROR(SUMIF(INTAKE!$A:$A,$T1847,INTAKE!$P:$P),0)</f>
        <v>0</v>
      </c>
      <c r="L1847" s="1703">
        <f>+G1847+H1847+I1847-J1847-K1847</f>
        <v>90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571X6.146247</v>
      </c>
      <c r="U1847" s="787"/>
      <c r="V1847" s="787"/>
      <c r="W1847" s="785">
        <f>IFERROR(VLOOKUP($Q1847,'391'!$S:$AG,15,0),0)</f>
        <v>0</v>
      </c>
      <c r="X1847" s="1090">
        <f t="shared" si="1089"/>
        <v>90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09"/>
      <c r="B1848" s="507" t="s">
        <v>2189</v>
      </c>
      <c r="C1848" s="1760"/>
      <c r="D1848" s="866" t="s">
        <v>10</v>
      </c>
      <c r="E1848" s="1124">
        <v>46247</v>
      </c>
      <c r="F1848" s="71">
        <f>$L$7-E1848</f>
        <v>14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3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57146247</v>
      </c>
      <c r="U1848" s="787"/>
      <c r="V1848" s="787"/>
      <c r="W1848" s="785">
        <f>IFERROR(VLOOKUP($Q1848,'391'!$S:$AG,15,0),0)</f>
        <v>0</v>
      </c>
      <c r="X1848" s="1090">
        <f t="shared" si="1089"/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09"/>
      <c r="B1849" s="507" t="s">
        <v>1799</v>
      </c>
      <c r="C1849" s="1760"/>
      <c r="D1849" s="866" t="s">
        <v>10</v>
      </c>
      <c r="E1849" s="1124">
        <v>46115</v>
      </c>
      <c r="F1849" s="71">
        <f>$L$7-E1849</f>
        <v>146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3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si="1089"/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 x14ac:dyDescent="0.25">
      <c r="A1850" s="2009"/>
      <c r="B1850" s="507" t="s">
        <v>1799</v>
      </c>
      <c r="C1850" s="1760"/>
      <c r="D1850" s="866" t="s">
        <v>10</v>
      </c>
      <c r="E1850" s="1124">
        <v>46115</v>
      </c>
      <c r="F1850" s="71">
        <f>$L$7-E1850</f>
        <v>146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3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13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10"/>
      <c r="B1851" s="1022" t="s">
        <v>2189</v>
      </c>
      <c r="C1851" s="148" t="s">
        <v>46</v>
      </c>
      <c r="D1851" s="884" t="s">
        <v>10</v>
      </c>
      <c r="E1851" s="1123">
        <v>46247</v>
      </c>
      <c r="F1851" s="71">
        <f>$L$7-E1851</f>
        <v>14</v>
      </c>
      <c r="G1851" s="56">
        <v>26.4</v>
      </c>
      <c r="H1851" s="56"/>
      <c r="I1851" s="56">
        <f>SUM(K1847:K1849)</f>
        <v>0</v>
      </c>
      <c r="J1851" s="1369">
        <f>usage!I244</f>
        <v>0</v>
      </c>
      <c r="K1851" s="64">
        <f>IFERROR(SUMIF(INTAKE!$A:$A,$T1851,INTAKE!$P:$P),0)</f>
        <v>0</v>
      </c>
      <c r="L1851" s="1534">
        <f>+G1851+H1851+I1851-J1851-K1851</f>
        <v>26.4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571Feedmill46247</v>
      </c>
      <c r="U1851" s="787"/>
      <c r="V1851" s="787"/>
      <c r="W1851" s="785">
        <f>IFERROR(VLOOKUP($Q1851,'391'!$S:$AG,15,0),0)</f>
        <v>0</v>
      </c>
      <c r="X1851" s="1090">
        <f t="shared" si="1089"/>
        <v>26.4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 x14ac:dyDescent="0.25">
      <c r="A1852" s="2006" t="s">
        <v>526</v>
      </c>
      <c r="B1852" s="2007"/>
      <c r="C1852" s="1038"/>
      <c r="D1852" s="1034"/>
      <c r="E1852" s="1127"/>
      <c r="F1852" s="1034"/>
      <c r="G1852" s="1422">
        <v>116.4</v>
      </c>
      <c r="H1852" s="1422">
        <f>+SUM(H1847:H1851)</f>
        <v>0</v>
      </c>
      <c r="I1852" s="1422">
        <f t="shared" ref="I1852:L1852" si="1114">+SUM(I1847:I1851)</f>
        <v>0</v>
      </c>
      <c r="J1852" s="1422">
        <f t="shared" si="1114"/>
        <v>0</v>
      </c>
      <c r="K1852" s="1422">
        <f t="shared" si="1114"/>
        <v>0</v>
      </c>
      <c r="L1852" s="1422">
        <f t="shared" si="1114"/>
        <v>116.4</v>
      </c>
      <c r="M1852" s="889">
        <f>IFERROR(R1852/$S$2,"")</f>
        <v>5.6000000000000005</v>
      </c>
      <c r="N1852" s="854">
        <f>IFERROR(L1852/M1852,0)</f>
        <v>20.785714285714285</v>
      </c>
      <c r="O1852" s="889">
        <f>IFERROR(SUMIF(ETM!$A:$A,$Q1852,ETM!$E:$E),"")</f>
        <v>5.333333333333333</v>
      </c>
      <c r="P1852" s="880">
        <f>IFERROR(L1852/O1852,0)</f>
        <v>21.825000000000003</v>
      </c>
      <c r="Q1852" s="814" t="s">
        <v>634</v>
      </c>
      <c r="R1852" s="785">
        <f>IFERROR(VLOOKUP($Q1852,'391'!$S:$Z,8,0),"")</f>
        <v>33.6</v>
      </c>
      <c r="S1852" s="786"/>
      <c r="T1852" s="787"/>
      <c r="U1852" s="787"/>
      <c r="V1852" s="787"/>
      <c r="W1852" s="785">
        <f>IFERROR(VLOOKUP($Q1852,'391'!$S:$AG,15,0),0)</f>
        <v>169.70000000000002</v>
      </c>
      <c r="X1852" s="1090">
        <f t="shared" si="1089"/>
        <v>-53.300000000000011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 x14ac:dyDescent="0.25">
      <c r="A1853" s="2002">
        <f>IF(L1861=0,"",MAX($A$16:A1852)+1)</f>
        <v>130</v>
      </c>
      <c r="B1853" s="390" t="s">
        <v>1396</v>
      </c>
      <c r="C1853" s="150"/>
      <c r="D1853" s="866" t="s">
        <v>10</v>
      </c>
      <c r="E1853" s="1124">
        <v>45323</v>
      </c>
      <c r="F1853" s="71">
        <f t="shared" ref="F1853:F1860" si="1115">$L$7-E1853</f>
        <v>938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4">
        <f t="shared" ref="L1853:L1860" si="1116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17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089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 x14ac:dyDescent="0.25">
      <c r="A1854" s="2003"/>
      <c r="B1854" s="390" t="s">
        <v>1400</v>
      </c>
      <c r="C1854" s="150"/>
      <c r="D1854" s="866" t="s">
        <v>10</v>
      </c>
      <c r="E1854" s="1124">
        <v>45339</v>
      </c>
      <c r="F1854" s="71">
        <f t="shared" si="1115"/>
        <v>922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4">
        <f t="shared" si="1116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17"/>
        <v>Premix 58245339</v>
      </c>
      <c r="U1854" s="787"/>
      <c r="V1854" s="787"/>
      <c r="W1854" s="785">
        <f>IFERROR(VLOOKUP($Q1854,'391'!$S:$AG,15,0),0)</f>
        <v>0</v>
      </c>
      <c r="X1854" s="1090">
        <f t="shared" si="1089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 x14ac:dyDescent="0.25">
      <c r="A1855" s="2003"/>
      <c r="B1855" s="390" t="s">
        <v>2191</v>
      </c>
      <c r="C1855" s="150" t="s">
        <v>1744</v>
      </c>
      <c r="D1855" s="866" t="s">
        <v>10</v>
      </c>
      <c r="E1855" s="1124">
        <v>46247</v>
      </c>
      <c r="F1855" s="71">
        <f t="shared" si="1115"/>
        <v>14</v>
      </c>
      <c r="G1855" s="11">
        <v>90</v>
      </c>
      <c r="H1855" s="11"/>
      <c r="I1855" s="11"/>
      <c r="J1855" s="1388"/>
      <c r="K1855" s="64">
        <f>IFERROR(SUMIF(INTAKE!$A:$A,$T1855,INTAKE!$P:$P),0)</f>
        <v>90</v>
      </c>
      <c r="L1855" s="1703">
        <f t="shared" si="1116"/>
        <v>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17"/>
        <v>Premix 582X7.146247</v>
      </c>
      <c r="U1855" s="787"/>
      <c r="V1855" s="787"/>
      <c r="W1855" s="785">
        <f>IFERROR(VLOOKUP($Q1855,'391'!$S:$AG,15,0),0)</f>
        <v>0</v>
      </c>
      <c r="X1855" s="1090">
        <f t="shared" si="1089"/>
        <v>90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 x14ac:dyDescent="0.25">
      <c r="A1856" s="2003"/>
      <c r="B1856" s="390" t="s">
        <v>2224</v>
      </c>
      <c r="C1856" s="150" t="s">
        <v>1744</v>
      </c>
      <c r="D1856" s="866" t="s">
        <v>10</v>
      </c>
      <c r="E1856" s="1124">
        <v>46254</v>
      </c>
      <c r="F1856" s="71">
        <f t="shared" ref="F1856" si="1118">$L$7-E1856</f>
        <v>7</v>
      </c>
      <c r="G1856" s="11">
        <v>60</v>
      </c>
      <c r="H1856" s="11"/>
      <c r="I1856" s="11"/>
      <c r="J1856" s="1388"/>
      <c r="K1856" s="64">
        <f>IFERROR(SUMIF(INTAKE!$A:$A,$T1856,INTAKE!$P:$P),0)</f>
        <v>0</v>
      </c>
      <c r="L1856" s="1703">
        <f t="shared" si="1116"/>
        <v>60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17"/>
        <v>Premix 582X7.146254</v>
      </c>
      <c r="U1856" s="787"/>
      <c r="V1856" s="787"/>
      <c r="W1856" s="785">
        <f>IFERROR(VLOOKUP($Q1856,'391'!$S:$AG,15,0),0)</f>
        <v>0</v>
      </c>
      <c r="X1856" s="1090">
        <f t="shared" si="1089"/>
        <v>60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3"/>
      <c r="B1857" s="390" t="s">
        <v>1815</v>
      </c>
      <c r="C1857" s="150"/>
      <c r="D1857" s="866" t="s">
        <v>10</v>
      </c>
      <c r="E1857" s="1124">
        <v>46135</v>
      </c>
      <c r="F1857" s="71">
        <f t="shared" si="1115"/>
        <v>126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3">
        <f t="shared" si="1116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17"/>
        <v>Premix 58246135</v>
      </c>
      <c r="U1857" s="787"/>
      <c r="V1857" s="787"/>
      <c r="W1857" s="785">
        <f>IFERROR(VLOOKUP($Q1857,'391'!$S:$AG,15,0),0)</f>
        <v>0</v>
      </c>
      <c r="X1857" s="1090">
        <f t="shared" si="1089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3"/>
      <c r="B1858" s="390" t="s">
        <v>1437</v>
      </c>
      <c r="C1858" s="150"/>
      <c r="D1858" s="866" t="s">
        <v>10</v>
      </c>
      <c r="E1858" s="1124">
        <v>45471</v>
      </c>
      <c r="F1858" s="71">
        <f t="shared" si="1115"/>
        <v>790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4">
        <f t="shared" si="1116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17"/>
        <v>Premix 58245471</v>
      </c>
      <c r="U1858" s="787"/>
      <c r="V1858" s="787"/>
      <c r="W1858" s="785">
        <f>IFERROR(VLOOKUP($Q1858,'391'!$S:$AG,15,0),0)</f>
        <v>0</v>
      </c>
      <c r="X1858" s="1090">
        <f t="shared" si="1089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03"/>
      <c r="B1859" s="390" t="s">
        <v>472</v>
      </c>
      <c r="C1859" s="150"/>
      <c r="D1859" s="866" t="s">
        <v>10</v>
      </c>
      <c r="E1859" s="1124">
        <v>43412</v>
      </c>
      <c r="F1859" s="71">
        <f t="shared" si="1115"/>
        <v>2849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4">
        <f t="shared" si="1116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17"/>
        <v>Premix 58243412</v>
      </c>
      <c r="U1859" s="787"/>
      <c r="V1859" s="787"/>
      <c r="W1859" s="785">
        <f>IFERROR(VLOOKUP($Q1859,'391'!$S:$AG,15,0),0)</f>
        <v>0</v>
      </c>
      <c r="X1859" s="1090">
        <f t="shared" si="1089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03"/>
      <c r="B1860" s="1023" t="s">
        <v>2153</v>
      </c>
      <c r="C1860" s="188" t="s">
        <v>46</v>
      </c>
      <c r="D1860" s="884" t="s">
        <v>10</v>
      </c>
      <c r="E1860" s="1125">
        <v>46241</v>
      </c>
      <c r="F1860" s="71">
        <f t="shared" si="1115"/>
        <v>20</v>
      </c>
      <c r="G1860" s="974">
        <v>66.010000000000034</v>
      </c>
      <c r="H1860" s="11"/>
      <c r="I1860" s="974">
        <f>+SUM(K1853:K1857)</f>
        <v>90</v>
      </c>
      <c r="J1860" s="1365">
        <f>+usage!I253</f>
        <v>0</v>
      </c>
      <c r="K1860" s="64">
        <f>IFERROR(SUMIF(INTAKE!$A:$A,$T1860,INTAKE!$P:$P),0)</f>
        <v>0</v>
      </c>
      <c r="L1860" s="1534">
        <f t="shared" si="1116"/>
        <v>156.01000000000005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17"/>
        <v>Premix 582Feedmill46241</v>
      </c>
      <c r="U1860" s="787"/>
      <c r="V1860" s="787"/>
      <c r="W1860" s="785">
        <f>IFERROR(VLOOKUP($Q1860,'391'!$S:$AG,15,0),0)</f>
        <v>0</v>
      </c>
      <c r="X1860" s="1090">
        <f t="shared" si="1089"/>
        <v>66.010000000000034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2006" t="s">
        <v>175</v>
      </c>
      <c r="B1861" s="2007"/>
      <c r="C1861" s="1038"/>
      <c r="D1861" s="1034"/>
      <c r="E1861" s="1127"/>
      <c r="F1861" s="1034"/>
      <c r="G1861" s="1328">
        <v>216.01000000000005</v>
      </c>
      <c r="H1861" s="1328">
        <f t="shared" ref="H1861:I1861" si="1119">SUM(H1853:H1860)</f>
        <v>0</v>
      </c>
      <c r="I1861" s="1328">
        <f t="shared" si="1119"/>
        <v>90</v>
      </c>
      <c r="J1861" s="1328">
        <f t="shared" ref="J1861:L1861" si="1120">SUM(J1853:J1860)</f>
        <v>0</v>
      </c>
      <c r="K1861" s="1328">
        <f t="shared" si="1120"/>
        <v>90</v>
      </c>
      <c r="L1861" s="1328">
        <f t="shared" si="1120"/>
        <v>216.01000000000005</v>
      </c>
      <c r="M1861" s="889">
        <f>IFERROR(R1861/$S$2,"")</f>
        <v>9.7083333333333339</v>
      </c>
      <c r="N1861" s="854">
        <f>IFERROR(L1861/M1861,0)</f>
        <v>22.24995708154507</v>
      </c>
      <c r="O1861" s="889">
        <f>IFERROR(SUMIF(ETM!$A:$A,$Q1861,ETM!$E:$E),"")</f>
        <v>11.999999999999998</v>
      </c>
      <c r="P1861" s="880">
        <f>IFERROR(L1861/O1861,0)</f>
        <v>18.00083333333334</v>
      </c>
      <c r="Q1861" s="814" t="s">
        <v>637</v>
      </c>
      <c r="R1861" s="785">
        <f>IFERROR(VLOOKUP($Q1861,'391'!$S:$Z,8,0),"")</f>
        <v>58.25</v>
      </c>
      <c r="S1861" s="786"/>
      <c r="T1861" s="787"/>
      <c r="U1861" s="787"/>
      <c r="V1861" s="787"/>
      <c r="W1861" s="785">
        <f>IFERROR(VLOOKUP($Q1861,'391'!$S:$AG,15,0),0)</f>
        <v>232.62</v>
      </c>
      <c r="X1861" s="1090">
        <f t="shared" si="1089"/>
        <v>-16.609999999999957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04">
        <f>IF(L1869=0,"",MAX($A$16:A1861)+1)</f>
        <v>131</v>
      </c>
      <c r="B1862" s="390" t="s">
        <v>1160</v>
      </c>
      <c r="C1862" s="186"/>
      <c r="D1862" s="866" t="s">
        <v>10</v>
      </c>
      <c r="E1862" s="1135">
        <v>44666</v>
      </c>
      <c r="F1862" s="71">
        <f t="shared" ref="F1862:F1868" si="1121">$L$7-E1862</f>
        <v>1595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4">
        <f t="shared" ref="L1862:L1868" si="1122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23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089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05"/>
      <c r="B1863" s="390" t="s">
        <v>2192</v>
      </c>
      <c r="C1863" s="186" t="s">
        <v>226</v>
      </c>
      <c r="D1863" s="866" t="s">
        <v>10</v>
      </c>
      <c r="E1863" s="1135">
        <v>46247</v>
      </c>
      <c r="F1863" s="71">
        <f t="shared" si="1121"/>
        <v>14</v>
      </c>
      <c r="G1863" s="11">
        <v>510</v>
      </c>
      <c r="H1863" s="11"/>
      <c r="I1863" s="11"/>
      <c r="J1863" s="1442"/>
      <c r="K1863" s="64">
        <f>IFERROR(SUMIF(INTAKE!$A:$A,$T1863,INTAKE!$P:$P),0)</f>
        <v>0</v>
      </c>
      <c r="L1863" s="1703">
        <f t="shared" si="1122"/>
        <v>510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3"/>
        <v>Premix MC-0697X4.146247</v>
      </c>
      <c r="U1863" s="787"/>
      <c r="V1863" s="787"/>
      <c r="W1863" s="785">
        <f>IFERROR(VLOOKUP($Q1863,'391'!$S:$AG,15,0),0)</f>
        <v>0</v>
      </c>
      <c r="X1863" s="1090">
        <f t="shared" si="1089"/>
        <v>510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hidden="1" customHeight="1" x14ac:dyDescent="0.25">
      <c r="A1864" s="2005"/>
      <c r="B1864" s="390" t="s">
        <v>2192</v>
      </c>
      <c r="C1864" s="186"/>
      <c r="D1864" s="866" t="s">
        <v>10</v>
      </c>
      <c r="E1864" s="1135">
        <v>46247</v>
      </c>
      <c r="F1864" s="71">
        <f t="shared" ref="F1864" si="1124">$L$7-E1864</f>
        <v>14</v>
      </c>
      <c r="G1864" s="11">
        <v>0</v>
      </c>
      <c r="H1864" s="11"/>
      <c r="I1864" s="11"/>
      <c r="J1864" s="1442"/>
      <c r="K1864" s="1348">
        <f>IFERROR(SUMIF(INTAKE!$A:$A,$T1864,INTAKE!$P:$P),0)</f>
        <v>0</v>
      </c>
      <c r="L1864" s="1703">
        <f t="shared" si="1122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3"/>
        <v>Premix MC-069746247</v>
      </c>
      <c r="U1864" s="787"/>
      <c r="V1864" s="787"/>
      <c r="W1864" s="785">
        <f>IFERROR(VLOOKUP($Q1864,'391'!$S:$AG,15,0),0)</f>
        <v>0</v>
      </c>
      <c r="X1864" s="1090">
        <f t="shared" ref="X1864:X1934" si="1125">G1864-W1864</f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05"/>
      <c r="B1865" s="390" t="s">
        <v>1831</v>
      </c>
      <c r="C1865" s="186"/>
      <c r="D1865" s="866" t="s">
        <v>10</v>
      </c>
      <c r="E1865" s="1135">
        <v>46241</v>
      </c>
      <c r="F1865" s="71">
        <f t="shared" ref="F1865" si="1126">$L$7-E1865</f>
        <v>20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703">
        <f t="shared" si="1122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3"/>
        <v>Premix MC-069746241</v>
      </c>
      <c r="U1865" s="787"/>
      <c r="V1865" s="787"/>
      <c r="W1865" s="785">
        <f>IFERROR(VLOOKUP($Q1865,'391'!$S:$AG,15,0),0)</f>
        <v>0</v>
      </c>
      <c r="X1865" s="1090">
        <f t="shared" si="1125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05"/>
      <c r="B1866" s="390" t="s">
        <v>2192</v>
      </c>
      <c r="C1866" s="186"/>
      <c r="D1866" s="866" t="s">
        <v>10</v>
      </c>
      <c r="E1866" s="1135">
        <v>46247</v>
      </c>
      <c r="F1866" s="71">
        <f t="shared" si="1121"/>
        <v>14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3">
        <f t="shared" si="1122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3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25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05"/>
      <c r="B1867" s="390" t="s">
        <v>1738</v>
      </c>
      <c r="C1867" s="186"/>
      <c r="D1867" s="866" t="s">
        <v>10</v>
      </c>
      <c r="E1867" s="1135">
        <v>46038</v>
      </c>
      <c r="F1867" s="71">
        <f t="shared" si="1121"/>
        <v>223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4">
        <f t="shared" si="1122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3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25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 x14ac:dyDescent="0.25">
      <c r="A1868" s="2005"/>
      <c r="B1868" s="1014" t="s">
        <v>2192</v>
      </c>
      <c r="C1868" s="151" t="s">
        <v>46</v>
      </c>
      <c r="D1868" s="884" t="s">
        <v>10</v>
      </c>
      <c r="E1868" s="1132">
        <v>46247</v>
      </c>
      <c r="F1868" s="71">
        <f t="shared" si="1121"/>
        <v>14</v>
      </c>
      <c r="G1868" s="58">
        <v>48.899999999999977</v>
      </c>
      <c r="H1868" s="11"/>
      <c r="I1868" s="58">
        <f>+SUM(K1862:K1866)</f>
        <v>0</v>
      </c>
      <c r="J1868" s="1366">
        <f>+usage!I233</f>
        <v>0</v>
      </c>
      <c r="K1868" s="64">
        <f>IFERROR(SUMIF(INTAKE!$A:$A,$T1868,INTAKE!$P:$P),0)</f>
        <v>0</v>
      </c>
      <c r="L1868" s="1534">
        <f t="shared" si="1122"/>
        <v>48.899999999999977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23"/>
        <v>Premix MC-0697Feedmill46247</v>
      </c>
      <c r="U1868" s="787"/>
      <c r="V1868" s="787"/>
      <c r="W1868" s="785">
        <f>IFERROR(VLOOKUP($Q1868,'391'!$S:$AG,15,0),0)</f>
        <v>0</v>
      </c>
      <c r="X1868" s="1090">
        <f t="shared" si="1125"/>
        <v>48.899999999999977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2006" t="s">
        <v>47</v>
      </c>
      <c r="B1869" s="2007"/>
      <c r="C1869" s="1033"/>
      <c r="D1869" s="1034"/>
      <c r="E1869" s="1127"/>
      <c r="F1869" s="1034"/>
      <c r="G1869" s="1328">
        <v>558.9</v>
      </c>
      <c r="H1869" s="1328">
        <f t="shared" ref="H1869:I1869" si="1127">SUM(H1862:H1868)</f>
        <v>0</v>
      </c>
      <c r="I1869" s="1328">
        <f t="shared" si="1127"/>
        <v>0</v>
      </c>
      <c r="J1869" s="1328">
        <f t="shared" ref="J1869:L1869" si="1128">SUM(J1862:J1868)</f>
        <v>0</v>
      </c>
      <c r="K1869" s="1328">
        <f t="shared" si="1128"/>
        <v>0</v>
      </c>
      <c r="L1869" s="1328">
        <f t="shared" si="1128"/>
        <v>558.9</v>
      </c>
      <c r="M1869" s="889">
        <f>IFERROR(R1869/$S$2,"")</f>
        <v>44.800000000000004</v>
      </c>
      <c r="N1869" s="854">
        <f>IFERROR(L1869/M1869,0)</f>
        <v>12.475446428571427</v>
      </c>
      <c r="O1869" s="889">
        <f>IFERROR(SUMIF(ETM!$A:$A,$Q1869,ETM!$E:$E),"")</f>
        <v>46.666666666666671</v>
      </c>
      <c r="P1869" s="880">
        <f>IFERROR(L1869/O1869,0)</f>
        <v>11.976428571428571</v>
      </c>
      <c r="Q1869" s="814" t="s">
        <v>638</v>
      </c>
      <c r="R1869" s="785">
        <f>IFERROR(VLOOKUP($Q1869,'391'!$S:$Z,8,0),"")</f>
        <v>268.8</v>
      </c>
      <c r="S1869" s="786"/>
      <c r="T1869" s="787"/>
      <c r="U1869" s="787"/>
      <c r="V1869" s="787"/>
      <c r="W1869" s="785">
        <f>IFERROR(VLOOKUP($Q1869,'391'!$S:$AG,15,0),0)</f>
        <v>727.7</v>
      </c>
      <c r="X1869" s="1090">
        <f t="shared" si="1125"/>
        <v>-168.80000000000007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 x14ac:dyDescent="0.25">
      <c r="A1870" s="2004">
        <f>IF(L1877=0,"",MAX($A$16:A1869)+1)</f>
        <v>132</v>
      </c>
      <c r="B1870" s="390" t="s">
        <v>1496</v>
      </c>
      <c r="C1870" s="257"/>
      <c r="D1870" s="866" t="s">
        <v>10</v>
      </c>
      <c r="E1870" s="1134">
        <v>45534</v>
      </c>
      <c r="F1870" s="71">
        <f t="shared" ref="F1870:F1872" si="1129">$L$7-E1870</f>
        <v>727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3">
        <f t="shared" ref="L1870:L1876" si="1130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31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25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05"/>
      <c r="B1871" s="390" t="s">
        <v>2154</v>
      </c>
      <c r="C1871" s="257" t="s">
        <v>146</v>
      </c>
      <c r="D1871" s="866" t="s">
        <v>10</v>
      </c>
      <c r="E1871" s="1134">
        <v>46241</v>
      </c>
      <c r="F1871" s="71">
        <f t="shared" si="1129"/>
        <v>20</v>
      </c>
      <c r="G1871" s="11">
        <v>150</v>
      </c>
      <c r="H1871" s="11"/>
      <c r="I1871" s="11"/>
      <c r="J1871" s="1388"/>
      <c r="K1871" s="64">
        <f>IFERROR(SUMIF(INTAKE!$A:$A,$T1871,INTAKE!$P:$P),0)</f>
        <v>120</v>
      </c>
      <c r="L1871" s="1703">
        <f t="shared" si="1130"/>
        <v>30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1"/>
        <v>Premix MC-0697BY7.146241</v>
      </c>
      <c r="U1871" s="787"/>
      <c r="V1871" s="787"/>
      <c r="W1871" s="785">
        <f>IFERROR(VLOOKUP($Q1871,'391'!$S:$AG,15,0),0)</f>
        <v>0</v>
      </c>
      <c r="X1871" s="1090">
        <f t="shared" si="1125"/>
        <v>150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 x14ac:dyDescent="0.25">
      <c r="A1872" s="2005"/>
      <c r="B1872" s="390" t="s">
        <v>2193</v>
      </c>
      <c r="C1872" s="257" t="s">
        <v>146</v>
      </c>
      <c r="D1872" s="866" t="s">
        <v>10</v>
      </c>
      <c r="E1872" s="1134">
        <v>46247</v>
      </c>
      <c r="F1872" s="71">
        <f t="shared" si="1129"/>
        <v>14</v>
      </c>
      <c r="G1872" s="11">
        <v>240</v>
      </c>
      <c r="H1872" s="11"/>
      <c r="I1872" s="11"/>
      <c r="J1872" s="1388"/>
      <c r="K1872" s="64">
        <f>IFERROR(SUMIF(INTAKE!$A:$A,$T1872,INTAKE!$P:$P),0)</f>
        <v>0</v>
      </c>
      <c r="L1872" s="1703">
        <f t="shared" si="1130"/>
        <v>240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1"/>
        <v>Premix MC-0697BY7.146247</v>
      </c>
      <c r="U1872" s="787"/>
      <c r="V1872" s="787"/>
      <c r="W1872" s="785">
        <f>IFERROR(VLOOKUP($Q1872,'391'!$S:$AG,15,0),0)</f>
        <v>0</v>
      </c>
      <c r="X1872" s="1090">
        <f t="shared" si="1125"/>
        <v>240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customHeight="1" x14ac:dyDescent="0.25">
      <c r="A1873" s="2005"/>
      <c r="B1873" s="390" t="s">
        <v>2225</v>
      </c>
      <c r="C1873" s="257" t="s">
        <v>146</v>
      </c>
      <c r="D1873" s="866" t="s">
        <v>10</v>
      </c>
      <c r="E1873" s="1134">
        <v>46254</v>
      </c>
      <c r="F1873" s="71">
        <f t="shared" ref="F1873" si="1132">$L$7-E1873</f>
        <v>7</v>
      </c>
      <c r="G1873" s="11">
        <v>210</v>
      </c>
      <c r="H1873" s="11"/>
      <c r="I1873" s="11"/>
      <c r="J1873" s="1388"/>
      <c r="K1873" s="64">
        <f>IFERROR(SUMIF(INTAKE!$A:$A,$T1873,INTAKE!$P:$P),0)</f>
        <v>0</v>
      </c>
      <c r="L1873" s="1703">
        <f t="shared" si="1130"/>
        <v>210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1"/>
        <v>Premix MC-0697BY7.146254</v>
      </c>
      <c r="U1873" s="787"/>
      <c r="V1873" s="787"/>
      <c r="W1873" s="785">
        <f>IFERROR(VLOOKUP($Q1873,'391'!$S:$AG,15,0),0)</f>
        <v>0</v>
      </c>
      <c r="X1873" s="1090">
        <f t="shared" si="1125"/>
        <v>210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05"/>
      <c r="B1874" s="390" t="s">
        <v>1849</v>
      </c>
      <c r="C1874" s="257"/>
      <c r="D1874" s="866" t="s">
        <v>10</v>
      </c>
      <c r="E1874" s="1134">
        <v>46185</v>
      </c>
      <c r="F1874" s="71">
        <f t="shared" ref="F1874" si="1133">$L$7-E1874</f>
        <v>76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3">
        <f t="shared" si="1130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31"/>
        <v>Premix MC-0697B46185</v>
      </c>
      <c r="U1874" s="787"/>
      <c r="V1874" s="787"/>
      <c r="W1874" s="785">
        <f>IFERROR(VLOOKUP($Q1874,'391'!$S:$AG,15,0),0)</f>
        <v>0</v>
      </c>
      <c r="X1874" s="1090">
        <f t="shared" si="1125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 x14ac:dyDescent="0.25">
      <c r="A1875" s="2005"/>
      <c r="B1875" s="390" t="s">
        <v>1816</v>
      </c>
      <c r="C1875" s="257"/>
      <c r="D1875" s="866" t="s">
        <v>10</v>
      </c>
      <c r="E1875" s="1134">
        <v>46135</v>
      </c>
      <c r="F1875" s="71">
        <f t="shared" ref="F1875:F1876" si="1134">$L$7-E1875</f>
        <v>126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4">
        <f t="shared" si="1130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31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25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 x14ac:dyDescent="0.25">
      <c r="A1876" s="2014"/>
      <c r="B1876" s="1024" t="s">
        <v>2154</v>
      </c>
      <c r="C1876" s="126" t="s">
        <v>46</v>
      </c>
      <c r="D1876" s="884" t="s">
        <v>10</v>
      </c>
      <c r="E1876" s="1130">
        <v>46241</v>
      </c>
      <c r="F1876" s="71">
        <f t="shared" si="1134"/>
        <v>20</v>
      </c>
      <c r="G1876" s="37">
        <v>30.200000000000081</v>
      </c>
      <c r="H1876" s="37"/>
      <c r="I1876" s="37">
        <f>+SUM(K1870:K1875)</f>
        <v>120</v>
      </c>
      <c r="J1876" s="1385">
        <f>+usage!I234</f>
        <v>0</v>
      </c>
      <c r="K1876" s="64">
        <f>IFERROR(SUMIF(INTAKE!$A:$A,$T1876,INTAKE!$P:$P),0)</f>
        <v>0</v>
      </c>
      <c r="L1876" s="1534">
        <f t="shared" si="1130"/>
        <v>150.20000000000007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31"/>
        <v>Premix MC-0697BFeedmill46241</v>
      </c>
      <c r="U1876" s="787"/>
      <c r="V1876" s="787"/>
      <c r="W1876" s="785">
        <f>IFERROR(VLOOKUP($Q1876,'391'!$S:$AG,15,0),0)</f>
        <v>0</v>
      </c>
      <c r="X1876" s="1090">
        <f t="shared" si="1125"/>
        <v>30.200000000000081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 x14ac:dyDescent="0.25">
      <c r="A1877" s="2006" t="s">
        <v>119</v>
      </c>
      <c r="B1877" s="2007"/>
      <c r="C1877" s="1033"/>
      <c r="D1877" s="1034"/>
      <c r="E1877" s="1127"/>
      <c r="F1877" s="1034"/>
      <c r="G1877" s="1422">
        <v>630.20000000000005</v>
      </c>
      <c r="H1877" s="1422">
        <f t="shared" ref="H1877:L1877" si="1135">SUM(H1870:H1876)</f>
        <v>0</v>
      </c>
      <c r="I1877" s="1422">
        <f t="shared" si="1135"/>
        <v>120</v>
      </c>
      <c r="J1877" s="1422">
        <f t="shared" si="1135"/>
        <v>0</v>
      </c>
      <c r="K1877" s="1422">
        <f t="shared" si="1135"/>
        <v>120</v>
      </c>
      <c r="L1877" s="1422">
        <f t="shared" si="1135"/>
        <v>630.20000000000005</v>
      </c>
      <c r="M1877" s="889">
        <f>IFERROR(R1877/$S$2,"")</f>
        <v>29.400000000000002</v>
      </c>
      <c r="N1877" s="854">
        <f>IFERROR(L1877/M1877,0)</f>
        <v>21.435374149659864</v>
      </c>
      <c r="O1877" s="889">
        <f>IFERROR(SUMIF(ETM!$A:$A,$Q1877,ETM!$E:$E),"")</f>
        <v>36</v>
      </c>
      <c r="P1877" s="880">
        <f>IFERROR(L1877/O1877,0)</f>
        <v>17.505555555555556</v>
      </c>
      <c r="Q1877" s="814" t="s">
        <v>639</v>
      </c>
      <c r="R1877" s="785">
        <f>IFERROR(VLOOKUP($Q1877,'391'!$S:$Z,8,0),"")</f>
        <v>176.4</v>
      </c>
      <c r="S1877" s="786"/>
      <c r="T1877" s="787"/>
      <c r="U1877" s="787"/>
      <c r="V1877" s="787"/>
      <c r="W1877" s="785">
        <f>IFERROR(VLOOKUP($Q1877,'391'!$S:$AG,15,0),0)</f>
        <v>680.6</v>
      </c>
      <c r="X1877" s="1090">
        <f t="shared" si="1125"/>
        <v>-50.399999999999977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08">
        <f>IF(L1883=0,"",MAX($A$16:A1877)+1)</f>
        <v>133</v>
      </c>
      <c r="B1878" s="507" t="s">
        <v>2133</v>
      </c>
      <c r="C1878" s="257" t="s">
        <v>249</v>
      </c>
      <c r="D1878" s="866" t="s">
        <v>10</v>
      </c>
      <c r="E1878" s="1134">
        <v>46233</v>
      </c>
      <c r="F1878" s="71">
        <f>$L$7-E1878</f>
        <v>28</v>
      </c>
      <c r="G1878" s="11">
        <v>60</v>
      </c>
      <c r="H1878" s="11"/>
      <c r="I1878" s="11"/>
      <c r="J1878" s="1388"/>
      <c r="K1878" s="64">
        <f>IFERROR(SUMIF(INTAKE!$A:$A,$T1878,INTAKE!$P:$P),0)</f>
        <v>0</v>
      </c>
      <c r="L1878" s="1703">
        <f>+G1878+H1878+I1878-J1878-K1878</f>
        <v>60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MC0697GX3.146233</v>
      </c>
      <c r="U1878" s="787"/>
      <c r="V1878" s="787"/>
      <c r="W1878" s="785">
        <f>IFERROR(VLOOKUP($Q1878,'391'!$S:$AG,15,0),0)</f>
        <v>0</v>
      </c>
      <c r="X1878" s="1090">
        <f t="shared" si="1125"/>
        <v>60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09"/>
      <c r="B1879" s="507" t="s">
        <v>2133</v>
      </c>
      <c r="C1879" s="257"/>
      <c r="D1879" s="866" t="s">
        <v>10</v>
      </c>
      <c r="E1879" s="1134">
        <v>46233</v>
      </c>
      <c r="F1879" s="71">
        <f>$L$7-E1879</f>
        <v>28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3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MC0697G46233</v>
      </c>
      <c r="U1879" s="787"/>
      <c r="V1879" s="787"/>
      <c r="W1879" s="785">
        <f>IFERROR(VLOOKUP($Q1879,'391'!$S:$AG,15,0),0)</f>
        <v>0</v>
      </c>
      <c r="X1879" s="1090">
        <f t="shared" si="1125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hidden="1" customHeight="1" x14ac:dyDescent="0.25">
      <c r="A1880" s="2009"/>
      <c r="B1880" s="507" t="s">
        <v>1872</v>
      </c>
      <c r="C1880" s="257"/>
      <c r="D1880" s="866" t="s">
        <v>10</v>
      </c>
      <c r="E1880" s="1134">
        <v>46206</v>
      </c>
      <c r="F1880" s="71">
        <f>$L$7-E1880</f>
        <v>55</v>
      </c>
      <c r="G1880" s="11">
        <v>0</v>
      </c>
      <c r="H1880" s="11"/>
      <c r="I1880" s="11"/>
      <c r="J1880" s="1388"/>
      <c r="K1880" s="64">
        <f>IFERROR(SUMIF(INTAKE!$A:$A,$T1880,INTAKE!$P:$P),0)</f>
        <v>0</v>
      </c>
      <c r="L1880" s="1703">
        <f>+G1880+H1880+I1880-J1880-K1880</f>
        <v>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MC0697G46206</v>
      </c>
      <c r="U1880" s="787"/>
      <c r="V1880" s="787"/>
      <c r="W1880" s="785">
        <f>IFERROR(VLOOKUP($Q1880,'391'!$S:$AG,15,0),0)</f>
        <v>0</v>
      </c>
      <c r="X1880" s="1090">
        <f t="shared" si="1125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 x14ac:dyDescent="0.25">
      <c r="A1881" s="2009"/>
      <c r="B1881" s="507" t="s">
        <v>1603</v>
      </c>
      <c r="C1881" s="257"/>
      <c r="D1881" s="866" t="s">
        <v>10</v>
      </c>
      <c r="E1881" s="1134">
        <v>45814</v>
      </c>
      <c r="F1881" s="71">
        <f>$L$7-E1881</f>
        <v>447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3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25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10"/>
      <c r="B1882" s="1024" t="s">
        <v>2133</v>
      </c>
      <c r="C1882" s="126" t="s">
        <v>46</v>
      </c>
      <c r="D1882" s="884" t="s">
        <v>10</v>
      </c>
      <c r="E1882" s="1136">
        <v>46233</v>
      </c>
      <c r="F1882" s="71">
        <f>$L$7-E1882</f>
        <v>28</v>
      </c>
      <c r="G1882" s="37">
        <v>21.8</v>
      </c>
      <c r="H1882" s="37"/>
      <c r="I1882" s="37">
        <f>+SUM(K1878:K1881)</f>
        <v>0</v>
      </c>
      <c r="J1882" s="1385">
        <f>+usage!I246</f>
        <v>0</v>
      </c>
      <c r="K1882" s="64">
        <f>IFERROR(SUMIF(INTAKE!$A:$A,$T1882,INTAKE!$P:$P),0)</f>
        <v>0</v>
      </c>
      <c r="L1882" s="1534">
        <f>+G1882+H1882+I1882-J1882-K1882</f>
        <v>21.8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25"/>
        <v>21.8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 x14ac:dyDescent="0.25">
      <c r="A1883" s="2006" t="s">
        <v>355</v>
      </c>
      <c r="B1883" s="2007"/>
      <c r="C1883" s="1033"/>
      <c r="D1883" s="1034"/>
      <c r="E1883" s="1127"/>
      <c r="F1883" s="1034"/>
      <c r="G1883" s="1422">
        <v>81.8</v>
      </c>
      <c r="H1883" s="1422">
        <f>SUM(H1878:H1882)</f>
        <v>0</v>
      </c>
      <c r="I1883" s="1422">
        <f>SUM(I1878:I1882)</f>
        <v>0</v>
      </c>
      <c r="J1883" s="1422">
        <f t="shared" ref="J1883:L1883" si="1136">SUM(J1878:J1882)</f>
        <v>0</v>
      </c>
      <c r="K1883" s="1422">
        <f t="shared" si="1136"/>
        <v>0</v>
      </c>
      <c r="L1883" s="1422">
        <f t="shared" si="1136"/>
        <v>81.8</v>
      </c>
      <c r="M1883" s="889">
        <f>IFERROR(R1883/$S$2,"")</f>
        <v>4.2</v>
      </c>
      <c r="N1883" s="854">
        <f>IFERROR(L1883/M1883,0)</f>
        <v>19.476190476190474</v>
      </c>
      <c r="O1883" s="889">
        <f>IFERROR(SUMIF(ETM!$A:$A,$Q1883,ETM!$E:$E),"")</f>
        <v>0</v>
      </c>
      <c r="P1883" s="880">
        <f>IFERROR(L1883/O1883,0)</f>
        <v>0</v>
      </c>
      <c r="Q1883" s="814" t="s">
        <v>640</v>
      </c>
      <c r="R1883" s="785">
        <f>IFERROR(VLOOKUP($Q1883,'391'!$S:$Z,8,0),"")</f>
        <v>25.2</v>
      </c>
      <c r="S1883" s="786"/>
      <c r="T1883" s="787"/>
      <c r="U1883" s="787"/>
      <c r="V1883" s="787"/>
      <c r="W1883" s="785">
        <f>IFERROR(VLOOKUP($Q1883,'391'!$S:$AG,15,0),0)</f>
        <v>81.8</v>
      </c>
      <c r="X1883" s="1090">
        <f t="shared" si="1125"/>
        <v>0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 x14ac:dyDescent="0.25">
      <c r="A1884" s="2189">
        <f>IF(L1901=0,"",MAX($A$16:A1883)+1)</f>
        <v>134</v>
      </c>
      <c r="B1884" s="2046" t="s">
        <v>508</v>
      </c>
      <c r="C1884" s="1181" t="s">
        <v>1190</v>
      </c>
      <c r="D1884" s="866" t="s">
        <v>10</v>
      </c>
      <c r="E1884" s="935">
        <v>46248</v>
      </c>
      <c r="F1884" s="71">
        <f t="shared" ref="F1884" si="1137">$L$7-E1884</f>
        <v>13</v>
      </c>
      <c r="G1884" s="64">
        <v>4000</v>
      </c>
      <c r="H1884" s="64"/>
      <c r="I1884" s="64"/>
      <c r="J1884" s="1367"/>
      <c r="K1884" s="64">
        <f>IFERROR(SUMIF(INTAKE!$A:$A,$T1884,INTAKE!$P:$P),0)</f>
        <v>0</v>
      </c>
      <c r="L1884" s="1703">
        <f t="shared" ref="L1884:L1900" si="1138">+G1884+H1884+I1884-J1884-K1884</f>
        <v>4000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39">$Q$1901&amp;C1884&amp;E1884</f>
        <v>MS SWINE 0314A18.146248</v>
      </c>
      <c r="U1884" s="787"/>
      <c r="V1884" s="787"/>
      <c r="W1884" s="785">
        <f>IFERROR(VLOOKUP($Q1884,'391'!$S:$AG,15,0),0)</f>
        <v>0</v>
      </c>
      <c r="X1884" s="1090">
        <f t="shared" si="1125"/>
        <v>4000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25"/>
      <c r="B1885" s="2068"/>
      <c r="C1885" s="1181"/>
      <c r="D1885" s="866" t="s">
        <v>10</v>
      </c>
      <c r="E1885" s="935">
        <v>46248</v>
      </c>
      <c r="F1885" s="71">
        <f t="shared" ref="F1885" si="1140">$L$7-E1885</f>
        <v>13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3">
        <f t="shared" si="1138"/>
        <v>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39"/>
        <v>MS SWINE 031446248</v>
      </c>
      <c r="U1885" s="787"/>
      <c r="V1885" s="787"/>
      <c r="W1885" s="785">
        <f>IFERROR(VLOOKUP($Q1885,'391'!$S:$AG,15,0),0)</f>
        <v>0</v>
      </c>
      <c r="X1885" s="1090">
        <f t="shared" si="1125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25"/>
      <c r="B1886" s="2068"/>
      <c r="C1886" s="1181"/>
      <c r="D1886" s="866" t="s">
        <v>10</v>
      </c>
      <c r="E1886" s="935">
        <v>46248</v>
      </c>
      <c r="F1886" s="71">
        <f t="shared" ref="F1886" si="1141">$L$7-E1886</f>
        <v>13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si="1138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39"/>
        <v>MS SWINE 031446248</v>
      </c>
      <c r="U1886" s="787"/>
      <c r="V1886" s="787"/>
      <c r="W1886" s="785">
        <f>IFERROR(VLOOKUP($Q1886,'391'!$S:$AG,15,0),0)</f>
        <v>0</v>
      </c>
      <c r="X1886" s="1090">
        <f t="shared" si="1125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25"/>
      <c r="B1887" s="2072"/>
      <c r="C1887" s="1181"/>
      <c r="D1887" s="866" t="s">
        <v>10</v>
      </c>
      <c r="E1887" s="935">
        <v>46163</v>
      </c>
      <c r="F1887" s="71">
        <f t="shared" ref="F1887" si="1142">$L$7-E1887</f>
        <v>98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si="1138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39"/>
        <v>MS SWINE 031446163</v>
      </c>
      <c r="U1887" s="787"/>
      <c r="V1887" s="787"/>
      <c r="W1887" s="785">
        <f>IFERROR(VLOOKUP($Q1887,'391'!$S:$AG,15,0),0)</f>
        <v>0</v>
      </c>
      <c r="X1887" s="1090">
        <f t="shared" si="1125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5"/>
      <c r="B1888" s="2072"/>
      <c r="C1888" s="1181"/>
      <c r="D1888" s="866" t="s">
        <v>10</v>
      </c>
      <c r="E1888" s="935">
        <v>46163</v>
      </c>
      <c r="F1888" s="71">
        <f t="shared" ref="F1888" si="1143">$L$7-E1888</f>
        <v>98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si="1138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39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44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5"/>
      <c r="B1889" s="2072"/>
      <c r="C1889" s="1181"/>
      <c r="D1889" s="866" t="s">
        <v>10</v>
      </c>
      <c r="E1889" s="935">
        <v>46141</v>
      </c>
      <c r="F1889" s="71">
        <f t="shared" ref="F1889:F1890" si="1145">$L$7-E1889</f>
        <v>120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ref="L1889" si="1146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39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44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5"/>
      <c r="B1890" s="2072"/>
      <c r="C1890" s="1181"/>
      <c r="D1890" s="866" t="s">
        <v>10</v>
      </c>
      <c r="E1890" s="935">
        <v>46150</v>
      </c>
      <c r="F1890" s="71">
        <f t="shared" si="1145"/>
        <v>111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ref="L1890" si="1147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39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25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5"/>
      <c r="B1891" s="2072"/>
      <c r="C1891" s="1181"/>
      <c r="D1891" s="866" t="s">
        <v>10</v>
      </c>
      <c r="E1891" s="935">
        <v>46150</v>
      </c>
      <c r="F1891" s="71">
        <f t="shared" ref="F1891" si="1148">$L$7-E1891</f>
        <v>111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38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39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49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5"/>
      <c r="B1892" s="2072"/>
      <c r="C1892" s="1181"/>
      <c r="D1892" s="866" t="s">
        <v>10</v>
      </c>
      <c r="E1892" s="935">
        <v>46031</v>
      </c>
      <c r="F1892" s="71">
        <f t="shared" ref="F1892" si="1150">$L$7-E1892</f>
        <v>230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ref="L1892:L1896" si="1151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39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49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5"/>
      <c r="B1893" s="2072"/>
      <c r="C1893" s="1181"/>
      <c r="D1893" s="866" t="s">
        <v>10</v>
      </c>
      <c r="E1893" s="935">
        <v>46022</v>
      </c>
      <c r="F1893" s="71">
        <f t="shared" ref="F1893:F1894" si="1152">$L$7-E1893</f>
        <v>239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51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39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53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5"/>
      <c r="B1894" s="2072"/>
      <c r="C1894" s="1181"/>
      <c r="D1894" s="866" t="s">
        <v>10</v>
      </c>
      <c r="E1894" s="935">
        <v>46017</v>
      </c>
      <c r="F1894" s="71">
        <f t="shared" si="1152"/>
        <v>244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3">
        <f t="shared" si="1151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39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53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5"/>
      <c r="B1895" s="2072"/>
      <c r="C1895" s="1181"/>
      <c r="D1895" s="866" t="s">
        <v>10</v>
      </c>
      <c r="E1895" s="935">
        <v>46017</v>
      </c>
      <c r="F1895" s="71">
        <f t="shared" ref="F1895:F1896" si="1154">$L$7-E1895</f>
        <v>244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3">
        <f t="shared" si="1151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39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53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5"/>
      <c r="B1896" s="2072"/>
      <c r="C1896" s="1181"/>
      <c r="D1896" s="866" t="s">
        <v>10</v>
      </c>
      <c r="E1896" s="935">
        <v>45995</v>
      </c>
      <c r="F1896" s="71">
        <f t="shared" si="1154"/>
        <v>266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 t="shared" si="1151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39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53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5"/>
      <c r="B1897" s="2072"/>
      <c r="C1897" s="1181"/>
      <c r="D1897" s="866" t="s">
        <v>10</v>
      </c>
      <c r="E1897" s="935">
        <v>45995</v>
      </c>
      <c r="F1897" s="71">
        <f t="shared" ref="F1897" si="1155">$L$7-E1897</f>
        <v>266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 t="shared" si="1138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39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56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5"/>
      <c r="B1898" s="2072"/>
      <c r="C1898" s="1181"/>
      <c r="D1898" s="866" t="s">
        <v>10</v>
      </c>
      <c r="E1898" s="935">
        <v>45995</v>
      </c>
      <c r="F1898" s="71">
        <f t="shared" ref="F1898" si="1157">$L$7-E1898</f>
        <v>266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3">
        <f t="shared" ref="L1898" si="1158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39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49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25"/>
      <c r="B1899" s="2068"/>
      <c r="C1899" s="1181"/>
      <c r="D1899" s="866" t="s">
        <v>10</v>
      </c>
      <c r="E1899" s="935">
        <v>45987</v>
      </c>
      <c r="F1899" s="71">
        <f t="shared" ref="F1899:F1900" si="1159">$L$7-E1899</f>
        <v>274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3">
        <f t="shared" si="1138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39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25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 x14ac:dyDescent="0.25">
      <c r="A1900" s="2025"/>
      <c r="B1900" s="2047"/>
      <c r="C1900" s="61" t="s">
        <v>46</v>
      </c>
      <c r="D1900" s="863" t="s">
        <v>10</v>
      </c>
      <c r="E1900" s="934">
        <v>46248</v>
      </c>
      <c r="F1900" s="71">
        <f t="shared" si="1159"/>
        <v>13</v>
      </c>
      <c r="G1900" s="37">
        <v>780.90000000000077</v>
      </c>
      <c r="H1900" s="37"/>
      <c r="I1900" s="37">
        <f>+SUM(K1884:K1899)</f>
        <v>0</v>
      </c>
      <c r="J1900" s="1385">
        <f>+usage!I243</f>
        <v>755.96</v>
      </c>
      <c r="K1900" s="64">
        <f>IFERROR(SUMIF(INTAKE!$A:$A,$T1900,INTAKE!$P:$P),0)</f>
        <v>0</v>
      </c>
      <c r="L1900" s="1534">
        <f t="shared" si="1138"/>
        <v>24.940000000000737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39"/>
        <v>MS SWINE 0314Feedmill46248</v>
      </c>
      <c r="U1900" s="787"/>
      <c r="V1900" s="787"/>
      <c r="W1900" s="785">
        <f>IFERROR(VLOOKUP($Q1900,'391'!$S:$AG,15,0),0)</f>
        <v>0</v>
      </c>
      <c r="X1900" s="1090">
        <f t="shared" si="1125"/>
        <v>780.90000000000077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 x14ac:dyDescent="0.25">
      <c r="A1901" s="2022" t="s">
        <v>1431</v>
      </c>
      <c r="B1901" s="2023"/>
      <c r="C1901" s="1033"/>
      <c r="D1901" s="1034"/>
      <c r="E1901" s="1127"/>
      <c r="F1901" s="1034"/>
      <c r="G1901" s="1422">
        <v>4780.9000000000005</v>
      </c>
      <c r="H1901" s="1422">
        <f t="shared" ref="H1901:I1901" si="1160">SUM(H1884:H1900)</f>
        <v>0</v>
      </c>
      <c r="I1901" s="1422">
        <f t="shared" si="1160"/>
        <v>0</v>
      </c>
      <c r="J1901" s="1422">
        <f t="shared" ref="J1901:L1901" si="1161">SUM(J1884:J1900)</f>
        <v>755.96</v>
      </c>
      <c r="K1901" s="1422">
        <f t="shared" si="1161"/>
        <v>0</v>
      </c>
      <c r="L1901" s="1422">
        <f t="shared" si="1161"/>
        <v>4024.9400000000005</v>
      </c>
      <c r="M1901" s="59">
        <f>IFERROR(R1901/$S$2,"")</f>
        <v>792.38333333333333</v>
      </c>
      <c r="N1901" s="854">
        <f>(L1901/M1901)</f>
        <v>5.079536419662201</v>
      </c>
      <c r="O1901" s="59">
        <f>IFERROR(SUMIF(ETM!$A:$A,$Q1901,ETM!$E:$E),"")</f>
        <v>930.16666666666674</v>
      </c>
      <c r="P1901" s="880">
        <f>IFERROR(L1901/O1901,0)</f>
        <v>4.3271170041211251</v>
      </c>
      <c r="Q1901" s="814" t="s">
        <v>633</v>
      </c>
      <c r="R1901" s="785">
        <f>IFERROR(VLOOKUP($Q1901,'391'!$S:$Z,8,0),"")</f>
        <v>4754.3</v>
      </c>
      <c r="S1901" s="786"/>
      <c r="T1901" s="787"/>
      <c r="U1901" s="787"/>
      <c r="V1901" s="787"/>
      <c r="W1901" s="785">
        <f>IFERROR(VLOOKUP($Q1901,'391'!$S:$AG,15,0),0)</f>
        <v>7055.88</v>
      </c>
      <c r="X1901" s="1090">
        <f t="shared" si="1125"/>
        <v>-2274.9799999999996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189" t="str">
        <f>IF(L1907=0,"",MAX($A$16:A1901)+1)</f>
        <v/>
      </c>
      <c r="B1902" s="393" t="s">
        <v>1604</v>
      </c>
      <c r="C1902" s="1181"/>
      <c r="D1902" s="866" t="s">
        <v>10</v>
      </c>
      <c r="E1902" s="935">
        <v>45821</v>
      </c>
      <c r="F1902" s="71">
        <f>$L$7-E1902</f>
        <v>440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3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25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5"/>
      <c r="B1903" s="393" t="s">
        <v>1604</v>
      </c>
      <c r="C1903" s="1181" t="s">
        <v>1598</v>
      </c>
      <c r="D1903" s="866" t="s">
        <v>10</v>
      </c>
      <c r="E1903" s="935">
        <v>45821</v>
      </c>
      <c r="F1903" s="71">
        <f>$L$7-E1903</f>
        <v>440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3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25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5"/>
      <c r="B1904" s="393" t="s">
        <v>1604</v>
      </c>
      <c r="C1904" s="1181"/>
      <c r="D1904" s="866" t="s">
        <v>10</v>
      </c>
      <c r="E1904" s="935">
        <v>45821</v>
      </c>
      <c r="F1904" s="71">
        <f>$L$7-E1904</f>
        <v>440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3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25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25"/>
      <c r="B1905" s="393" t="s">
        <v>1592</v>
      </c>
      <c r="C1905" s="1181"/>
      <c r="D1905" s="866" t="s">
        <v>10</v>
      </c>
      <c r="E1905" s="935">
        <v>45799</v>
      </c>
      <c r="F1905" s="71">
        <f>$L$7-E1905</f>
        <v>462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4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25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25"/>
      <c r="B1906" s="1497" t="s">
        <v>1604</v>
      </c>
      <c r="C1906" s="61" t="s">
        <v>46</v>
      </c>
      <c r="D1906" s="863" t="s">
        <v>10</v>
      </c>
      <c r="E1906" s="934">
        <v>45821</v>
      </c>
      <c r="F1906" s="71">
        <f>$L$7-E1906</f>
        <v>440</v>
      </c>
      <c r="G1906" s="37">
        <v>0</v>
      </c>
      <c r="H1906" s="37"/>
      <c r="I1906" s="37">
        <f>+SUM(K1902:K1904)</f>
        <v>0</v>
      </c>
      <c r="J1906" s="1385">
        <f>usage!I248</f>
        <v>0</v>
      </c>
      <c r="K1906" s="64">
        <f>IFERROR(SUMIF(INTAKE!$A:$A,$T1906,INTAKE!$P:$P),0)</f>
        <v>0</v>
      </c>
      <c r="L1906" s="1534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25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22" t="s">
        <v>1432</v>
      </c>
      <c r="B1907" s="2023"/>
      <c r="C1907" s="1033"/>
      <c r="D1907" s="1034"/>
      <c r="E1907" s="1127"/>
      <c r="F1907" s="1034"/>
      <c r="G1907" s="1422">
        <v>0</v>
      </c>
      <c r="H1907" s="1422">
        <f t="shared" ref="H1907:I1907" si="1162">SUM(H1902:H1906)</f>
        <v>0</v>
      </c>
      <c r="I1907" s="1422">
        <f t="shared" si="1162"/>
        <v>0</v>
      </c>
      <c r="J1907" s="1422">
        <f t="shared" ref="J1907:L1907" si="1163">SUM(J1902:J1906)</f>
        <v>0</v>
      </c>
      <c r="K1907" s="1422">
        <f t="shared" si="1163"/>
        <v>0</v>
      </c>
      <c r="L1907" s="1422">
        <f t="shared" si="1163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1430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25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13" t="str">
        <f>IF(L1910=0,"",MAX($A$16:A1904)+1)</f>
        <v/>
      </c>
      <c r="B1908" s="1762" t="s">
        <v>1608</v>
      </c>
      <c r="C1908" s="186"/>
      <c r="D1908" s="866" t="s">
        <v>10</v>
      </c>
      <c r="E1908" s="935">
        <v>45835</v>
      </c>
      <c r="F1908" s="71">
        <f>$L$7-E1908</f>
        <v>426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3">
        <f t="shared" ref="L1908:L1909" si="1164">+G1908+H1908+I1908-J1908-K1908</f>
        <v>0</v>
      </c>
      <c r="M1908" s="1732"/>
      <c r="N1908" s="920"/>
      <c r="O1908" s="1732"/>
      <c r="P1908" s="1733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25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14"/>
      <c r="B1909" s="1497" t="s">
        <v>1608</v>
      </c>
      <c r="C1909" s="144" t="s">
        <v>46</v>
      </c>
      <c r="D1909" s="866" t="s">
        <v>10</v>
      </c>
      <c r="E1909" s="934">
        <v>45835</v>
      </c>
      <c r="F1909" s="71">
        <f>$L$7-E1909</f>
        <v>426</v>
      </c>
      <c r="G1909" s="37">
        <v>0</v>
      </c>
      <c r="H1909" s="37"/>
      <c r="I1909" s="37">
        <f>+K1908</f>
        <v>0</v>
      </c>
      <c r="J1909" s="1385">
        <f>usage!I249</f>
        <v>0</v>
      </c>
      <c r="K1909" s="1835"/>
      <c r="L1909" s="1534">
        <f t="shared" si="1164"/>
        <v>0</v>
      </c>
      <c r="M1909" s="1736"/>
      <c r="N1909" s="1737"/>
      <c r="O1909" s="1738"/>
      <c r="P1909" s="1739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25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 x14ac:dyDescent="0.25">
      <c r="A1910" s="2006" t="s">
        <v>1503</v>
      </c>
      <c r="B1910" s="2007"/>
      <c r="C1910" s="125"/>
      <c r="D1910" s="1027"/>
      <c r="E1910" s="1131"/>
      <c r="F1910" s="896"/>
      <c r="G1910" s="1422">
        <v>0</v>
      </c>
      <c r="H1910" s="1422">
        <f t="shared" ref="H1910:I1910" si="1165">SUM(H1908:H1909)</f>
        <v>0</v>
      </c>
      <c r="I1910" s="1422">
        <f t="shared" si="1165"/>
        <v>0</v>
      </c>
      <c r="J1910" s="1422">
        <f t="shared" ref="J1910:L1910" si="1166">SUM(J1908:J1909)</f>
        <v>0</v>
      </c>
      <c r="K1910" s="1422">
        <f t="shared" si="1166"/>
        <v>0</v>
      </c>
      <c r="L1910" s="1422">
        <f t="shared" si="1166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1" t="s">
        <v>1508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25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 x14ac:dyDescent="0.25">
      <c r="A1911" s="2013" t="str">
        <f>IF(L1913=0,"",MAX($A$16:A1910)+1)</f>
        <v/>
      </c>
      <c r="B1911" s="1762" t="s">
        <v>1609</v>
      </c>
      <c r="C1911" s="186"/>
      <c r="D1911" s="866" t="s">
        <v>10</v>
      </c>
      <c r="E1911" s="935">
        <v>45835</v>
      </c>
      <c r="F1911" s="71">
        <f>$L$7-E1911</f>
        <v>426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3">
        <f t="shared" ref="L1911:L1932" si="1167">+G1911+H1911+I1911-J1911-K1911</f>
        <v>0</v>
      </c>
      <c r="M1911" s="66"/>
      <c r="N1911" s="920"/>
      <c r="O1911" s="1732"/>
      <c r="P1911" s="1733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25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 x14ac:dyDescent="0.25">
      <c r="A1912" s="2014"/>
      <c r="B1912" s="1497" t="s">
        <v>1609</v>
      </c>
      <c r="C1912" s="144" t="s">
        <v>46</v>
      </c>
      <c r="D1912" s="866" t="s">
        <v>10</v>
      </c>
      <c r="E1912" s="934">
        <v>45835</v>
      </c>
      <c r="F1912" s="71">
        <f>$L$7-E1912</f>
        <v>426</v>
      </c>
      <c r="G1912" s="37">
        <v>0</v>
      </c>
      <c r="H1912" s="37"/>
      <c r="I1912" s="37">
        <f>+K1911</f>
        <v>0</v>
      </c>
      <c r="J1912" s="1385"/>
      <c r="K1912" s="1835"/>
      <c r="L1912" s="1534">
        <f t="shared" si="1167"/>
        <v>0</v>
      </c>
      <c r="M1912" s="381"/>
      <c r="N1912" s="1734"/>
      <c r="O1912" s="1735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25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 x14ac:dyDescent="0.25">
      <c r="A1913" s="2006" t="s">
        <v>1504</v>
      </c>
      <c r="B1913" s="2007"/>
      <c r="C1913" s="125"/>
      <c r="D1913" s="1027"/>
      <c r="E1913" s="1131"/>
      <c r="F1913" s="896"/>
      <c r="G1913" s="1422">
        <v>0</v>
      </c>
      <c r="H1913" s="1422">
        <f t="shared" ref="H1913:I1913" si="1168">SUM(H1911:H1912)</f>
        <v>0</v>
      </c>
      <c r="I1913" s="1422">
        <f t="shared" si="1168"/>
        <v>0</v>
      </c>
      <c r="J1913" s="1422">
        <f t="shared" ref="J1913:L1913" si="1169">SUM(J1911:J1912)</f>
        <v>0</v>
      </c>
      <c r="K1913" s="1422">
        <f t="shared" si="1169"/>
        <v>0</v>
      </c>
      <c r="L1913" s="1422">
        <f t="shared" si="1169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1507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25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 x14ac:dyDescent="0.25">
      <c r="A1914" s="2008" t="str">
        <f>IF(L1919=0,"",MAX($A$16:A1913)+1)</f>
        <v/>
      </c>
      <c r="B1914" s="391" t="s">
        <v>1853</v>
      </c>
      <c r="C1914" s="240"/>
      <c r="D1914" s="866" t="s">
        <v>10</v>
      </c>
      <c r="E1914" s="1134">
        <v>46192</v>
      </c>
      <c r="F1914" s="71">
        <f>$L$7-E1914</f>
        <v>69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3">
        <f t="shared" si="1167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25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09"/>
      <c r="B1915" s="391" t="s">
        <v>1882</v>
      </c>
      <c r="C1915" s="240"/>
      <c r="D1915" s="866" t="s">
        <v>10</v>
      </c>
      <c r="E1915" s="1134">
        <v>46213</v>
      </c>
      <c r="F1915" s="71">
        <f>$L$7-E1915</f>
        <v>48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3">
        <f t="shared" si="1167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25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09"/>
      <c r="B1916" s="391" t="s">
        <v>1737</v>
      </c>
      <c r="C1916" s="240"/>
      <c r="D1916" s="866" t="s">
        <v>10</v>
      </c>
      <c r="E1916" s="1134">
        <v>46038</v>
      </c>
      <c r="F1916" s="71">
        <f>$L$7-E1916</f>
        <v>223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3">
        <f t="shared" si="1167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25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09"/>
      <c r="B1917" s="391" t="s">
        <v>1737</v>
      </c>
      <c r="C1917" s="240"/>
      <c r="D1917" s="866" t="s">
        <v>10</v>
      </c>
      <c r="E1917" s="1134">
        <v>46038</v>
      </c>
      <c r="F1917" s="71">
        <f>$L$7-E1917</f>
        <v>223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3">
        <f t="shared" si="1167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25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hidden="1" customHeight="1" x14ac:dyDescent="0.25">
      <c r="A1918" s="2010"/>
      <c r="B1918" s="1025" t="s">
        <v>1882</v>
      </c>
      <c r="C1918" s="199" t="s">
        <v>46</v>
      </c>
      <c r="D1918" s="863" t="s">
        <v>10</v>
      </c>
      <c r="E1918" s="1123">
        <v>46213</v>
      </c>
      <c r="F1918" s="71">
        <f>$L$7-E1918</f>
        <v>48</v>
      </c>
      <c r="G1918" s="1434">
        <v>0</v>
      </c>
      <c r="H1918" s="37"/>
      <c r="I1918" s="37">
        <f>+SUM(K1914:K1917)</f>
        <v>0</v>
      </c>
      <c r="J1918" s="1385">
        <f>+usage!I222</f>
        <v>0</v>
      </c>
      <c r="K1918" s="64">
        <f>IFERROR(SUMIF(INTAKE!$A:$A,$T1918,INTAKE!$P:$P),0)</f>
        <v>0</v>
      </c>
      <c r="L1918" s="1715">
        <f t="shared" si="1167"/>
        <v>0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25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hidden="1" customHeight="1" x14ac:dyDescent="0.25">
      <c r="A1919" s="2006" t="s">
        <v>38</v>
      </c>
      <c r="B1919" s="2007"/>
      <c r="C1919" s="125"/>
      <c r="D1919" s="1027"/>
      <c r="E1919" s="1131"/>
      <c r="F1919" s="896"/>
      <c r="G1919" s="1422">
        <v>0</v>
      </c>
      <c r="H1919" s="1422">
        <f>SUM(H1914:H1918)</f>
        <v>0</v>
      </c>
      <c r="I1919" s="1422">
        <f>+SUM(I1914:I1918)</f>
        <v>0</v>
      </c>
      <c r="J1919" s="1422">
        <f t="shared" ref="J1919:K1919" si="1170">SUM(J1914:J1918)</f>
        <v>0</v>
      </c>
      <c r="K1919" s="1422">
        <f t="shared" si="1170"/>
        <v>0</v>
      </c>
      <c r="L1919" s="1422">
        <f t="shared" si="1167"/>
        <v>0</v>
      </c>
      <c r="M1919" s="889">
        <f>IFERROR(R1919/$S$2,"")</f>
        <v>0</v>
      </c>
      <c r="N1919" s="854">
        <f>IFERROR(L1919/M1919,0)</f>
        <v>0</v>
      </c>
      <c r="O1919" s="889">
        <f>IFERROR(SUMIF(ETM!$A:$A,$Q1919,ETM!$E:$E),"")</f>
        <v>0</v>
      </c>
      <c r="P1919" s="880">
        <f>IFERROR(L1919/O1919,0)</f>
        <v>0</v>
      </c>
      <c r="Q1919" s="814" t="s">
        <v>632</v>
      </c>
      <c r="R1919" s="785">
        <f>IFERROR(VLOOKUP($Q1919,'391'!$S:$Z,8,0),"")</f>
        <v>0</v>
      </c>
      <c r="S1919" s="786"/>
      <c r="T1919" s="787"/>
      <c r="U1919" s="787"/>
      <c r="V1919" s="787"/>
      <c r="W1919" s="785">
        <f>IFERROR(VLOOKUP($Q1919,'391'!$S:$AG,15,0),0)</f>
        <v>1</v>
      </c>
      <c r="X1919" s="1090">
        <f t="shared" si="1125"/>
        <v>-1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 x14ac:dyDescent="0.25">
      <c r="A1920" s="2185">
        <f>IF(L1933=0,"",MAX($A$16:A1919)+1)</f>
        <v>135</v>
      </c>
      <c r="B1920" s="390" t="s">
        <v>2188</v>
      </c>
      <c r="C1920" s="237" t="s">
        <v>1857</v>
      </c>
      <c r="D1920" s="866" t="s">
        <v>10</v>
      </c>
      <c r="E1920" s="1134">
        <v>46247</v>
      </c>
      <c r="F1920" s="71">
        <f t="shared" ref="F1920:F1922" si="1171">$L$7-E1920</f>
        <v>14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67"/>
        <v>1050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72">$Q$1933&amp;C1920&amp;E1920</f>
        <v>Premix RED 2%Y5.246247</v>
      </c>
      <c r="U1920" s="787"/>
      <c r="V1920" s="787"/>
      <c r="W1920" s="785">
        <f>IFERROR(VLOOKUP($Q1920,'391'!$S:$AG,15,0),0)</f>
        <v>0</v>
      </c>
      <c r="X1920" s="1090">
        <f t="shared" si="1125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2"/>
      <c r="B1921" s="390" t="s">
        <v>2188</v>
      </c>
      <c r="C1921" s="237" t="s">
        <v>141</v>
      </c>
      <c r="D1921" s="866" t="s">
        <v>10</v>
      </c>
      <c r="E1921" s="1134">
        <v>46247</v>
      </c>
      <c r="F1921" s="71">
        <f t="shared" si="1171"/>
        <v>14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3">
        <f t="shared" si="1167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2"/>
        <v>Premix RED 2%Y6.246247</v>
      </c>
      <c r="U1921" s="787"/>
      <c r="V1921" s="787"/>
      <c r="W1921" s="785">
        <f>IFERROR(VLOOKUP($Q1921,'391'!$S:$AG,15,0),0)</f>
        <v>0</v>
      </c>
      <c r="X1921" s="1090">
        <f t="shared" si="1125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3"/>
      <c r="B1922" s="390" t="s">
        <v>2222</v>
      </c>
      <c r="C1922" s="237" t="s">
        <v>271</v>
      </c>
      <c r="D1922" s="866" t="s">
        <v>10</v>
      </c>
      <c r="E1922" s="1134">
        <v>46254</v>
      </c>
      <c r="F1922" s="71">
        <f t="shared" si="1171"/>
        <v>7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3">
        <f t="shared" si="1167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2"/>
        <v>Premix RED 2%Y5.346254</v>
      </c>
      <c r="U1922" s="787"/>
      <c r="V1922" s="787"/>
      <c r="W1922" s="785">
        <f>IFERROR(VLOOKUP($Q1922,'391'!$S:$AG,15,0),0)</f>
        <v>0</v>
      </c>
      <c r="X1922" s="1090">
        <f t="shared" si="1125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03"/>
      <c r="B1923" s="390" t="s">
        <v>2222</v>
      </c>
      <c r="C1923" s="237"/>
      <c r="D1923" s="866" t="s">
        <v>10</v>
      </c>
      <c r="E1923" s="1134">
        <v>46254</v>
      </c>
      <c r="F1923" s="71">
        <f t="shared" ref="F1923" si="1173">$L$7-E1923</f>
        <v>7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3">
        <f t="shared" si="1167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2"/>
        <v>Premix RED 2%46254</v>
      </c>
      <c r="U1923" s="787"/>
      <c r="V1923" s="787"/>
      <c r="W1923" s="785">
        <f>IFERROR(VLOOKUP($Q1923,'391'!$S:$AG,15,0),0)</f>
        <v>0</v>
      </c>
      <c r="X1923" s="1090">
        <f t="shared" si="1125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03"/>
      <c r="B1924" s="390" t="s">
        <v>2222</v>
      </c>
      <c r="C1924" s="237"/>
      <c r="D1924" s="866" t="s">
        <v>10</v>
      </c>
      <c r="E1924" s="1134">
        <v>46254</v>
      </c>
      <c r="F1924" s="71">
        <f t="shared" ref="F1924" si="1174">$L$7-E1924</f>
        <v>7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3">
        <f t="shared" si="1167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2"/>
        <v>Premix RED 2%46254</v>
      </c>
      <c r="U1924" s="787"/>
      <c r="V1924" s="787"/>
      <c r="W1924" s="785">
        <f>IFERROR(VLOOKUP($Q1924,'391'!$S:$AG,15,0),0)</f>
        <v>0</v>
      </c>
      <c r="X1924" s="1090">
        <f t="shared" si="1125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3"/>
      <c r="B1925" s="390" t="s">
        <v>2188</v>
      </c>
      <c r="C1925" s="237"/>
      <c r="D1925" s="866" t="s">
        <v>10</v>
      </c>
      <c r="E1925" s="1134">
        <v>46247</v>
      </c>
      <c r="F1925" s="71">
        <f t="shared" ref="F1925" si="1175">$L$7-E1925</f>
        <v>14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3">
        <f t="shared" si="1167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2"/>
        <v>Premix RED 2%46247</v>
      </c>
      <c r="U1925" s="787"/>
      <c r="V1925" s="787"/>
      <c r="W1925" s="785">
        <f>IFERROR(VLOOKUP($Q1925,'391'!$S:$AG,15,0),0)</f>
        <v>0</v>
      </c>
      <c r="X1925" s="1090">
        <f t="shared" si="1125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3"/>
      <c r="B1926" s="390" t="s">
        <v>1871</v>
      </c>
      <c r="C1926" s="237"/>
      <c r="D1926" s="866" t="s">
        <v>10</v>
      </c>
      <c r="E1926" s="1134">
        <v>46213</v>
      </c>
      <c r="F1926" s="71">
        <f t="shared" ref="F1926" si="1176">$L$7-E1926</f>
        <v>48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3">
        <f t="shared" si="1167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2"/>
        <v>Premix RED 2%46213</v>
      </c>
      <c r="U1926" s="787"/>
      <c r="V1926" s="787"/>
      <c r="W1926" s="785">
        <f>IFERROR(VLOOKUP($Q1926,'391'!$S:$AG,15,0),0)</f>
        <v>0</v>
      </c>
      <c r="X1926" s="1090">
        <f t="shared" si="1125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3"/>
      <c r="B1927" s="390" t="s">
        <v>1754</v>
      </c>
      <c r="C1927" s="237"/>
      <c r="D1927" s="866" t="s">
        <v>10</v>
      </c>
      <c r="E1927" s="1134">
        <v>46066</v>
      </c>
      <c r="F1927" s="71">
        <f t="shared" ref="F1927" si="1177">$L$7-E1927</f>
        <v>195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3">
        <f t="shared" si="1167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2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25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3"/>
      <c r="B1928" s="390" t="s">
        <v>1754</v>
      </c>
      <c r="C1928" s="237"/>
      <c r="D1928" s="866" t="s">
        <v>10</v>
      </c>
      <c r="E1928" s="1134">
        <v>46066</v>
      </c>
      <c r="F1928" s="71">
        <f t="shared" ref="F1928:F1931" si="1178">$L$7-E1928</f>
        <v>195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3">
        <f t="shared" si="1167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2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25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3"/>
      <c r="B1929" s="390" t="s">
        <v>1445</v>
      </c>
      <c r="C1929" s="237"/>
      <c r="D1929" s="866" t="s">
        <v>10</v>
      </c>
      <c r="E1929" s="1134">
        <v>45491</v>
      </c>
      <c r="F1929" s="71">
        <f t="shared" si="1178"/>
        <v>770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4">
        <f t="shared" si="1167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2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25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3"/>
      <c r="B1930" s="390" t="s">
        <v>1433</v>
      </c>
      <c r="C1930" s="237"/>
      <c r="D1930" s="866" t="s">
        <v>10</v>
      </c>
      <c r="E1930" s="1134">
        <v>45450</v>
      </c>
      <c r="F1930" s="71">
        <f t="shared" si="1178"/>
        <v>811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4">
        <f t="shared" si="1167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72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25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 x14ac:dyDescent="0.25">
      <c r="A1931" s="2003"/>
      <c r="B1931" s="390" t="s">
        <v>1433</v>
      </c>
      <c r="C1931" s="237"/>
      <c r="D1931" s="866" t="s">
        <v>10</v>
      </c>
      <c r="E1931" s="1134">
        <v>45450</v>
      </c>
      <c r="F1931" s="71">
        <f t="shared" si="1178"/>
        <v>811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4">
        <f t="shared" si="1167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72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25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 x14ac:dyDescent="0.25">
      <c r="A1932" s="2003"/>
      <c r="B1932" s="1026" t="s">
        <v>2188</v>
      </c>
      <c r="C1932" s="149" t="s">
        <v>46</v>
      </c>
      <c r="D1932" s="863" t="s">
        <v>10</v>
      </c>
      <c r="E1932" s="1137">
        <v>46247</v>
      </c>
      <c r="F1932" s="71">
        <f t="shared" ref="F1932" si="1179">$L$7-E1932</f>
        <v>14</v>
      </c>
      <c r="G1932" s="58">
        <v>740.0999999999998</v>
      </c>
      <c r="H1932" s="63"/>
      <c r="I1932" s="58">
        <f>+SUM(K1920:K1929)</f>
        <v>0</v>
      </c>
      <c r="J1932" s="1369">
        <f>+usage!I223</f>
        <v>364.92</v>
      </c>
      <c r="K1932" s="64">
        <f>IFERROR(SUMIF(INTAKE!$A:$A,$T1932,INTAKE!$P:$P),0)</f>
        <v>0</v>
      </c>
      <c r="L1932" s="1534">
        <f t="shared" si="1167"/>
        <v>375.17999999999978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72"/>
        <v>Premix RED 2%Feedmill46247</v>
      </c>
      <c r="U1932" s="787"/>
      <c r="V1932" s="787"/>
      <c r="W1932" s="785">
        <f>IFERROR(VLOOKUP($Q1932,'391'!$S:$AG,15,0),0)</f>
        <v>0</v>
      </c>
      <c r="X1932" s="1090">
        <f t="shared" si="1125"/>
        <v>740.0999999999998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2006" t="s">
        <v>34</v>
      </c>
      <c r="B1933" s="2007"/>
      <c r="C1933" s="854"/>
      <c r="D1933" s="1030"/>
      <c r="E1933" s="1133"/>
      <c r="F1933" s="1032"/>
      <c r="G1933" s="1422">
        <v>3890.1</v>
      </c>
      <c r="H1933" s="1422">
        <f>SUM(H1920:H1932)</f>
        <v>0</v>
      </c>
      <c r="I1933" s="1422">
        <f>SUM(I1920:I1932)</f>
        <v>0</v>
      </c>
      <c r="J1933" s="1422">
        <f>SUM(J1920:J1932)</f>
        <v>364.92</v>
      </c>
      <c r="K1933" s="1422">
        <f>SUM(K1920:K1932)</f>
        <v>0</v>
      </c>
      <c r="L1933" s="1422">
        <f>SUM(L1920:L1932)</f>
        <v>3525.18</v>
      </c>
      <c r="M1933" s="889">
        <f>IFERROR(R1933/$S$2,"")</f>
        <v>407.83</v>
      </c>
      <c r="N1933" s="854">
        <f>(L1933/M1933)</f>
        <v>8.6437486207488412</v>
      </c>
      <c r="O1933" s="889">
        <f>IFERROR(SUMIF(ETM!$A:$A,$Q1933,ETM!$E:$E),"")</f>
        <v>350.66666666666669</v>
      </c>
      <c r="P1933" s="880">
        <f>IFERROR(L1933/O1933,0)</f>
        <v>10.052794676806082</v>
      </c>
      <c r="Q1933" s="814" t="s">
        <v>631</v>
      </c>
      <c r="R1933" s="785">
        <f>IFERROR(VLOOKUP($Q1933,'391'!$S:$Z,8,0),"")</f>
        <v>2446.98</v>
      </c>
      <c r="S1933" s="786"/>
      <c r="T1933" s="787"/>
      <c r="U1933" s="787"/>
      <c r="V1933" s="787"/>
      <c r="W1933" s="785">
        <f>IFERROR(VLOOKUP($Q1933,'391'!$S:$AG,15,0),0)</f>
        <v>4611.28</v>
      </c>
      <c r="X1933" s="1090">
        <f>G1933-W1933</f>
        <v>-721.17999999999984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 x14ac:dyDescent="0.25">
      <c r="A1934" s="2185" t="str">
        <f>IF(L1937=0,"",MAX($A$16:A1933)+1)</f>
        <v/>
      </c>
      <c r="B1934" s="390" t="s">
        <v>1309</v>
      </c>
      <c r="C1934" s="186" t="s">
        <v>1297</v>
      </c>
      <c r="D1934" s="866" t="s">
        <v>10</v>
      </c>
      <c r="E1934" s="1134">
        <v>45079</v>
      </c>
      <c r="F1934" s="71">
        <f t="shared" ref="F1934:F1936" si="1180">$L$7-E1934</f>
        <v>1182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181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25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 x14ac:dyDescent="0.25">
      <c r="A1935" s="2003"/>
      <c r="B1935" s="390" t="s">
        <v>337</v>
      </c>
      <c r="C1935" s="186"/>
      <c r="D1935" s="866" t="s">
        <v>10</v>
      </c>
      <c r="E1935" s="1134">
        <v>44257</v>
      </c>
      <c r="F1935" s="71">
        <f t="shared" si="1180"/>
        <v>2004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181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182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 x14ac:dyDescent="0.25">
      <c r="A1936" s="2003"/>
      <c r="B1936" s="1014" t="s">
        <v>1309</v>
      </c>
      <c r="C1936" s="151" t="s">
        <v>46</v>
      </c>
      <c r="D1936" s="863" t="s">
        <v>10</v>
      </c>
      <c r="E1936" s="1123">
        <v>45079</v>
      </c>
      <c r="F1936" s="71">
        <f t="shared" si="1180"/>
        <v>1182</v>
      </c>
      <c r="G1936" s="58">
        <v>0</v>
      </c>
      <c r="H1936" s="130"/>
      <c r="I1936" s="879">
        <f>+SUM(K1934:K1935)</f>
        <v>0</v>
      </c>
      <c r="J1936" s="81">
        <f>+usage!I224</f>
        <v>0</v>
      </c>
      <c r="K1936" s="68">
        <f>IFERROR(SUMIF(INTAKE!$A:$A,$T1936,INTAKE!$P:$P),0)</f>
        <v>0</v>
      </c>
      <c r="L1936" s="531">
        <f t="shared" si="1181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182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 x14ac:dyDescent="0.25">
      <c r="A1937" s="2006" t="s">
        <v>45</v>
      </c>
      <c r="B1937" s="2007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182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 x14ac:dyDescent="0.25">
      <c r="A1938" s="2185">
        <f>IF(L1941=0,"",MAX($A$16:A1937)+1)</f>
        <v>136</v>
      </c>
      <c r="B1938" s="390" t="s">
        <v>2104</v>
      </c>
      <c r="C1938" s="186" t="s">
        <v>1211</v>
      </c>
      <c r="D1938" s="866" t="s">
        <v>10</v>
      </c>
      <c r="E1938" s="1134">
        <v>46220</v>
      </c>
      <c r="F1938" s="71">
        <f t="shared" ref="F1938:F1940" si="1183">$L$7-E1938</f>
        <v>41</v>
      </c>
      <c r="G1938" s="12">
        <v>5475</v>
      </c>
      <c r="H1938" s="77"/>
      <c r="I1938" s="68"/>
      <c r="J1938" s="209"/>
      <c r="K1938" s="80">
        <f>IFERROR(SUMIF(INTAKE!$A:$A,$T1938,INTAKE!$P:$P),0)</f>
        <v>0</v>
      </c>
      <c r="L1938" s="1670">
        <f t="shared" ref="L1938:L1940" si="1184">+G1938+H1938+I1938-J1938-K1938</f>
        <v>5475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182"/>
        <v>5475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 x14ac:dyDescent="0.25">
      <c r="A1939" s="2003"/>
      <c r="B1939" s="390" t="s">
        <v>2104</v>
      </c>
      <c r="C1939" s="186" t="s">
        <v>1211</v>
      </c>
      <c r="D1939" s="866" t="s">
        <v>10</v>
      </c>
      <c r="E1939" s="1134">
        <v>46239</v>
      </c>
      <c r="F1939" s="71">
        <f t="shared" si="1183"/>
        <v>22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70">
        <f t="shared" si="1184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185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186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 x14ac:dyDescent="0.25">
      <c r="A1940" s="2003"/>
      <c r="B1940" s="1014" t="s">
        <v>2104</v>
      </c>
      <c r="C1940" s="151" t="s">
        <v>46</v>
      </c>
      <c r="D1940" s="863" t="s">
        <v>10</v>
      </c>
      <c r="E1940" s="1123">
        <v>46220</v>
      </c>
      <c r="F1940" s="71">
        <f t="shared" si="1183"/>
        <v>41</v>
      </c>
      <c r="G1940" s="58">
        <v>21</v>
      </c>
      <c r="H1940" s="130"/>
      <c r="I1940" s="508">
        <f>+SUM(K1938:K1939)</f>
        <v>0</v>
      </c>
      <c r="J1940" s="81">
        <f>usage!I251</f>
        <v>0</v>
      </c>
      <c r="K1940" s="68">
        <f>IFERROR(SUMIF(INTAKE!$A:$A,$T1940,INTAKE!$P:$P),0)</f>
        <v>0</v>
      </c>
      <c r="L1940" s="531">
        <f t="shared" si="1184"/>
        <v>21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185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186"/>
        <v>21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 x14ac:dyDescent="0.25">
      <c r="A1941" s="2006" t="s">
        <v>2105</v>
      </c>
      <c r="B1941" s="2007"/>
      <c r="C1941" s="125"/>
      <c r="D1941" s="1030"/>
      <c r="E1941" s="1027"/>
      <c r="F1941" s="896"/>
      <c r="G1941" s="234">
        <v>6496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6496</v>
      </c>
      <c r="M1941" s="889">
        <f>IFERROR(R1941/$S$2,"")</f>
        <v>0</v>
      </c>
      <c r="N1941" s="854">
        <f>IFERROR(L1941/M1941,0)</f>
        <v>0</v>
      </c>
      <c r="O1941" s="889">
        <f>IFERROR(SUMIF(ETM!$A:$A,$Q1941,ETM!$E:$E),"")</f>
        <v>0</v>
      </c>
      <c r="P1941" s="855">
        <f>IFERROR(L1941/O1941,0)</f>
        <v>0</v>
      </c>
      <c r="Q1941" s="814" t="s">
        <v>2104</v>
      </c>
      <c r="R1941" s="785">
        <f>IFERROR(VLOOKUP($Q1941,'391'!$S:$Z,8,0),"")</f>
        <v>0</v>
      </c>
      <c r="S1941" s="786"/>
      <c r="T1941" s="787"/>
      <c r="U1941" s="787"/>
      <c r="V1941" s="787"/>
      <c r="W1941" s="785">
        <f>IFERROR(VLOOKUP($Q1941,'391'!$S:$AG,15,0),0)</f>
        <v>6496</v>
      </c>
      <c r="X1941" s="1090">
        <f t="shared" si="1186"/>
        <v>0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 x14ac:dyDescent="0.25">
      <c r="A1942" s="2013">
        <f>IF(L1956=0,"",MAX($A$16:A1941)+1)</f>
        <v>137</v>
      </c>
      <c r="B1942" s="1864" t="s">
        <v>2187</v>
      </c>
      <c r="C1942" s="186" t="s">
        <v>1874</v>
      </c>
      <c r="D1942" s="866" t="s">
        <v>10</v>
      </c>
      <c r="E1942" s="1134">
        <v>46247</v>
      </c>
      <c r="F1942" s="71">
        <f t="shared" ref="F1942:F1947" si="1187">$L$7-E1942</f>
        <v>14</v>
      </c>
      <c r="G1942" s="12">
        <v>1050</v>
      </c>
      <c r="H1942" s="130"/>
      <c r="I1942" s="68"/>
      <c r="J1942" s="206"/>
      <c r="K1942" s="68">
        <f>IFERROR(SUMIF(INTAKE!$A:$A,$T1942,INTAKE!$P:$P),0)</f>
        <v>1050</v>
      </c>
      <c r="L1942" s="1670">
        <f t="shared" ref="L1942:L1955" si="1188">+G1942+H1942+I1942-J1942-K1942</f>
        <v>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AmnilX2.246247</v>
      </c>
      <c r="U1942" s="787"/>
      <c r="V1942" s="787"/>
      <c r="W1942" s="785">
        <f>IFERROR(VLOOKUP($Q1942,'391'!$S:$AG,15,0),0)</f>
        <v>0</v>
      </c>
      <c r="X1942" s="1090">
        <f t="shared" si="1182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5"/>
      <c r="B1943" s="1864" t="s">
        <v>2187</v>
      </c>
      <c r="C1943" s="186" t="s">
        <v>2186</v>
      </c>
      <c r="D1943" s="866" t="s">
        <v>10</v>
      </c>
      <c r="E1943" s="1134">
        <v>46247</v>
      </c>
      <c r="F1943" s="71">
        <f t="shared" si="1187"/>
        <v>14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70">
        <f t="shared" si="1188"/>
        <v>1050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AmnilX5.246247</v>
      </c>
      <c r="U1943" s="787"/>
      <c r="V1943" s="787"/>
      <c r="W1943" s="785">
        <f>IFERROR(VLOOKUP($Q1943,'391'!$S:$AG,15,0),0)</f>
        <v>0</v>
      </c>
      <c r="X1943" s="1090">
        <f t="shared" si="1182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05"/>
      <c r="B1944" s="1864" t="s">
        <v>2187</v>
      </c>
      <c r="C1944" s="186" t="s">
        <v>148</v>
      </c>
      <c r="D1944" s="866" t="s">
        <v>10</v>
      </c>
      <c r="E1944" s="1134">
        <v>46247</v>
      </c>
      <c r="F1944" s="71">
        <f t="shared" si="1187"/>
        <v>14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70">
        <f t="shared" si="1188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AmnilX1.346247</v>
      </c>
      <c r="U1944" s="787"/>
      <c r="V1944" s="787"/>
      <c r="W1944" s="785">
        <f>IFERROR(VLOOKUP($Q1944,'391'!$S:$AG,15,0),0)</f>
        <v>0</v>
      </c>
      <c r="X1944" s="1090">
        <f t="shared" si="1182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 x14ac:dyDescent="0.25">
      <c r="A1945" s="2005"/>
      <c r="B1945" s="1864" t="s">
        <v>2221</v>
      </c>
      <c r="C1945" s="186" t="s">
        <v>2182</v>
      </c>
      <c r="D1945" s="866" t="s">
        <v>10</v>
      </c>
      <c r="E1945" s="1134">
        <v>46254</v>
      </c>
      <c r="F1945" s="71">
        <f t="shared" si="1187"/>
        <v>7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70">
        <f t="shared" si="1188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AmnilV8.346254</v>
      </c>
      <c r="U1945" s="787"/>
      <c r="V1945" s="787"/>
      <c r="W1945" s="785">
        <f>IFERROR(VLOOKUP($Q1945,'391'!$S:$AG,15,0),0)</f>
        <v>0</v>
      </c>
      <c r="X1945" s="1090">
        <f t="shared" si="1182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05"/>
      <c r="B1946" s="1864" t="s">
        <v>2221</v>
      </c>
      <c r="C1946" s="186" t="s">
        <v>1848</v>
      </c>
      <c r="D1946" s="866" t="s">
        <v>10</v>
      </c>
      <c r="E1946" s="1134">
        <v>46254</v>
      </c>
      <c r="F1946" s="71">
        <f t="shared" si="1187"/>
        <v>7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70">
        <f t="shared" ref="L1946" si="1189">+G1946+H1946+I1946-J1946-K1946</f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190">$Q$1956&amp;C1946&amp;E1946</f>
        <v>Premix AmnilV9.346254</v>
      </c>
      <c r="U1946" s="787"/>
      <c r="V1946" s="787"/>
      <c r="W1946" s="785">
        <f>IFERROR(VLOOKUP($Q1946,'391'!$S:$AG,15,0),0)</f>
        <v>0</v>
      </c>
      <c r="X1946" s="1090">
        <f t="shared" ref="X1946" si="1191">G1946-W1946</f>
        <v>1050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05"/>
      <c r="B1947" s="1864" t="s">
        <v>2221</v>
      </c>
      <c r="C1947" s="186" t="s">
        <v>2151</v>
      </c>
      <c r="D1947" s="866" t="s">
        <v>10</v>
      </c>
      <c r="E1947" s="1134">
        <v>46254</v>
      </c>
      <c r="F1947" s="71">
        <f t="shared" si="1187"/>
        <v>7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70">
        <f t="shared" ref="L1947" si="1192">+G1947+H1947+I1947-J1947-K1947</f>
        <v>1050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193">$Q$1956&amp;C1947&amp;E1947</f>
        <v>Premix AmnilX2.346254</v>
      </c>
      <c r="U1947" s="787"/>
      <c r="V1947" s="787"/>
      <c r="W1947" s="785">
        <f>IFERROR(VLOOKUP($Q1947,'391'!$S:$AG,15,0),0)</f>
        <v>0</v>
      </c>
      <c r="X1947" s="1090">
        <f t="shared" ref="X1947" si="1194">G1947-W1947</f>
        <v>1050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hidden="1" customHeight="1" x14ac:dyDescent="0.25">
      <c r="A1948" s="2005"/>
      <c r="B1948" s="1864" t="s">
        <v>2221</v>
      </c>
      <c r="C1948" s="186"/>
      <c r="D1948" s="866" t="s">
        <v>10</v>
      </c>
      <c r="E1948" s="1134">
        <v>46254</v>
      </c>
      <c r="F1948" s="71">
        <f t="shared" ref="F1948" si="1195">$L$7-E1948</f>
        <v>7</v>
      </c>
      <c r="G1948" s="12">
        <v>0</v>
      </c>
      <c r="H1948" s="130"/>
      <c r="I1948" s="68"/>
      <c r="J1948" s="206"/>
      <c r="K1948" s="68">
        <f>IFERROR(SUMIF(INTAKE!$A:$A,$T1948,INTAKE!$P:$P),0)</f>
        <v>0</v>
      </c>
      <c r="L1948" s="1670">
        <f t="shared" si="1188"/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196">$Q$1956&amp;C1948&amp;E1948</f>
        <v>Premix Amnil46254</v>
      </c>
      <c r="U1948" s="787"/>
      <c r="V1948" s="787"/>
      <c r="W1948" s="785">
        <f>IFERROR(VLOOKUP($Q1948,'391'!$S:$AG,15,0),0)</f>
        <v>0</v>
      </c>
      <c r="X1948" s="1090">
        <f t="shared" si="1182"/>
        <v>0</v>
      </c>
      <c r="Y1948" s="787"/>
      <c r="Z1948" s="791"/>
      <c r="AA1948" s="787"/>
      <c r="AB1948" s="787"/>
      <c r="AC1948" s="679"/>
    </row>
    <row r="1949" spans="1:45" ht="30" hidden="1" customHeight="1" x14ac:dyDescent="0.25">
      <c r="A1949" s="2005"/>
      <c r="B1949" s="1864" t="s">
        <v>2221</v>
      </c>
      <c r="C1949" s="186"/>
      <c r="D1949" s="866" t="s">
        <v>10</v>
      </c>
      <c r="E1949" s="1134">
        <v>46254</v>
      </c>
      <c r="F1949" s="71">
        <f t="shared" ref="F1949" si="1197">$L$7-E1949</f>
        <v>7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70">
        <f t="shared" ref="L1949:L1953" si="1198">+G1949+H1949+I1949-J1949-K1949</f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196"/>
        <v>Premix Amnil46254</v>
      </c>
      <c r="U1949" s="787"/>
      <c r="V1949" s="787"/>
      <c r="W1949" s="785">
        <f>IFERROR(VLOOKUP($Q1949,'391'!$S:$AG,15,0),0)</f>
        <v>0</v>
      </c>
      <c r="X1949" s="1090">
        <f t="shared" si="1182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5"/>
      <c r="B1950" s="1864" t="s">
        <v>2221</v>
      </c>
      <c r="C1950" s="186"/>
      <c r="D1950" s="866" t="s">
        <v>10</v>
      </c>
      <c r="E1950" s="1134">
        <v>46254</v>
      </c>
      <c r="F1950" s="71">
        <f t="shared" ref="F1950" si="1199">$L$7-E1950</f>
        <v>7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70">
        <f t="shared" si="1198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196"/>
        <v>Premix Amnil46254</v>
      </c>
      <c r="U1950" s="787"/>
      <c r="V1950" s="787"/>
      <c r="W1950" s="785">
        <f>IFERROR(VLOOKUP($Q1950,'391'!$S:$AG,15,0),0)</f>
        <v>0</v>
      </c>
      <c r="X1950" s="1090">
        <f t="shared" si="1182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5"/>
      <c r="B1951" s="1864" t="s">
        <v>2120</v>
      </c>
      <c r="C1951" s="186"/>
      <c r="D1951" s="866" t="s">
        <v>10</v>
      </c>
      <c r="E1951" s="1134">
        <v>46227</v>
      </c>
      <c r="F1951" s="71">
        <f t="shared" ref="F1951" si="1200">$L$7-E1951</f>
        <v>34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70">
        <f t="shared" si="1198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196"/>
        <v>Premix Amnil46227</v>
      </c>
      <c r="U1951" s="787"/>
      <c r="V1951" s="787"/>
      <c r="W1951" s="785">
        <f>IFERROR(VLOOKUP($Q1951,'391'!$S:$AG,15,0),0)</f>
        <v>0</v>
      </c>
      <c r="X1951" s="1090">
        <f t="shared" si="1182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5"/>
      <c r="B1952" s="1864" t="s">
        <v>2120</v>
      </c>
      <c r="C1952" s="186"/>
      <c r="D1952" s="866" t="s">
        <v>10</v>
      </c>
      <c r="E1952" s="1134">
        <v>46227</v>
      </c>
      <c r="F1952" s="71">
        <f t="shared" ref="F1952" si="1201">$L$7-E1952</f>
        <v>34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70">
        <f t="shared" si="1198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196"/>
        <v>Premix Amnil46227</v>
      </c>
      <c r="U1952" s="787"/>
      <c r="V1952" s="787"/>
      <c r="W1952" s="785">
        <f>IFERROR(VLOOKUP($Q1952,'391'!$S:$AG,15,0),0)</f>
        <v>0</v>
      </c>
      <c r="X1952" s="1090">
        <f t="shared" si="1182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05"/>
      <c r="B1953" s="1864" t="s">
        <v>2120</v>
      </c>
      <c r="C1953" s="186"/>
      <c r="D1953" s="866" t="s">
        <v>10</v>
      </c>
      <c r="E1953" s="1134">
        <v>46227</v>
      </c>
      <c r="F1953" s="71">
        <f t="shared" ref="F1953" si="1202">$L$7-E1953</f>
        <v>34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70">
        <f t="shared" si="1198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196"/>
        <v>Premix Amnil46227</v>
      </c>
      <c r="U1953" s="787"/>
      <c r="V1953" s="787"/>
      <c r="W1953" s="785">
        <f>IFERROR(VLOOKUP($Q1953,'391'!$S:$AG,15,0),0)</f>
        <v>0</v>
      </c>
      <c r="X1953" s="1090">
        <f t="shared" si="1182"/>
        <v>0</v>
      </c>
      <c r="Y1953" s="787"/>
      <c r="Z1953" s="791"/>
      <c r="AA1953" s="787"/>
      <c r="AB1953" s="787"/>
      <c r="AC1953" s="679"/>
    </row>
    <row r="1954" spans="1:45" ht="28.5" hidden="1" customHeight="1" x14ac:dyDescent="0.25">
      <c r="A1954" s="2005"/>
      <c r="B1954" s="1864" t="s">
        <v>2120</v>
      </c>
      <c r="C1954" s="186"/>
      <c r="D1954" s="866" t="s">
        <v>10</v>
      </c>
      <c r="E1954" s="1134">
        <v>46227</v>
      </c>
      <c r="F1954" s="71">
        <f t="shared" ref="F1954:F1955" si="1203">$L$7-E1954</f>
        <v>34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70">
        <f t="shared" si="1188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196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04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 x14ac:dyDescent="0.25">
      <c r="A1955" s="2014"/>
      <c r="B1955" s="1026" t="s">
        <v>2152</v>
      </c>
      <c r="C1955" s="151" t="s">
        <v>46</v>
      </c>
      <c r="D1955" s="863" t="s">
        <v>10</v>
      </c>
      <c r="E1955" s="1123">
        <v>46241</v>
      </c>
      <c r="F1955" s="71">
        <f t="shared" si="1203"/>
        <v>20</v>
      </c>
      <c r="G1955" s="58">
        <v>1.0231815394945443E-12</v>
      </c>
      <c r="H1955" s="130"/>
      <c r="I1955" s="879">
        <f>+SUM(K1942:K1954)</f>
        <v>1050</v>
      </c>
      <c r="J1955" s="1369">
        <f>usage!I252</f>
        <v>656.4</v>
      </c>
      <c r="K1955" s="68">
        <f>IFERROR(SUMIF(INTAKE!$A:$A,$T1955,INTAKE!$P:$P),0)</f>
        <v>0</v>
      </c>
      <c r="L1955" s="1534">
        <f t="shared" si="1188"/>
        <v>393.60000000000093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196"/>
        <v>Premix AmnilFeedmill46241</v>
      </c>
      <c r="U1955" s="787"/>
      <c r="V1955" s="787"/>
      <c r="W1955" s="785">
        <f>IFERROR(VLOOKUP($Q1955,'391'!$S:$AG,15,0),0)</f>
        <v>0</v>
      </c>
      <c r="X1955" s="1090">
        <f t="shared" si="1204"/>
        <v>1.0231815394945443E-12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 x14ac:dyDescent="0.25">
      <c r="A1956" s="2006" t="s">
        <v>1677</v>
      </c>
      <c r="B1956" s="2007"/>
      <c r="C1956" s="90"/>
      <c r="D1956" s="142"/>
      <c r="E1956" s="93"/>
      <c r="F1956" s="94"/>
      <c r="G1956" s="234">
        <v>6300.0000000000009</v>
      </c>
      <c r="H1956" s="234">
        <f t="shared" ref="H1956:L1956" si="1205">SUM(H1942:H1955)</f>
        <v>0</v>
      </c>
      <c r="I1956" s="234">
        <f t="shared" si="1205"/>
        <v>1050</v>
      </c>
      <c r="J1956" s="234">
        <f t="shared" si="1205"/>
        <v>656.4</v>
      </c>
      <c r="K1956" s="234">
        <f t="shared" si="1205"/>
        <v>1050</v>
      </c>
      <c r="L1956" s="234">
        <f t="shared" si="1205"/>
        <v>5643.6000000000013</v>
      </c>
      <c r="M1956" s="889">
        <f>IFERROR(R1956/$S$2,"")</f>
        <v>578.70333333333338</v>
      </c>
      <c r="N1956" s="1863">
        <f>IFERROR(L1956/M1956,0)</f>
        <v>9.7521470413741085</v>
      </c>
      <c r="O1956" s="889">
        <f>IFERROR(SUMIF(ETM!$A:$A,$Q1956,ETM!$E:$E),"")</f>
        <v>721.49999999999989</v>
      </c>
      <c r="P1956" s="855">
        <f>IFERROR(L1956/O1956,0)</f>
        <v>7.8220374220374254</v>
      </c>
      <c r="Q1956" s="784" t="s">
        <v>1676</v>
      </c>
      <c r="R1956" s="785">
        <f>IFERROR(VLOOKUP($Q1956,'391'!$S:$Z,8,0),"")</f>
        <v>3472.2200000000003</v>
      </c>
      <c r="S1956" s="786"/>
      <c r="T1956" s="787"/>
      <c r="U1956" s="787"/>
      <c r="V1956" s="787"/>
      <c r="W1956" s="785">
        <f>IFERROR(VLOOKUP($Q1956,'391'!$S:$AG,15,0),0)</f>
        <v>7861.68</v>
      </c>
      <c r="X1956" s="1090">
        <f>+G1956-W1956</f>
        <v>-1561.6799999999994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50000000000003" customHeight="1" x14ac:dyDescent="0.25">
      <c r="A1957" s="2186" t="s">
        <v>1474</v>
      </c>
      <c r="B1957" s="2187"/>
      <c r="C1957" s="2187"/>
      <c r="D1957" s="2187"/>
      <c r="E1957" s="2187"/>
      <c r="F1957" s="2188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46323.67</v>
      </c>
      <c r="H1957" s="1421">
        <f t="shared" ref="H1957:L1957" si="1206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0</v>
      </c>
      <c r="I1957" s="1421">
        <f t="shared" si="1206"/>
        <v>2430</v>
      </c>
      <c r="J1957" s="1421">
        <f t="shared" si="1206"/>
        <v>3857.61</v>
      </c>
      <c r="K1957" s="1421">
        <f t="shared" si="1206"/>
        <v>2430</v>
      </c>
      <c r="L1957" s="1421">
        <f t="shared" si="1206"/>
        <v>42466.060000000005</v>
      </c>
      <c r="M1957" s="2043"/>
      <c r="N1957" s="2044"/>
      <c r="O1957" s="2044"/>
      <c r="P1957" s="2045"/>
      <c r="R1957" s="822">
        <f>+SUM(R1601:R1956)</f>
        <v>22693.600000000002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50000000000003" customHeight="1" x14ac:dyDescent="0.25">
      <c r="A1958" s="2186" t="s">
        <v>1475</v>
      </c>
      <c r="B1958" s="2187"/>
      <c r="C1958" s="2187"/>
      <c r="D1958" s="2187"/>
      <c r="E1958" s="2187"/>
      <c r="F1958" s="2188"/>
      <c r="G1958" s="1421">
        <f t="shared" ref="G1958:L1958" si="1207">G1600+G1957</f>
        <v>1332700.77</v>
      </c>
      <c r="H1958" s="1421">
        <f t="shared" si="1207"/>
        <v>32300</v>
      </c>
      <c r="I1958" s="1421">
        <f t="shared" si="1207"/>
        <v>34830.31</v>
      </c>
      <c r="J1958" s="1421">
        <f t="shared" si="1207"/>
        <v>44001.710000000006</v>
      </c>
      <c r="K1958" s="1421">
        <f t="shared" si="1207"/>
        <v>34830.31</v>
      </c>
      <c r="L1958" s="1421">
        <f t="shared" si="1207"/>
        <v>1320999.06</v>
      </c>
      <c r="M1958" s="2040" t="s">
        <v>35</v>
      </c>
      <c r="N1958" s="2041"/>
      <c r="O1958" s="2041"/>
      <c r="P1958" s="2042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50000000000003" customHeight="1" x14ac:dyDescent="0.25">
      <c r="A1959" s="2186" t="s">
        <v>1476</v>
      </c>
      <c r="B1959" s="2187"/>
      <c r="C1959" s="2187"/>
      <c r="D1959" s="2187"/>
      <c r="E1959" s="2187"/>
      <c r="F1959" s="2188"/>
      <c r="G1959" s="1421">
        <f t="shared" ref="G1959:L1959" si="1208">G615+G1958</f>
        <v>41500924.960000001</v>
      </c>
      <c r="H1959" s="1421">
        <f t="shared" si="1208"/>
        <v>1158920</v>
      </c>
      <c r="I1959" s="1421">
        <f t="shared" si="1208"/>
        <v>3009614.71</v>
      </c>
      <c r="J1959" s="1421">
        <f t="shared" si="1208"/>
        <v>2193025.48</v>
      </c>
      <c r="K1959" s="1421">
        <f t="shared" si="1208"/>
        <v>2975514.71</v>
      </c>
      <c r="L1959" s="1421">
        <f t="shared" si="1208"/>
        <v>40500919.480000004</v>
      </c>
      <c r="M1959" s="2040"/>
      <c r="N1959" s="2041"/>
      <c r="O1959" s="2041"/>
      <c r="P1959" s="2042"/>
      <c r="U1959" s="787"/>
      <c r="V1959" s="787"/>
      <c r="W1959" s="787"/>
      <c r="X1959" s="787"/>
      <c r="Y1959" s="787"/>
      <c r="Z1959" s="1207">
        <f>SUMIF('391'!O:O,"GRAND TOTAL",'391'!AC:AC)</f>
        <v>42192515.5</v>
      </c>
      <c r="AA1959" s="1208">
        <f>+Z1959-G1959</f>
        <v>691590.53999999911</v>
      </c>
      <c r="AB1959" s="787"/>
      <c r="AC1959" s="679"/>
    </row>
    <row r="1960" spans="1:45" s="423" customFormat="1" ht="12" customHeight="1" x14ac:dyDescent="0.25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 x14ac:dyDescent="0.25">
      <c r="A1961" s="57"/>
      <c r="B1961" s="5"/>
      <c r="C1961" s="89"/>
      <c r="D1961" s="16"/>
      <c r="E1961" s="15"/>
      <c r="G1961" s="1455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+J1959-usage!I255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 x14ac:dyDescent="0.25">
      <c r="A1962" s="2184" t="s">
        <v>332</v>
      </c>
      <c r="B1962" s="2184"/>
      <c r="C1962" s="13"/>
      <c r="D1962" s="16"/>
      <c r="E1962" s="15"/>
      <c r="F1962" s="141"/>
      <c r="G1962" s="556"/>
      <c r="H1962" s="717"/>
      <c r="I1962" s="214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 x14ac:dyDescent="0.25">
      <c r="A1963" s="2184" t="s">
        <v>1472</v>
      </c>
      <c r="B1963" s="2184"/>
      <c r="C1963" s="13"/>
      <c r="D1963" s="16"/>
      <c r="E1963" s="15"/>
      <c r="F1963" s="141"/>
      <c r="G1963" s="556"/>
      <c r="H1963" s="1986"/>
      <c r="I1963" s="503"/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184" t="s">
        <v>1473</v>
      </c>
      <c r="B1964" s="2184"/>
      <c r="C1964" s="13"/>
      <c r="D1964" s="16"/>
      <c r="E1964" s="15"/>
      <c r="F1964" s="141"/>
      <c r="G1964" s="503"/>
      <c r="H1964" s="503">
        <f>+H1962+H1963</f>
        <v>0</v>
      </c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x14ac:dyDescent="0.25">
      <c r="A1965" s="2184"/>
      <c r="B1965" s="2184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184"/>
      <c r="B1966" s="2184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40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 x14ac:dyDescent="0.25">
      <c r="A1967" s="2184"/>
      <c r="B1967" s="2184"/>
      <c r="C1967" s="13"/>
      <c r="D1967" s="16"/>
      <c r="E1967" s="15"/>
      <c r="F1967" s="141"/>
      <c r="G1967" s="214"/>
      <c r="H1967" s="245"/>
      <c r="I1967" s="1142"/>
      <c r="J1967" s="244"/>
      <c r="K1967" s="1906"/>
      <c r="L1967" s="214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 x14ac:dyDescent="0.25">
      <c r="B1968" s="3"/>
      <c r="G1968" s="214"/>
      <c r="I1968" s="1142"/>
      <c r="J1968" s="1787"/>
      <c r="K1968" s="1907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E1969" s="15" t="s">
        <v>353</v>
      </c>
      <c r="G1969" s="328"/>
      <c r="J1969" s="1787"/>
      <c r="K1969" s="1903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 x14ac:dyDescent="0.25">
      <c r="J1971" s="244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220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244"/>
      <c r="K1974" s="1903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75" x14ac:dyDescent="0.25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I1976" s="202"/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x14ac:dyDescent="0.25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5" x14ac:dyDescent="0.25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75" x14ac:dyDescent="0.25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 x14ac:dyDescent="0.25">
      <c r="I2482" s="2"/>
    </row>
  </sheetData>
  <sheetProtection formatRows="0" insertColumns="0" insertRows="0" insertHyperlinks="0" deleteColumns="0" deleteRows="0" sort="0" autoFilter="0" pivotTables="0"/>
  <mergeCells count="737"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  <mergeCell ref="A1584:A1586"/>
    <mergeCell ref="B1584:B1586"/>
    <mergeCell ref="A1592:A1594"/>
    <mergeCell ref="B1592:B1594"/>
    <mergeCell ref="A1600:D1600"/>
    <mergeCell ref="A1566:A1568"/>
    <mergeCell ref="B1566:B1568"/>
    <mergeCell ref="A1545:A1548"/>
    <mergeCell ref="B1545:B1548"/>
    <mergeCell ref="A1550:A1554"/>
    <mergeCell ref="B1550:B1554"/>
    <mergeCell ref="A1561:A1564"/>
    <mergeCell ref="B1561:B1564"/>
    <mergeCell ref="A1570:A1572"/>
    <mergeCell ref="B1570:B1572"/>
    <mergeCell ref="A1574:A1577"/>
    <mergeCell ref="B1574:B1577"/>
    <mergeCell ref="B1588:B1590"/>
    <mergeCell ref="A1556:A1559"/>
    <mergeCell ref="B1556:B1559"/>
    <mergeCell ref="A1402:A1404"/>
    <mergeCell ref="B1397:B1400"/>
    <mergeCell ref="B1455:B1457"/>
    <mergeCell ref="A1467:A1470"/>
    <mergeCell ref="B1467:B1470"/>
    <mergeCell ref="A1463:A1465"/>
    <mergeCell ref="B1463:B1465"/>
    <mergeCell ref="A1483:A1487"/>
    <mergeCell ref="B1451:B1453"/>
    <mergeCell ref="A1430:A1433"/>
    <mergeCell ref="A1397:A1400"/>
    <mergeCell ref="A1424:A1428"/>
    <mergeCell ref="A1414:A1416"/>
    <mergeCell ref="A1418:A1422"/>
    <mergeCell ref="A1410:A1412"/>
    <mergeCell ref="B1414:B1416"/>
    <mergeCell ref="A1081:A1085"/>
    <mergeCell ref="A1058:B1058"/>
    <mergeCell ref="B1087:B1092"/>
    <mergeCell ref="A1116:A1121"/>
    <mergeCell ref="A1086:B1086"/>
    <mergeCell ref="C930:C932"/>
    <mergeCell ref="A1153:A1157"/>
    <mergeCell ref="B1101:B1107"/>
    <mergeCell ref="A1002:B1002"/>
    <mergeCell ref="A1019:A1024"/>
    <mergeCell ref="A1072:A1079"/>
    <mergeCell ref="B1081:B1085"/>
    <mergeCell ref="A1032:A1035"/>
    <mergeCell ref="A966:A970"/>
    <mergeCell ref="B1065:B1070"/>
    <mergeCell ref="A995:B995"/>
    <mergeCell ref="A1108:B1108"/>
    <mergeCell ref="A1087:A1092"/>
    <mergeCell ref="A1094:A1099"/>
    <mergeCell ref="A1100:B1100"/>
    <mergeCell ref="B1153:B1157"/>
    <mergeCell ref="B1136:B1140"/>
    <mergeCell ref="B1123:B1129"/>
    <mergeCell ref="A972:A976"/>
    <mergeCell ref="A1071:B1071"/>
    <mergeCell ref="A1065:A1070"/>
    <mergeCell ref="A955:B955"/>
    <mergeCell ref="A1031:B1031"/>
    <mergeCell ref="A1010:A1017"/>
    <mergeCell ref="A1025:B1025"/>
    <mergeCell ref="B1010:B1017"/>
    <mergeCell ref="A1018:B1018"/>
    <mergeCell ref="B1032:B1035"/>
    <mergeCell ref="A996:A1001"/>
    <mergeCell ref="B984:B988"/>
    <mergeCell ref="A989:B989"/>
    <mergeCell ref="A1064:B1064"/>
    <mergeCell ref="B972:B976"/>
    <mergeCell ref="A977:B977"/>
    <mergeCell ref="A984:A988"/>
    <mergeCell ref="B966:B970"/>
    <mergeCell ref="A956:A957"/>
    <mergeCell ref="A983:B983"/>
    <mergeCell ref="B956:B957"/>
    <mergeCell ref="A1026:A1030"/>
    <mergeCell ref="A1003:A1008"/>
    <mergeCell ref="B1003:B1008"/>
    <mergeCell ref="A1009:B1009"/>
    <mergeCell ref="A959:A964"/>
    <mergeCell ref="A877:B877"/>
    <mergeCell ref="B990:B994"/>
    <mergeCell ref="B1051:B1057"/>
    <mergeCell ref="A958:B958"/>
    <mergeCell ref="A1043:A1049"/>
    <mergeCell ref="B1043:B1049"/>
    <mergeCell ref="A1051:A1057"/>
    <mergeCell ref="A990:A994"/>
    <mergeCell ref="A943:B943"/>
    <mergeCell ref="A965:B965"/>
    <mergeCell ref="B959:B964"/>
    <mergeCell ref="A978:A982"/>
    <mergeCell ref="A1050:B1050"/>
    <mergeCell ref="B996:B1001"/>
    <mergeCell ref="B1037:B1041"/>
    <mergeCell ref="A1036:B1036"/>
    <mergeCell ref="B1026:B1030"/>
    <mergeCell ref="B1019:B1024"/>
    <mergeCell ref="A935:A942"/>
    <mergeCell ref="A930:A933"/>
    <mergeCell ref="A1037:A1041"/>
    <mergeCell ref="B978:B982"/>
    <mergeCell ref="B930:B933"/>
    <mergeCell ref="A1191:A1196"/>
    <mergeCell ref="A1204:A1210"/>
    <mergeCell ref="B1191:B1196"/>
    <mergeCell ref="A1218:A1223"/>
    <mergeCell ref="A1252:A1255"/>
    <mergeCell ref="B1263:B1267"/>
    <mergeCell ref="A1198:A1202"/>
    <mergeCell ref="B1198:B1202"/>
    <mergeCell ref="B1225:B1230"/>
    <mergeCell ref="B1232:B1238"/>
    <mergeCell ref="A1244:A1250"/>
    <mergeCell ref="A1212:A1216"/>
    <mergeCell ref="B1218:B1223"/>
    <mergeCell ref="A1263:A1267"/>
    <mergeCell ref="B1252:B1255"/>
    <mergeCell ref="A1232:A1238"/>
    <mergeCell ref="B1240:B1242"/>
    <mergeCell ref="A1257:A1261"/>
    <mergeCell ref="B1204:B1210"/>
    <mergeCell ref="B1212:B1216"/>
    <mergeCell ref="A1225:A1230"/>
    <mergeCell ref="B1333:B1335"/>
    <mergeCell ref="B1275:B1280"/>
    <mergeCell ref="A1269:A1273"/>
    <mergeCell ref="A1293:A1296"/>
    <mergeCell ref="B1282:B1285"/>
    <mergeCell ref="A1287:A1291"/>
    <mergeCell ref="B1287:B1291"/>
    <mergeCell ref="A1240:A1242"/>
    <mergeCell ref="B1257:B1261"/>
    <mergeCell ref="B1244:B1250"/>
    <mergeCell ref="B1293:B1296"/>
    <mergeCell ref="B1269:B1273"/>
    <mergeCell ref="A1275:A1280"/>
    <mergeCell ref="A1282:A1285"/>
    <mergeCell ref="B1531:B1533"/>
    <mergeCell ref="A1535:A1539"/>
    <mergeCell ref="B1535:B1539"/>
    <mergeCell ref="A1525:A1529"/>
    <mergeCell ref="B1525:B1529"/>
    <mergeCell ref="A1519:A1523"/>
    <mergeCell ref="B1519:B1523"/>
    <mergeCell ref="B1298:B1301"/>
    <mergeCell ref="A1344:A1348"/>
    <mergeCell ref="A1364:A1368"/>
    <mergeCell ref="A1337:A1342"/>
    <mergeCell ref="A1323:A1325"/>
    <mergeCell ref="B1303:B1310"/>
    <mergeCell ref="A1303:A1310"/>
    <mergeCell ref="B1319:B1321"/>
    <mergeCell ref="B1312:B1317"/>
    <mergeCell ref="B1323:B1325"/>
    <mergeCell ref="B1337:B1342"/>
    <mergeCell ref="A1312:A1317"/>
    <mergeCell ref="A1298:A1301"/>
    <mergeCell ref="A1333:A1335"/>
    <mergeCell ref="A1319:A1321"/>
    <mergeCell ref="A1327:A1331"/>
    <mergeCell ref="B1327:B1331"/>
    <mergeCell ref="B1498:B1501"/>
    <mergeCell ref="A1503:A1506"/>
    <mergeCell ref="A1508:A1512"/>
    <mergeCell ref="B1483:B1487"/>
    <mergeCell ref="A1472:A1476"/>
    <mergeCell ref="B1472:B1476"/>
    <mergeCell ref="B1503:B1506"/>
    <mergeCell ref="A1514:A1517"/>
    <mergeCell ref="B1514:B1517"/>
    <mergeCell ref="B1478:B1481"/>
    <mergeCell ref="A1761:B1761"/>
    <mergeCell ref="A1742:B1742"/>
    <mergeCell ref="A1702:B1702"/>
    <mergeCell ref="B1693:B1701"/>
    <mergeCell ref="A1676:A1682"/>
    <mergeCell ref="A1683:B1683"/>
    <mergeCell ref="B1447:B1449"/>
    <mergeCell ref="B1435:B1437"/>
    <mergeCell ref="A1435:A1437"/>
    <mergeCell ref="A1439:A1441"/>
    <mergeCell ref="A1489:A1491"/>
    <mergeCell ref="B1489:B1491"/>
    <mergeCell ref="B1439:B1441"/>
    <mergeCell ref="A1459:A1461"/>
    <mergeCell ref="B1459:B1461"/>
    <mergeCell ref="A1447:A1449"/>
    <mergeCell ref="A1443:A1445"/>
    <mergeCell ref="B1443:B1445"/>
    <mergeCell ref="A1451:A1453"/>
    <mergeCell ref="B1508:B1512"/>
    <mergeCell ref="A1478:A1481"/>
    <mergeCell ref="A1609:A1610"/>
    <mergeCell ref="A1541:A1543"/>
    <mergeCell ref="B1541:B1543"/>
    <mergeCell ref="A1693:A1701"/>
    <mergeCell ref="B1344:B1348"/>
    <mergeCell ref="A1376:A1383"/>
    <mergeCell ref="B1364:B1368"/>
    <mergeCell ref="A1356:A1362"/>
    <mergeCell ref="B1356:B1362"/>
    <mergeCell ref="B1350:B1354"/>
    <mergeCell ref="A1350:A1354"/>
    <mergeCell ref="B1376:B1383"/>
    <mergeCell ref="A1406:A1408"/>
    <mergeCell ref="B1406:B1408"/>
    <mergeCell ref="A1385:A1389"/>
    <mergeCell ref="B1385:B1389"/>
    <mergeCell ref="B1430:B1433"/>
    <mergeCell ref="B1391:B1395"/>
    <mergeCell ref="B1402:B1404"/>
    <mergeCell ref="B1410:B1412"/>
    <mergeCell ref="B1418:B1422"/>
    <mergeCell ref="A1391:A1395"/>
    <mergeCell ref="A1370:A1374"/>
    <mergeCell ref="B1370:B1374"/>
    <mergeCell ref="A1493:A1496"/>
    <mergeCell ref="B1493:B1496"/>
    <mergeCell ref="A1498:A1501"/>
    <mergeCell ref="A1122:C1122"/>
    <mergeCell ref="A1115:C1115"/>
    <mergeCell ref="A1131:A1134"/>
    <mergeCell ref="A1142:A1146"/>
    <mergeCell ref="B1142:B1146"/>
    <mergeCell ref="B1166:B1172"/>
    <mergeCell ref="B1174:B1181"/>
    <mergeCell ref="B1183:B1189"/>
    <mergeCell ref="A1782:A1787"/>
    <mergeCell ref="A1751:B1751"/>
    <mergeCell ref="A1736:A1741"/>
    <mergeCell ref="B1743:B1750"/>
    <mergeCell ref="A1743:A1750"/>
    <mergeCell ref="A1531:A1533"/>
    <mergeCell ref="A1579:A1582"/>
    <mergeCell ref="B1579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9:B581"/>
    <mergeCell ref="A578:B578"/>
    <mergeCell ref="B572:B577"/>
    <mergeCell ref="A595:A597"/>
    <mergeCell ref="A587:A589"/>
    <mergeCell ref="A468:B468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41"/>
    <mergeCell ref="B443:B447"/>
    <mergeCell ref="A579:A581"/>
    <mergeCell ref="C560:F560"/>
    <mergeCell ref="B595:B597"/>
    <mergeCell ref="B294:B299"/>
    <mergeCell ref="A301:A313"/>
    <mergeCell ref="A378:B378"/>
    <mergeCell ref="A443:A447"/>
    <mergeCell ref="A401:B401"/>
    <mergeCell ref="A442:B442"/>
    <mergeCell ref="B449:B456"/>
    <mergeCell ref="A469:A491"/>
    <mergeCell ref="B469:B491"/>
    <mergeCell ref="A449:A456"/>
    <mergeCell ref="B591:B593"/>
    <mergeCell ref="C314:F314"/>
    <mergeCell ref="A323:A327"/>
    <mergeCell ref="B319:B321"/>
    <mergeCell ref="A561:A562"/>
    <mergeCell ref="B587:B589"/>
    <mergeCell ref="A423:B423"/>
    <mergeCell ref="A590:B590"/>
    <mergeCell ref="A654:A662"/>
    <mergeCell ref="A681:B681"/>
    <mergeCell ref="B668:B680"/>
    <mergeCell ref="A603:A604"/>
    <mergeCell ref="A602:B602"/>
    <mergeCell ref="B542:B559"/>
    <mergeCell ref="A493:A511"/>
    <mergeCell ref="A568:A570"/>
    <mergeCell ref="A599:A601"/>
    <mergeCell ref="B599:B601"/>
    <mergeCell ref="A598:B598"/>
    <mergeCell ref="A583:A585"/>
    <mergeCell ref="A513:A519"/>
    <mergeCell ref="A542:A559"/>
    <mergeCell ref="A582:B582"/>
    <mergeCell ref="A591:A593"/>
    <mergeCell ref="A572:A577"/>
    <mergeCell ref="B583:B585"/>
    <mergeCell ref="A512:B512"/>
    <mergeCell ref="A521:A524"/>
    <mergeCell ref="A526:A540"/>
    <mergeCell ref="A614:E614"/>
    <mergeCell ref="A629:B629"/>
    <mergeCell ref="A560:B560"/>
    <mergeCell ref="A239:B239"/>
    <mergeCell ref="A230:A232"/>
    <mergeCell ref="A226:A228"/>
    <mergeCell ref="A1080:B1080"/>
    <mergeCell ref="B1059:B1063"/>
    <mergeCell ref="A377:B377"/>
    <mergeCell ref="B424:B441"/>
    <mergeCell ref="A402:A422"/>
    <mergeCell ref="B521:B524"/>
    <mergeCell ref="B402:B422"/>
    <mergeCell ref="A391:B391"/>
    <mergeCell ref="A594:B594"/>
    <mergeCell ref="B526:B540"/>
    <mergeCell ref="A564:A566"/>
    <mergeCell ref="B564:B566"/>
    <mergeCell ref="B493:B511"/>
    <mergeCell ref="A492:B492"/>
    <mergeCell ref="A520:B520"/>
    <mergeCell ref="A525:B525"/>
    <mergeCell ref="A541:B541"/>
    <mergeCell ref="A379:A390"/>
    <mergeCell ref="A630:A639"/>
    <mergeCell ref="B264:B267"/>
    <mergeCell ref="A664:A666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5:F615"/>
    <mergeCell ref="B210:B218"/>
    <mergeCell ref="C218:F218"/>
    <mergeCell ref="B315:B316"/>
    <mergeCell ref="B513:B519"/>
    <mergeCell ref="B561:B562"/>
    <mergeCell ref="B279:B285"/>
    <mergeCell ref="A294:A299"/>
    <mergeCell ref="A315:A317"/>
    <mergeCell ref="A318:B318"/>
    <mergeCell ref="A457:B457"/>
    <mergeCell ref="A448:B448"/>
    <mergeCell ref="B458:B467"/>
    <mergeCell ref="A342:A376"/>
    <mergeCell ref="B392:B400"/>
    <mergeCell ref="A392:A400"/>
    <mergeCell ref="A586:B586"/>
    <mergeCell ref="A458:A467"/>
    <mergeCell ref="A613:B613"/>
    <mergeCell ref="C262:F262"/>
    <mergeCell ref="A268:B268"/>
    <mergeCell ref="A269:A277"/>
    <mergeCell ref="C744:F744"/>
    <mergeCell ref="C741:F741"/>
    <mergeCell ref="C733:F733"/>
    <mergeCell ref="B745:B749"/>
    <mergeCell ref="A729:A732"/>
    <mergeCell ref="A668:A680"/>
    <mergeCell ref="A689:A698"/>
    <mergeCell ref="B682:B687"/>
    <mergeCell ref="B689:B698"/>
    <mergeCell ref="B723:B727"/>
    <mergeCell ref="B712:B721"/>
    <mergeCell ref="B729:B732"/>
    <mergeCell ref="A712:A721"/>
    <mergeCell ref="A699:B699"/>
    <mergeCell ref="A706:A710"/>
    <mergeCell ref="A723:A727"/>
    <mergeCell ref="A711:B711"/>
    <mergeCell ref="B700:B704"/>
    <mergeCell ref="C738:F738"/>
    <mergeCell ref="A688:B688"/>
    <mergeCell ref="A745:A749"/>
    <mergeCell ref="A705:B705"/>
    <mergeCell ref="A700:A704"/>
    <mergeCell ref="B739:B740"/>
    <mergeCell ref="A857:A863"/>
    <mergeCell ref="A892:B892"/>
    <mergeCell ref="B818:B822"/>
    <mergeCell ref="B871:B876"/>
    <mergeCell ref="A871:A876"/>
    <mergeCell ref="A870:B870"/>
    <mergeCell ref="A792:A798"/>
    <mergeCell ref="B792:B798"/>
    <mergeCell ref="A800:A804"/>
    <mergeCell ref="B812:B816"/>
    <mergeCell ref="B865:B869"/>
    <mergeCell ref="A817:B817"/>
    <mergeCell ref="A811:B811"/>
    <mergeCell ref="A829:A832"/>
    <mergeCell ref="B829:B832"/>
    <mergeCell ref="A833:B833"/>
    <mergeCell ref="A834:A838"/>
    <mergeCell ref="B834:B838"/>
    <mergeCell ref="A839:B839"/>
    <mergeCell ref="B840:B847"/>
    <mergeCell ref="A840:A847"/>
    <mergeCell ref="A848:B848"/>
    <mergeCell ref="B751:B758"/>
    <mergeCell ref="A738:B738"/>
    <mergeCell ref="A806:A810"/>
    <mergeCell ref="A805:B805"/>
    <mergeCell ref="B768:B775"/>
    <mergeCell ref="A823:B823"/>
    <mergeCell ref="B824:B827"/>
    <mergeCell ref="A828:B828"/>
    <mergeCell ref="A824:A827"/>
    <mergeCell ref="A786:A790"/>
    <mergeCell ref="B786:B790"/>
    <mergeCell ref="B777:B784"/>
    <mergeCell ref="A785:B785"/>
    <mergeCell ref="A776:B776"/>
    <mergeCell ref="A760:A766"/>
    <mergeCell ref="B800:B804"/>
    <mergeCell ref="A812:A816"/>
    <mergeCell ref="B760:B766"/>
    <mergeCell ref="A777:A784"/>
    <mergeCell ref="A768:A775"/>
    <mergeCell ref="A767:B767"/>
    <mergeCell ref="A818:A822"/>
    <mergeCell ref="A791:B791"/>
    <mergeCell ref="A934:B934"/>
    <mergeCell ref="B935:B942"/>
    <mergeCell ref="B902:B910"/>
    <mergeCell ref="A911:B911"/>
    <mergeCell ref="C1714:F1714"/>
    <mergeCell ref="A901:B901"/>
    <mergeCell ref="A929:B929"/>
    <mergeCell ref="A912:A928"/>
    <mergeCell ref="A902:A910"/>
    <mergeCell ref="B912:B928"/>
    <mergeCell ref="A1059:A1063"/>
    <mergeCell ref="B1072:B1079"/>
    <mergeCell ref="A1123:A1129"/>
    <mergeCell ref="A1093:B1093"/>
    <mergeCell ref="A1130:B1130"/>
    <mergeCell ref="B1109:B1114"/>
    <mergeCell ref="B1094:B1099"/>
    <mergeCell ref="B1116:B1121"/>
    <mergeCell ref="A1101:A1107"/>
    <mergeCell ref="B1148:B1151"/>
    <mergeCell ref="A1109:A1114"/>
    <mergeCell ref="A1166:A1172"/>
    <mergeCell ref="A1183:A1189"/>
    <mergeCell ref="A1174:A1181"/>
    <mergeCell ref="M1959:P1959"/>
    <mergeCell ref="B1424:B1428"/>
    <mergeCell ref="A1455:A1457"/>
    <mergeCell ref="A849:A855"/>
    <mergeCell ref="A1825:A1832"/>
    <mergeCell ref="C1723:F1723"/>
    <mergeCell ref="A971:B971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3:B900"/>
    <mergeCell ref="A893:A900"/>
    <mergeCell ref="B885:B891"/>
    <mergeCell ref="A878:A883"/>
    <mergeCell ref="A856:B856"/>
    <mergeCell ref="B878:B883"/>
    <mergeCell ref="A885:A891"/>
    <mergeCell ref="A884:B884"/>
    <mergeCell ref="B630:B639"/>
    <mergeCell ref="A667:B667"/>
    <mergeCell ref="A751:A758"/>
    <mergeCell ref="B616:B624"/>
    <mergeCell ref="A606:A610"/>
    <mergeCell ref="B606:B610"/>
    <mergeCell ref="A682:A687"/>
    <mergeCell ref="B664:B666"/>
    <mergeCell ref="A663:B663"/>
    <mergeCell ref="A616:A624"/>
    <mergeCell ref="A722:B722"/>
    <mergeCell ref="A734:A737"/>
    <mergeCell ref="B734:B737"/>
    <mergeCell ref="A733:B733"/>
    <mergeCell ref="A728:B728"/>
    <mergeCell ref="A750:B750"/>
    <mergeCell ref="B742:B743"/>
    <mergeCell ref="A744:B744"/>
    <mergeCell ref="A741:B741"/>
    <mergeCell ref="A742:A743"/>
    <mergeCell ref="A653:B653"/>
    <mergeCell ref="B654:B662"/>
    <mergeCell ref="A626:A628"/>
    <mergeCell ref="B626:B628"/>
    <mergeCell ref="M1958:P1958"/>
    <mergeCell ref="M1957:P1957"/>
    <mergeCell ref="A605:B605"/>
    <mergeCell ref="B603:B604"/>
    <mergeCell ref="A640:B640"/>
    <mergeCell ref="A646:A652"/>
    <mergeCell ref="A625:B625"/>
    <mergeCell ref="A641:A643"/>
    <mergeCell ref="B641:B643"/>
    <mergeCell ref="B646:B652"/>
    <mergeCell ref="B806:B810"/>
    <mergeCell ref="D722:E722"/>
    <mergeCell ref="A739:A740"/>
    <mergeCell ref="A865:A869"/>
    <mergeCell ref="B849:B855"/>
    <mergeCell ref="A864:B864"/>
    <mergeCell ref="B857:B863"/>
    <mergeCell ref="B1752:B1760"/>
    <mergeCell ref="A759:B759"/>
    <mergeCell ref="B706:B710"/>
    <mergeCell ref="A799:B799"/>
    <mergeCell ref="A611:B611"/>
    <mergeCell ref="A645:B645"/>
    <mergeCell ref="A1941:B1941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4:A954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4:B954"/>
    <mergeCell ref="A1141:B1141"/>
    <mergeCell ref="A1136:A1140"/>
    <mergeCell ref="A1135:B1135"/>
    <mergeCell ref="B1159:B1164"/>
    <mergeCell ref="A1148:A1151"/>
    <mergeCell ref="A1159:A1164"/>
    <mergeCell ref="B1131:B1134"/>
  </mergeCells>
  <phoneticPr fontId="3" type="noConversion"/>
  <conditionalFormatting sqref="G1063 H541:L541 H154:L154 G526:G541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8:L1242 L169:L183 L307:L311 L313 L360:L374 L376 L315:L329 L331:L338 L340 L81:L87 L1081:L1107 L1109:L1114 L806:L810 L1483:L1490 L1596:L1598 L1065:L1079 L1116:L1121 L161:L167 L1244:L1255 G278:K278 L225:L228 L956:L963 L617:L625 L1032:L1063 L16:L60 L210:L223 L1319:L1383 L751:L804 L1257:L1273 L230:L248 L965:L1030 L1385:L1422 L89:L118 L342:L358 L1424:L1470 L294:L299 L250:L292 L185:L208 L301:L305 L120:L153 L1601:L1909 L1123:L1196 H195:H203 L379:L519 L155:L159 L521:L570 L1914:L1951 L627:L749 L1954:L1956 L812:L954 L62:L79 L572:L614 L1275:L1314 L1316:L1317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6">
    <cfRule type="cellIs" dxfId="214" priority="164" operator="lessThan">
      <formula>0</formula>
    </cfRule>
  </conditionalFormatting>
  <conditionalFormatting sqref="L1472:L1476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8:L1481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91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3:L1495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6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8:L1500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501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3:L1505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6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4:L1516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7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9:L1522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3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5:L1528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9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6:L1567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8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70:L1571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2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4:L1576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7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9 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31:L1532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3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5:L1536 L1538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9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8:L1509 L1511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2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41:L1542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3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5:L1547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8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50:L1553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4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80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6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6 L1558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9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61 L1563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4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7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7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2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10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5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8"/>
  <sheetViews>
    <sheetView zoomScale="86" zoomScaleNormal="86" workbookViewId="0">
      <pane xSplit="3" ySplit="4" topLeftCell="D50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69" sqref="I69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1" t="s">
        <v>511</v>
      </c>
      <c r="B1" s="2221"/>
      <c r="C1" s="2221"/>
      <c r="D1" s="2221"/>
      <c r="E1" s="2221"/>
      <c r="F1" s="2221"/>
      <c r="G1" s="2221"/>
      <c r="H1" s="2221"/>
      <c r="I1" s="2221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46261</v>
      </c>
    </row>
    <row r="3" spans="1:18" ht="30" customHeight="1" x14ac:dyDescent="0.25">
      <c r="A3" s="2224" t="s">
        <v>3</v>
      </c>
      <c r="B3" s="2240" t="s">
        <v>619</v>
      </c>
      <c r="C3" s="2226" t="s">
        <v>278</v>
      </c>
      <c r="D3" s="2226" t="s">
        <v>1376</v>
      </c>
      <c r="E3" s="2222" t="s">
        <v>46</v>
      </c>
      <c r="F3" s="2222"/>
      <c r="G3" s="2223" t="s">
        <v>366</v>
      </c>
      <c r="H3" s="2222"/>
      <c r="I3" s="2228" t="s">
        <v>460</v>
      </c>
      <c r="J3" s="2214" t="s">
        <v>461</v>
      </c>
    </row>
    <row r="4" spans="1:18" ht="30" customHeight="1" x14ac:dyDescent="0.25">
      <c r="A4" s="2225"/>
      <c r="B4" s="2241"/>
      <c r="C4" s="2227"/>
      <c r="D4" s="2227"/>
      <c r="E4" s="1192" t="s">
        <v>279</v>
      </c>
      <c r="F4" s="573" t="s">
        <v>1150</v>
      </c>
      <c r="G4" s="542" t="s">
        <v>279</v>
      </c>
      <c r="H4" s="541" t="s">
        <v>1150</v>
      </c>
      <c r="I4" s="2229"/>
      <c r="J4" s="2215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2139</v>
      </c>
      <c r="D5" s="612">
        <v>1.7999999999999999E-2</v>
      </c>
      <c r="E5" s="1193">
        <f>ROUND(SUMIF(sdmixer!$A:$A,usage!B5,sdmixer!$E:$E),0)</f>
        <v>160676</v>
      </c>
      <c r="F5" s="577">
        <f>ROUND(D5*E5,0)</f>
        <v>2892</v>
      </c>
      <c r="G5" s="603"/>
      <c r="H5" s="577">
        <f t="shared" ref="H5:H66" si="0">+G5*D5</f>
        <v>0</v>
      </c>
      <c r="I5" s="579">
        <f>+G5+H5+E5+F5</f>
        <v>163568</v>
      </c>
      <c r="J5" s="580">
        <f>+E5+G5</f>
        <v>160676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2140</v>
      </c>
      <c r="D6" s="613">
        <v>1.7999999999999999E-2</v>
      </c>
      <c r="E6" s="1193">
        <f>sdmixer!K2-E5</f>
        <v>1008984.9000000001</v>
      </c>
      <c r="F6" s="577">
        <f t="shared" ref="F6:F66" si="1">ROUND(D6*E6,0)</f>
        <v>18162</v>
      </c>
      <c r="G6" s="603"/>
      <c r="H6" s="576">
        <f t="shared" si="0"/>
        <v>0</v>
      </c>
      <c r="I6" s="579">
        <f>+G6+H6+E6+F6</f>
        <v>1027146.9000000001</v>
      </c>
      <c r="J6" s="580">
        <f t="shared" ref="J6:J68" si="2">+E6+G6</f>
        <v>1008984.9000000001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22859</v>
      </c>
      <c r="F8" s="577">
        <f t="shared" si="1"/>
        <v>914</v>
      </c>
      <c r="G8" s="578"/>
      <c r="H8" s="576">
        <f t="shared" si="0"/>
        <v>0</v>
      </c>
      <c r="I8" s="579">
        <f t="shared" ref="I8:I66" si="3">+G8+H8+E8+F8</f>
        <v>23773</v>
      </c>
      <c r="J8" s="580">
        <f t="shared" si="2"/>
        <v>22859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1442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107787</v>
      </c>
      <c r="F12" s="577">
        <f t="shared" si="1"/>
        <v>1078</v>
      </c>
      <c r="G12" s="578"/>
      <c r="H12" s="576">
        <f t="shared" si="0"/>
        <v>0</v>
      </c>
      <c r="I12" s="579">
        <f t="shared" si="3"/>
        <v>108865</v>
      </c>
      <c r="J12" s="580">
        <f t="shared" si="2"/>
        <v>107787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14865</v>
      </c>
      <c r="F14" s="577">
        <f t="shared" si="1"/>
        <v>149</v>
      </c>
      <c r="G14" s="578"/>
      <c r="H14" s="576">
        <f t="shared" si="0"/>
        <v>0</v>
      </c>
      <c r="I14" s="579">
        <f t="shared" si="3"/>
        <v>15014</v>
      </c>
      <c r="J14" s="580">
        <f t="shared" si="2"/>
        <v>14865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4473</v>
      </c>
      <c r="F15" s="577">
        <f t="shared" si="1"/>
        <v>45</v>
      </c>
      <c r="G15" s="578"/>
      <c r="H15" s="576">
        <f t="shared" si="0"/>
        <v>0</v>
      </c>
      <c r="I15" s="579">
        <f t="shared" si="3"/>
        <v>4518</v>
      </c>
      <c r="J15" s="580">
        <f t="shared" si="2"/>
        <v>4473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51599</v>
      </c>
      <c r="F16" s="577">
        <f t="shared" si="1"/>
        <v>516</v>
      </c>
      <c r="G16" s="578"/>
      <c r="H16" s="576">
        <f t="shared" si="0"/>
        <v>0</v>
      </c>
      <c r="I16" s="579">
        <f t="shared" si="3"/>
        <v>52115</v>
      </c>
      <c r="J16" s="580">
        <f t="shared" si="2"/>
        <v>51599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5577</v>
      </c>
      <c r="F17" s="577">
        <f t="shared" si="1"/>
        <v>56</v>
      </c>
      <c r="G17" s="578"/>
      <c r="H17" s="576">
        <f t="shared" si="0"/>
        <v>0</v>
      </c>
      <c r="I17" s="579">
        <f t="shared" si="3"/>
        <v>5633</v>
      </c>
      <c r="J17" s="580">
        <f t="shared" si="2"/>
        <v>5577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45342</v>
      </c>
      <c r="F21" s="577">
        <f t="shared" ref="F21" si="8">ROUND(D21*E21,0)</f>
        <v>453</v>
      </c>
      <c r="G21" s="578"/>
      <c r="H21" s="576">
        <f t="shared" ref="H21" si="9">+G21*D21</f>
        <v>0</v>
      </c>
      <c r="I21" s="579">
        <f t="shared" ref="I21" si="10">+G21+H21+E21+F21</f>
        <v>45795</v>
      </c>
      <c r="J21" s="580">
        <f t="shared" ref="J21" si="11">+E21+G21</f>
        <v>45342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338505</v>
      </c>
      <c r="F24" s="577">
        <f t="shared" si="1"/>
        <v>3385</v>
      </c>
      <c r="G24" s="578"/>
      <c r="H24" s="576">
        <f>+G24*D24</f>
        <v>0</v>
      </c>
      <c r="I24" s="579">
        <f>+G24+H24+E24+F24</f>
        <v>341890</v>
      </c>
      <c r="J24" s="580">
        <f t="shared" si="2"/>
        <v>338505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10716</v>
      </c>
      <c r="F25" s="577">
        <f t="shared" si="1"/>
        <v>429</v>
      </c>
      <c r="G25" s="578"/>
      <c r="H25" s="576">
        <f t="shared" si="0"/>
        <v>0</v>
      </c>
      <c r="I25" s="579">
        <f t="shared" si="3"/>
        <v>11145</v>
      </c>
      <c r="J25" s="580">
        <f t="shared" si="2"/>
        <v>10716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83414</v>
      </c>
      <c r="F26" s="577">
        <f t="shared" si="1"/>
        <v>834</v>
      </c>
      <c r="G26" s="578"/>
      <c r="H26" s="576">
        <f t="shared" si="0"/>
        <v>0</v>
      </c>
      <c r="I26" s="579">
        <f t="shared" si="3"/>
        <v>84248</v>
      </c>
      <c r="J26" s="580">
        <f t="shared" si="2"/>
        <v>83414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1096</v>
      </c>
      <c r="F27" s="577">
        <f t="shared" si="1"/>
        <v>11</v>
      </c>
      <c r="G27" s="578"/>
      <c r="H27" s="576">
        <f t="shared" si="0"/>
        <v>0</v>
      </c>
      <c r="I27" s="579">
        <f t="shared" si="3"/>
        <v>1107</v>
      </c>
      <c r="J27" s="580">
        <f t="shared" si="2"/>
        <v>1096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17195</v>
      </c>
      <c r="F29" s="577">
        <f t="shared" si="1"/>
        <v>172</v>
      </c>
      <c r="G29" s="578"/>
      <c r="H29" s="576">
        <f t="shared" si="0"/>
        <v>0</v>
      </c>
      <c r="I29" s="579">
        <f t="shared" si="3"/>
        <v>17367</v>
      </c>
      <c r="J29" s="580">
        <f t="shared" si="2"/>
        <v>17195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114340</v>
      </c>
      <c r="F31" s="577">
        <f t="shared" si="1"/>
        <v>1143</v>
      </c>
      <c r="G31" s="578"/>
      <c r="H31" s="576">
        <f t="shared" si="0"/>
        <v>0</v>
      </c>
      <c r="I31" s="579">
        <f t="shared" si="3"/>
        <v>115483</v>
      </c>
      <c r="J31" s="580">
        <f t="shared" si="2"/>
        <v>114340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9855</v>
      </c>
      <c r="F33" s="577">
        <f t="shared" si="1"/>
        <v>99</v>
      </c>
      <c r="G33" s="578"/>
      <c r="H33" s="576">
        <f t="shared" si="0"/>
        <v>0</v>
      </c>
      <c r="I33" s="579">
        <f t="shared" si="3"/>
        <v>9954</v>
      </c>
      <c r="J33" s="580">
        <f t="shared" si="2"/>
        <v>9855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6460</v>
      </c>
      <c r="F34" s="577">
        <f t="shared" si="1"/>
        <v>32</v>
      </c>
      <c r="G34" s="578"/>
      <c r="H34" s="576">
        <f>+G34*D34</f>
        <v>0</v>
      </c>
      <c r="I34" s="579">
        <f t="shared" si="3"/>
        <v>6492</v>
      </c>
      <c r="J34" s="580">
        <f t="shared" si="2"/>
        <v>6460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12267</v>
      </c>
      <c r="F37" s="577">
        <f t="shared" si="1"/>
        <v>61</v>
      </c>
      <c r="G37" s="578"/>
      <c r="H37" s="576">
        <f t="shared" si="0"/>
        <v>0</v>
      </c>
      <c r="I37" s="579">
        <f t="shared" si="3"/>
        <v>12328</v>
      </c>
      <c r="J37" s="580">
        <f t="shared" si="2"/>
        <v>12267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12782</v>
      </c>
      <c r="F41" s="577">
        <f t="shared" si="1"/>
        <v>64</v>
      </c>
      <c r="G41" s="578"/>
      <c r="H41" s="576">
        <f t="shared" si="0"/>
        <v>0</v>
      </c>
      <c r="I41" s="579">
        <f t="shared" si="3"/>
        <v>12846</v>
      </c>
      <c r="J41" s="580">
        <f t="shared" si="2"/>
        <v>12782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25860</v>
      </c>
      <c r="F42" s="577">
        <f t="shared" si="1"/>
        <v>129</v>
      </c>
      <c r="G42" s="585"/>
      <c r="H42" s="576">
        <f>+G42*D42</f>
        <v>0</v>
      </c>
      <c r="I42" s="579">
        <f>+G42+H42+E42+F42</f>
        <v>25989</v>
      </c>
      <c r="J42" s="580">
        <f>+E42+G42</f>
        <v>25860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2046</v>
      </c>
      <c r="F43" s="577">
        <f t="shared" si="1"/>
        <v>10</v>
      </c>
      <c r="G43" s="585"/>
      <c r="H43" s="576">
        <f t="shared" si="0"/>
        <v>0</v>
      </c>
      <c r="I43" s="579">
        <f t="shared" si="3"/>
        <v>2056</v>
      </c>
      <c r="J43" s="580">
        <f t="shared" si="2"/>
        <v>2046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837</v>
      </c>
      <c r="F44" s="577">
        <f t="shared" si="1"/>
        <v>4</v>
      </c>
      <c r="G44" s="578"/>
      <c r="H44" s="576">
        <f t="shared" si="0"/>
        <v>0</v>
      </c>
      <c r="I44" s="579">
        <f t="shared" si="3"/>
        <v>841</v>
      </c>
      <c r="J44" s="580">
        <f t="shared" si="2"/>
        <v>837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498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498</v>
      </c>
      <c r="J45" s="580">
        <f t="shared" si="2"/>
        <v>498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1440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1440</v>
      </c>
      <c r="J47" s="580">
        <f t="shared" si="2"/>
        <v>1440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2349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2349</v>
      </c>
      <c r="J48" s="580">
        <f t="shared" si="2"/>
        <v>2349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1456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1456</v>
      </c>
      <c r="J50" s="580">
        <f t="shared" si="2"/>
        <v>1456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5739</v>
      </c>
      <c r="F53" s="577">
        <f t="shared" si="1"/>
        <v>29</v>
      </c>
      <c r="G53" s="578"/>
      <c r="H53" s="576">
        <f t="shared" si="0"/>
        <v>0</v>
      </c>
      <c r="I53" s="579">
        <f t="shared" si="3"/>
        <v>5768</v>
      </c>
      <c r="J53" s="580">
        <f t="shared" si="2"/>
        <v>5739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5461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5461</v>
      </c>
      <c r="J55" s="580">
        <f t="shared" si="2"/>
        <v>5461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158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158</v>
      </c>
      <c r="J56" s="580">
        <f t="shared" si="2"/>
        <v>158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12581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12581</v>
      </c>
      <c r="J57" s="580">
        <f t="shared" si="2"/>
        <v>12581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31138.87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31138.87</v>
      </c>
      <c r="J58" s="580">
        <f t="shared" si="2"/>
        <v>31138.87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1494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IF(C66="","",COUNT($A$4:A64)+1)</f>
        <v>61</v>
      </c>
      <c r="B66" s="779">
        <v>670117</v>
      </c>
      <c r="C66" s="512" t="s">
        <v>1785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9"/>
    </row>
    <row r="67" spans="1:18" ht="20.100000000000001" customHeight="1" x14ac:dyDescent="0.25">
      <c r="A67" s="514">
        <f>IF(C67="","",COUNT($A$4:A65)+1)</f>
        <v>62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s="279" customFormat="1" ht="30.75" customHeight="1" x14ac:dyDescent="0.2">
      <c r="A68" s="2234" t="s">
        <v>435</v>
      </c>
      <c r="B68" s="2235"/>
      <c r="C68" s="2235"/>
      <c r="D68" s="2236"/>
      <c r="E68" s="1194">
        <f>+SUM(E5:E67)</f>
        <v>2118356.77</v>
      </c>
      <c r="F68" s="1194">
        <f t="shared" ref="F68:H68" si="21">+SUM(F5:F67)</f>
        <v>30667</v>
      </c>
      <c r="G68" s="1194">
        <f t="shared" si="21"/>
        <v>0</v>
      </c>
      <c r="H68" s="1194">
        <f t="shared" si="21"/>
        <v>0</v>
      </c>
      <c r="I68" s="1194">
        <f>+SUM(I5:I67)</f>
        <v>2149023.7700000005</v>
      </c>
      <c r="J68" s="587">
        <f t="shared" si="2"/>
        <v>2118356.77</v>
      </c>
      <c r="K68" s="692"/>
      <c r="L68" s="664"/>
      <c r="R68" s="1730"/>
    </row>
    <row r="69" spans="1:18" ht="29.25" customHeight="1" thickBot="1" x14ac:dyDescent="0.3">
      <c r="A69" s="2237"/>
      <c r="B69" s="2238"/>
      <c r="C69" s="2238"/>
      <c r="D69" s="2239"/>
      <c r="E69" s="2232">
        <f>+E68+F68</f>
        <v>2149023.77</v>
      </c>
      <c r="F69" s="2233"/>
      <c r="G69" s="2230">
        <f>+G68+H68</f>
        <v>0</v>
      </c>
      <c r="H69" s="2231"/>
      <c r="I69" s="588">
        <f>+E69+G69</f>
        <v>2149023.77</v>
      </c>
      <c r="J69" s="589"/>
      <c r="R69" s="1729"/>
    </row>
    <row r="70" spans="1:18" ht="21" customHeight="1" x14ac:dyDescent="0.25">
      <c r="A70" s="514">
        <f>IF(C70="","",COUNT($A$69:A69)+1)</f>
        <v>1</v>
      </c>
      <c r="B70" s="780">
        <v>842259</v>
      </c>
      <c r="C70" s="516" t="s">
        <v>1613</v>
      </c>
      <c r="D70" s="617"/>
      <c r="E70" s="1287">
        <f>+SUMIF(sdmixer!$A:$A,usage!B70,sdmixer!$E:$E)</f>
        <v>237.98</v>
      </c>
      <c r="F70" s="1288"/>
      <c r="G70" s="591"/>
      <c r="H70" s="590"/>
      <c r="I70" s="592">
        <f t="shared" ref="I70:I86" si="22">+E70+G70</f>
        <v>237.98</v>
      </c>
      <c r="J70" s="563">
        <f>+E68+E221+E254+67054-10022.16+9885.12-162-43+172.02+8.4+4670.38+5621.94+5198+21753</f>
        <v>2266494.1799999997</v>
      </c>
      <c r="K70" s="646"/>
      <c r="L70" s="1286"/>
      <c r="N70" s="1723"/>
      <c r="R70" s="1729"/>
    </row>
    <row r="71" spans="1:18" ht="21" customHeight="1" x14ac:dyDescent="0.25">
      <c r="A71" s="514">
        <f>IF(C71="","",COUNT($A$69:A70)+1)</f>
        <v>2</v>
      </c>
      <c r="B71" s="638">
        <v>791739</v>
      </c>
      <c r="C71" s="518" t="s">
        <v>367</v>
      </c>
      <c r="D71" s="618"/>
      <c r="E71" s="1287">
        <f>+SUMIF(sdmixer!$A:$A,usage!B71,sdmixer!$E:$E)</f>
        <v>0</v>
      </c>
      <c r="F71" s="593"/>
      <c r="G71" s="594"/>
      <c r="H71" s="593"/>
      <c r="I71" s="595">
        <f t="shared" si="22"/>
        <v>0</v>
      </c>
      <c r="J71" s="563">
        <v>2068570.24</v>
      </c>
      <c r="K71" s="646"/>
      <c r="L71" s="1286"/>
      <c r="R71" s="1729"/>
    </row>
    <row r="72" spans="1:18" ht="21" customHeight="1" x14ac:dyDescent="0.25">
      <c r="A72" s="514">
        <f>IF(C72="","",COUNT($A$69:A71)+1)</f>
        <v>3</v>
      </c>
      <c r="B72" s="780">
        <v>820500</v>
      </c>
      <c r="C72" s="518" t="s">
        <v>368</v>
      </c>
      <c r="D72" s="618"/>
      <c r="E72" s="1287">
        <f>+SUMIF(sdmixer!$A:$A,usage!B72,sdmixer!$E:$E)</f>
        <v>691.7</v>
      </c>
      <c r="F72" s="593"/>
      <c r="G72" s="594"/>
      <c r="H72" s="593"/>
      <c r="I72" s="595">
        <f t="shared" si="22"/>
        <v>691.7</v>
      </c>
      <c r="J72" s="718">
        <f>+J70-J71</f>
        <v>197923.93999999971</v>
      </c>
      <c r="K72"/>
      <c r="L72" s="1286"/>
      <c r="R72" s="1729"/>
    </row>
    <row r="73" spans="1:18" ht="21" customHeight="1" x14ac:dyDescent="0.25">
      <c r="A73" s="514">
        <f>IF(C73="","",COUNT($A$69:A72)+1)</f>
        <v>4</v>
      </c>
      <c r="B73" s="638">
        <v>833101</v>
      </c>
      <c r="C73" s="519" t="s">
        <v>369</v>
      </c>
      <c r="D73" s="618"/>
      <c r="E73" s="1287">
        <f>+SUMIF(sdmixer!$A:$A,usage!B73,sdmixer!$E:$E)</f>
        <v>716.5</v>
      </c>
      <c r="F73" s="593"/>
      <c r="G73" s="594"/>
      <c r="H73" s="593"/>
      <c r="I73" s="595">
        <f t="shared" si="22"/>
        <v>716.5</v>
      </c>
      <c r="J73" s="563"/>
      <c r="K73" s="646"/>
      <c r="L73" s="1286"/>
      <c r="R73" s="1729"/>
    </row>
    <row r="74" spans="1:18" ht="21" customHeight="1" x14ac:dyDescent="0.25">
      <c r="A74" s="514">
        <f>IF(C74="","",COUNT($A$69:A73)+1)</f>
        <v>5</v>
      </c>
      <c r="B74" s="620">
        <v>831904</v>
      </c>
      <c r="C74" s="275" t="s">
        <v>486</v>
      </c>
      <c r="D74" s="618"/>
      <c r="E74" s="1287">
        <f>+SUMIF(sdmixer!$A:$A,usage!B74,sdmixer!$E:$E)</f>
        <v>0</v>
      </c>
      <c r="F74" s="593"/>
      <c r="G74" s="594"/>
      <c r="H74" s="593"/>
      <c r="I74" s="595">
        <f t="shared" si="22"/>
        <v>0</v>
      </c>
      <c r="J74" s="561"/>
      <c r="K74" s="646"/>
      <c r="L74" s="1286"/>
      <c r="O74" s="1230"/>
      <c r="R74" s="1729"/>
    </row>
    <row r="75" spans="1:18" ht="21" customHeight="1" x14ac:dyDescent="0.25">
      <c r="A75" s="514">
        <f>IF(C75="","",COUNT($A$69:A74)+1)</f>
        <v>6</v>
      </c>
      <c r="B75" s="638">
        <v>840002</v>
      </c>
      <c r="C75" s="518" t="s">
        <v>441</v>
      </c>
      <c r="D75" s="618"/>
      <c r="E75" s="1287">
        <f>+SUMIF(sdmixer!$A:$A,usage!B75,sdmixer!$E:$E)-E76</f>
        <v>766.82999999999993</v>
      </c>
      <c r="F75" s="593"/>
      <c r="G75" s="594"/>
      <c r="H75" s="593"/>
      <c r="I75" s="595">
        <f t="shared" si="22"/>
        <v>766.82999999999993</v>
      </c>
      <c r="J75" s="718"/>
      <c r="K75" s="646"/>
      <c r="L75" s="1286"/>
      <c r="R75" s="1729"/>
    </row>
    <row r="76" spans="1:18" ht="21" customHeight="1" x14ac:dyDescent="0.25">
      <c r="A76" s="514">
        <f>IF(C76="","",COUNT($A$69:A75)+1)</f>
        <v>7</v>
      </c>
      <c r="B76" s="620" t="s">
        <v>958</v>
      </c>
      <c r="C76" s="644" t="s">
        <v>442</v>
      </c>
      <c r="D76" s="618"/>
      <c r="E76" s="1287">
        <f>sdmixer!J18</f>
        <v>2235</v>
      </c>
      <c r="F76" s="593"/>
      <c r="G76" s="594"/>
      <c r="H76" s="593"/>
      <c r="I76" s="595">
        <f t="shared" si="22"/>
        <v>2235</v>
      </c>
      <c r="J76"/>
      <c r="K76" s="646"/>
      <c r="L76" s="1286"/>
      <c r="R76" s="1729"/>
    </row>
    <row r="77" spans="1:18" ht="21" customHeight="1" x14ac:dyDescent="0.25">
      <c r="A77" s="514">
        <f>IF(C77="","",COUNT($A$69:A76)+1)</f>
        <v>8</v>
      </c>
      <c r="B77" s="638">
        <v>840011</v>
      </c>
      <c r="C77" s="518" t="s">
        <v>49</v>
      </c>
      <c r="D77" s="618"/>
      <c r="E77" s="1287">
        <f>+SUMIF(sdmixer!$A:$A,usage!B77,sdmixer!$E:$E)</f>
        <v>3688.25</v>
      </c>
      <c r="F77" s="593"/>
      <c r="G77" s="594"/>
      <c r="H77" s="593"/>
      <c r="I77" s="595">
        <f t="shared" si="22"/>
        <v>3688.25</v>
      </c>
      <c r="J77" s="662"/>
      <c r="K77" s="646"/>
      <c r="L77" s="1286"/>
      <c r="R77" s="1729"/>
    </row>
    <row r="78" spans="1:18" ht="21" customHeight="1" x14ac:dyDescent="0.25">
      <c r="A78" s="514">
        <f>IF(C78="","",COUNT($A$69:A77)+1)</f>
        <v>9</v>
      </c>
      <c r="B78" s="638">
        <v>840012</v>
      </c>
      <c r="C78" s="518" t="s">
        <v>155</v>
      </c>
      <c r="D78" s="618"/>
      <c r="E78" s="1287">
        <f>+SUMIF(sdmixer!$A:$A,usage!B78,sdmixer!$E:$E)</f>
        <v>6456.55</v>
      </c>
      <c r="F78" s="593"/>
      <c r="G78" s="594"/>
      <c r="H78" s="593"/>
      <c r="I78" s="595">
        <f t="shared" si="22"/>
        <v>6456.55</v>
      </c>
      <c r="J78"/>
      <c r="K78" s="646"/>
      <c r="L78" s="1286"/>
      <c r="R78" s="1729"/>
    </row>
    <row r="79" spans="1:18" ht="21" customHeight="1" x14ac:dyDescent="0.25">
      <c r="A79" s="514">
        <f>IF(C79="","",COUNT($A$69:A78)+1)</f>
        <v>10</v>
      </c>
      <c r="B79" s="638">
        <v>840020</v>
      </c>
      <c r="C79" s="518" t="s">
        <v>438</v>
      </c>
      <c r="D79" s="618"/>
      <c r="E79" s="1287">
        <f>+SUMIF(sdmixer!$A:$A,usage!B79,sdmixer!$E:$E)</f>
        <v>463.26</v>
      </c>
      <c r="F79" s="593"/>
      <c r="G79" s="594"/>
      <c r="H79" s="593"/>
      <c r="I79" s="595">
        <f t="shared" si="22"/>
        <v>463.26</v>
      </c>
      <c r="J79"/>
      <c r="K79" s="646"/>
      <c r="L79" s="1286"/>
      <c r="R79" s="1729"/>
    </row>
    <row r="80" spans="1:18" ht="21" customHeight="1" x14ac:dyDescent="0.25">
      <c r="A80" s="514">
        <f>IF(C80="","",COUNT($A$69:A79)+1)</f>
        <v>11</v>
      </c>
      <c r="B80" s="638">
        <v>840030</v>
      </c>
      <c r="C80" s="518" t="s">
        <v>370</v>
      </c>
      <c r="D80" s="618"/>
      <c r="E80" s="1287">
        <f>+SUMIF(sdmixer!$A:$A,usage!B80,sdmixer!$E:$E)</f>
        <v>2116.75</v>
      </c>
      <c r="F80" s="593"/>
      <c r="G80" s="594"/>
      <c r="H80" s="593"/>
      <c r="I80" s="595">
        <f t="shared" si="22"/>
        <v>2116.75</v>
      </c>
      <c r="J80"/>
      <c r="K80" s="646"/>
      <c r="L80" s="1286"/>
      <c r="R80" s="1729"/>
    </row>
    <row r="81" spans="1:18" ht="21" customHeight="1" x14ac:dyDescent="0.25">
      <c r="A81" s="514">
        <f>IF(C81="","",COUNT($A$69:A80)+1)</f>
        <v>12</v>
      </c>
      <c r="B81" s="638">
        <v>840040</v>
      </c>
      <c r="C81" s="518" t="s">
        <v>371</v>
      </c>
      <c r="D81" s="618"/>
      <c r="E81" s="1287">
        <f>+SUMIF(sdmixer!$A:$A,usage!B81,sdmixer!$E:$E)</f>
        <v>0</v>
      </c>
      <c r="F81" s="593"/>
      <c r="G81" s="594"/>
      <c r="H81" s="593"/>
      <c r="I81" s="595">
        <f t="shared" si="22"/>
        <v>0</v>
      </c>
      <c r="J81"/>
      <c r="K81" s="646"/>
      <c r="L81" s="1286"/>
      <c r="R81" s="1729"/>
    </row>
    <row r="82" spans="1:18" ht="21" customHeight="1" x14ac:dyDescent="0.25">
      <c r="A82" s="514">
        <f>IF(C82="","",COUNT($A$69:A81)+1)</f>
        <v>13</v>
      </c>
      <c r="B82" s="638">
        <v>840041</v>
      </c>
      <c r="C82" s="518" t="s">
        <v>406</v>
      </c>
      <c r="D82" s="618"/>
      <c r="E82" s="1287">
        <f>+SUMIF(sdmixer!$A:$A,usage!B82,sdmixer!$E:$E)</f>
        <v>1228.07</v>
      </c>
      <c r="F82" s="593"/>
      <c r="G82" s="594"/>
      <c r="H82" s="593"/>
      <c r="I82" s="595">
        <f t="shared" si="22"/>
        <v>1228.07</v>
      </c>
      <c r="J82"/>
      <c r="K82" s="646"/>
      <c r="L82" s="1286"/>
      <c r="R82" s="1729"/>
    </row>
    <row r="83" spans="1:18" ht="21" customHeight="1" x14ac:dyDescent="0.25">
      <c r="A83" s="514">
        <f>IF(C83="","",COUNT($A$69:A82)+1)</f>
        <v>14</v>
      </c>
      <c r="B83" s="638">
        <v>840050</v>
      </c>
      <c r="C83" s="518" t="s">
        <v>96</v>
      </c>
      <c r="D83" s="618"/>
      <c r="E83" s="1287">
        <f>+SUMIF(sdmixer!$A:$A,usage!B83,sdmixer!$E:$E)</f>
        <v>0</v>
      </c>
      <c r="F83" s="593"/>
      <c r="G83" s="594"/>
      <c r="H83" s="593"/>
      <c r="I83" s="595">
        <f t="shared" si="22"/>
        <v>0</v>
      </c>
      <c r="J83"/>
      <c r="K83" s="646"/>
      <c r="L83" s="1286"/>
      <c r="R83" s="1729"/>
    </row>
    <row r="84" spans="1:18" ht="21" customHeight="1" x14ac:dyDescent="0.25">
      <c r="A84" s="514">
        <f>IF(C84="","",COUNT($A$69:A83)+1)</f>
        <v>15</v>
      </c>
      <c r="B84" s="638">
        <v>840058</v>
      </c>
      <c r="C84" s="518" t="s">
        <v>372</v>
      </c>
      <c r="D84" s="618"/>
      <c r="E84" s="1287">
        <f>+SUMIF(sdmixer!$A:$A,usage!B84,sdmixer!$E:$E)+SUMIF(sdmixer!$A:$A,"003609",sdmixer!$E:$E)</f>
        <v>1625.4</v>
      </c>
      <c r="F84" s="593"/>
      <c r="G84" s="594"/>
      <c r="H84" s="593"/>
      <c r="I84" s="595">
        <f t="shared" si="22"/>
        <v>1625.4</v>
      </c>
      <c r="J84"/>
      <c r="K84" s="646"/>
      <c r="L84" s="1286"/>
      <c r="R84" s="1729"/>
    </row>
    <row r="85" spans="1:18" ht="21" customHeight="1" x14ac:dyDescent="0.25">
      <c r="A85" s="514">
        <f>IF(C85="","",COUNT($A$69:A84)+1)</f>
        <v>16</v>
      </c>
      <c r="B85" s="638">
        <v>840077</v>
      </c>
      <c r="C85" s="644" t="s">
        <v>373</v>
      </c>
      <c r="D85" s="618"/>
      <c r="E85" s="1287">
        <f>sdmixer!J10</f>
        <v>256</v>
      </c>
      <c r="F85" s="593"/>
      <c r="G85" s="594"/>
      <c r="H85" s="593"/>
      <c r="I85" s="1241">
        <f t="shared" si="22"/>
        <v>256</v>
      </c>
      <c r="J85"/>
      <c r="K85" s="646"/>
      <c r="L85" s="1286"/>
      <c r="R85" s="1729"/>
    </row>
    <row r="86" spans="1:18" ht="21" customHeight="1" x14ac:dyDescent="0.25">
      <c r="A86" s="514">
        <f>IF(C86="","",COUNT($A$69:A85)+1)</f>
        <v>17</v>
      </c>
      <c r="B86" s="638">
        <v>840100</v>
      </c>
      <c r="C86" s="518" t="s">
        <v>407</v>
      </c>
      <c r="D86" s="618"/>
      <c r="E86" s="1287">
        <f>+SUMIF(sdmixer!$A:$A,usage!B86,sdmixer!$E:$E)</f>
        <v>0</v>
      </c>
      <c r="F86" s="593"/>
      <c r="G86" s="594"/>
      <c r="H86" s="593"/>
      <c r="I86" s="595">
        <f t="shared" si="22"/>
        <v>0</v>
      </c>
      <c r="J86"/>
      <c r="K86" s="646"/>
      <c r="L86" s="1286"/>
      <c r="R86" s="1729"/>
    </row>
    <row r="87" spans="1:18" ht="21" customHeight="1" x14ac:dyDescent="0.25">
      <c r="A87" s="514">
        <f>IF(C87="","",COUNT($A$69:A86)+1)</f>
        <v>18</v>
      </c>
      <c r="B87" s="638"/>
      <c r="C87" s="518" t="s">
        <v>374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ref="I87:I99" si="23">+E87+G87</f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IF(C88="","",COUNT($A$69:A87)+1)</f>
        <v>19</v>
      </c>
      <c r="B88" s="639">
        <v>840258</v>
      </c>
      <c r="C88" s="520" t="s">
        <v>375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si="23"/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IF(C89="","",COUNT($A$69:A88)+1)</f>
        <v>20</v>
      </c>
      <c r="B89" s="638">
        <v>840226</v>
      </c>
      <c r="C89" s="518" t="s">
        <v>548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3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IF(C90="","",COUNT($A$69:A89)+1)</f>
        <v>21</v>
      </c>
      <c r="B90" s="639">
        <v>840255</v>
      </c>
      <c r="C90" s="518" t="s">
        <v>573</v>
      </c>
      <c r="D90" s="618"/>
      <c r="E90" s="1287">
        <f>+SUMIF(sdmixer!$A:$A,usage!B90,sdmixer!$E:$E)</f>
        <v>75.599999999999994</v>
      </c>
      <c r="F90" s="593"/>
      <c r="G90" s="594"/>
      <c r="H90" s="593"/>
      <c r="I90" s="595">
        <f t="shared" si="23"/>
        <v>75.599999999999994</v>
      </c>
      <c r="J90"/>
      <c r="K90" s="646"/>
      <c r="L90" s="1286"/>
      <c r="R90" s="1729"/>
    </row>
    <row r="91" spans="1:18" ht="21" customHeight="1" x14ac:dyDescent="0.25">
      <c r="A91" s="514">
        <f>IF(C91="","",COUNT($A$69:A90)+1)</f>
        <v>22</v>
      </c>
      <c r="B91" s="638">
        <v>840305</v>
      </c>
      <c r="C91" s="518" t="s">
        <v>439</v>
      </c>
      <c r="D91" s="618"/>
      <c r="E91" s="1287">
        <f>+SUMIF(sdmixer!$A:$A,usage!B91,sdmixer!$E:$E)</f>
        <v>21.64</v>
      </c>
      <c r="F91" s="593"/>
      <c r="G91" s="594"/>
      <c r="H91" s="593"/>
      <c r="I91" s="595">
        <f t="shared" si="23"/>
        <v>21.64</v>
      </c>
      <c r="J91"/>
      <c r="K91" s="646"/>
      <c r="L91" s="1286"/>
    </row>
    <row r="92" spans="1:18" ht="21" customHeight="1" x14ac:dyDescent="0.25">
      <c r="A92" s="514">
        <f>IF(C92="","",COUNT($A$69:A91)+1)</f>
        <v>23</v>
      </c>
      <c r="B92" s="638">
        <v>3615</v>
      </c>
      <c r="C92" s="518" t="s">
        <v>376</v>
      </c>
      <c r="D92" s="618"/>
      <c r="E92" s="1287">
        <f>+SUMIF(sdmixer!$A:$A,usage!B92,sdmixer!$E:$E)+SUMIF(sdmixer!$A:$A,"840358",sdmixer!$E:$E)-sdmixer!M58</f>
        <v>9.4</v>
      </c>
      <c r="F92" s="593"/>
      <c r="G92" s="594"/>
      <c r="H92" s="593"/>
      <c r="I92" s="595">
        <f t="shared" si="23"/>
        <v>9.4</v>
      </c>
      <c r="J92"/>
      <c r="K92" s="646"/>
      <c r="L92" s="1286"/>
    </row>
    <row r="93" spans="1:18" ht="21" customHeight="1" x14ac:dyDescent="0.25">
      <c r="A93" s="514">
        <f>IF(C93="","",COUNT($A$69:A92)+1)</f>
        <v>24</v>
      </c>
      <c r="B93" s="638">
        <v>840311</v>
      </c>
      <c r="C93" s="518" t="s">
        <v>377</v>
      </c>
      <c r="D93" s="618"/>
      <c r="E93" s="1287">
        <f>+SUMIF(sdmixer!$A:$A,usage!B93,sdmixer!$E:$E)</f>
        <v>0</v>
      </c>
      <c r="F93" s="593"/>
      <c r="G93" s="594"/>
      <c r="H93" s="593"/>
      <c r="I93" s="595">
        <f t="shared" si="23"/>
        <v>0</v>
      </c>
      <c r="J93"/>
      <c r="K93" s="646"/>
      <c r="L93" s="1286"/>
    </row>
    <row r="94" spans="1:18" ht="21" customHeight="1" x14ac:dyDescent="0.25">
      <c r="A94" s="514">
        <f>IF(C94="","",COUNT($A$69:A93)+1)</f>
        <v>25</v>
      </c>
      <c r="B94" s="780"/>
      <c r="C94" s="518" t="s">
        <v>378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3"/>
        <v>0</v>
      </c>
      <c r="J94"/>
      <c r="K94" s="646"/>
      <c r="L94" s="1286"/>
    </row>
    <row r="95" spans="1:18" ht="21" customHeight="1" x14ac:dyDescent="0.25">
      <c r="A95" s="514">
        <f>IF(C95="","",COUNT($A$69:A94)+1)</f>
        <v>26</v>
      </c>
      <c r="B95" s="638">
        <v>840400</v>
      </c>
      <c r="C95" s="518" t="s">
        <v>502</v>
      </c>
      <c r="D95" s="618"/>
      <c r="E95" s="1287">
        <f>+SUMIF(sdmixer!$A:$A,usage!B95,sdmixer!$E:$E)</f>
        <v>356.2</v>
      </c>
      <c r="F95" s="593"/>
      <c r="G95" s="594"/>
      <c r="H95" s="593"/>
      <c r="I95" s="595">
        <f t="shared" si="23"/>
        <v>356.2</v>
      </c>
      <c r="J95"/>
      <c r="K95" s="646"/>
      <c r="L95" s="1286"/>
    </row>
    <row r="96" spans="1:18" ht="21" customHeight="1" x14ac:dyDescent="0.25">
      <c r="A96" s="514">
        <f>IF(C96="","",COUNT($A$69:A95)+1)</f>
        <v>27</v>
      </c>
      <c r="B96" s="780"/>
      <c r="C96" s="1292" t="s">
        <v>539</v>
      </c>
      <c r="D96" s="618"/>
      <c r="E96" s="1287">
        <f>+SUMIF(sdmixer!$A:$A,usage!B96,sdmixer!$E:$E)</f>
        <v>0</v>
      </c>
      <c r="F96" s="593"/>
      <c r="G96" s="594"/>
      <c r="H96" s="593"/>
      <c r="I96" s="595">
        <f t="shared" si="23"/>
        <v>0</v>
      </c>
      <c r="J96"/>
      <c r="K96" s="646"/>
      <c r="L96" s="1286"/>
    </row>
    <row r="97" spans="1:12" ht="21" customHeight="1" x14ac:dyDescent="0.25">
      <c r="A97" s="514">
        <f>IF(C97="","",COUNT($A$69:A96)+1)</f>
        <v>28</v>
      </c>
      <c r="B97" s="780"/>
      <c r="C97" s="1292" t="s">
        <v>540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3"/>
        <v>0</v>
      </c>
      <c r="J97"/>
      <c r="K97" s="646"/>
      <c r="L97" s="1286"/>
    </row>
    <row r="98" spans="1:12" ht="21" customHeight="1" x14ac:dyDescent="0.25">
      <c r="A98" s="514">
        <f>IF(C98="","",COUNT($A$69:A97)+1)</f>
        <v>29</v>
      </c>
      <c r="B98" s="780"/>
      <c r="C98" s="1292" t="s">
        <v>541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3"/>
        <v>0</v>
      </c>
      <c r="J98"/>
      <c r="K98" s="646"/>
      <c r="L98" s="1286"/>
    </row>
    <row r="99" spans="1:12" ht="21" customHeight="1" x14ac:dyDescent="0.25">
      <c r="A99" s="514">
        <f>IF(C99="","",COUNT($A$69:A98)+1)</f>
        <v>30</v>
      </c>
      <c r="B99" s="780">
        <v>791820</v>
      </c>
      <c r="C99" s="518" t="s">
        <v>1196</v>
      </c>
      <c r="D99" s="618"/>
      <c r="E99" s="1287">
        <f>+SUMIF(sdmixer!$A:$A,usage!B99,sdmixer!$E:$E)-sdmixer!M57</f>
        <v>20.66</v>
      </c>
      <c r="F99" s="593"/>
      <c r="G99" s="594"/>
      <c r="H99" s="593"/>
      <c r="I99" s="595">
        <f t="shared" si="23"/>
        <v>20.66</v>
      </c>
      <c r="J99"/>
      <c r="K99" s="646"/>
      <c r="L99" s="1286"/>
    </row>
    <row r="100" spans="1:12" ht="21" customHeight="1" x14ac:dyDescent="0.25">
      <c r="A100" s="514">
        <f>IF(C100="","",COUNT($A$69:A99)+1)</f>
        <v>31</v>
      </c>
      <c r="B100" s="638">
        <v>840532</v>
      </c>
      <c r="C100" s="518" t="s">
        <v>379</v>
      </c>
      <c r="D100" s="618"/>
      <c r="E100" s="1287">
        <f>+SUMIF(sdmixer!$A:$A,usage!B100,sdmixer!$E:$E)</f>
        <v>0</v>
      </c>
      <c r="F100" s="593"/>
      <c r="G100" s="594"/>
      <c r="H100" s="593"/>
      <c r="I100" s="595">
        <f t="shared" ref="I100:I152" si="24">+E100+G100</f>
        <v>0</v>
      </c>
      <c r="J100"/>
      <c r="K100" s="646"/>
      <c r="L100" s="1286"/>
    </row>
    <row r="101" spans="1:12" ht="21" customHeight="1" x14ac:dyDescent="0.25">
      <c r="A101" s="514">
        <f>IF(C101="","",COUNT($A$69:A100)+1)</f>
        <v>32</v>
      </c>
      <c r="B101" s="638">
        <v>841299</v>
      </c>
      <c r="C101" s="518" t="s">
        <v>380</v>
      </c>
      <c r="D101" s="618"/>
      <c r="E101" s="1287">
        <f>+SUMIF(sdmixer!$A:$A,usage!B101,sdmixer!$E:$E)</f>
        <v>203.5</v>
      </c>
      <c r="F101" s="593"/>
      <c r="G101" s="594"/>
      <c r="H101" s="593"/>
      <c r="I101" s="595">
        <f t="shared" si="24"/>
        <v>203.5</v>
      </c>
      <c r="J101"/>
      <c r="K101" s="646"/>
      <c r="L101" s="1286"/>
    </row>
    <row r="102" spans="1:12" ht="21" customHeight="1" x14ac:dyDescent="0.25">
      <c r="A102" s="514">
        <f>IF(C102="","",COUNT($A$69:A101)+1)</f>
        <v>33</v>
      </c>
      <c r="B102" s="638">
        <v>842005</v>
      </c>
      <c r="C102" s="518" t="s">
        <v>381</v>
      </c>
      <c r="D102" s="618"/>
      <c r="E102" s="1287">
        <f>+SUMIF(sdmixer!$A:$A,usage!B102,sdmixer!$E:$E)</f>
        <v>0</v>
      </c>
      <c r="F102" s="593"/>
      <c r="G102" s="594"/>
      <c r="H102" s="593"/>
      <c r="I102" s="595">
        <f t="shared" si="24"/>
        <v>0</v>
      </c>
      <c r="J102"/>
      <c r="K102" s="646"/>
      <c r="L102" s="1286"/>
    </row>
    <row r="103" spans="1:12" ht="21" customHeight="1" x14ac:dyDescent="0.25">
      <c r="A103" s="514">
        <f>IF(C103="","",COUNT($A$69:A102)+1)</f>
        <v>34</v>
      </c>
      <c r="B103" s="638">
        <v>842017</v>
      </c>
      <c r="C103" s="518" t="s">
        <v>443</v>
      </c>
      <c r="D103" s="618"/>
      <c r="E103" s="1287">
        <f>+SUMIF(sdmixer!$A:$A,usage!B103,sdmixer!$E:$E)+sdmixer!J13+sdmixer!K13</f>
        <v>2098.71</v>
      </c>
      <c r="F103" s="593"/>
      <c r="G103" s="594"/>
      <c r="H103" s="593"/>
      <c r="I103" s="595">
        <f t="shared" si="24"/>
        <v>2098.71</v>
      </c>
      <c r="J103"/>
      <c r="K103" s="646"/>
      <c r="L103" s="1286"/>
    </row>
    <row r="104" spans="1:12" ht="21" customHeight="1" x14ac:dyDescent="0.25">
      <c r="A104" s="514">
        <f>IF(C104="","",COUNT($A$69:A103)+1)</f>
        <v>35</v>
      </c>
      <c r="B104" s="638">
        <v>842102</v>
      </c>
      <c r="C104" s="520" t="s">
        <v>382</v>
      </c>
      <c r="D104" s="618"/>
      <c r="E104" s="1287">
        <f>+SUMIF(sdmixer!$A:$A,usage!B104,sdmixer!$E:$E)</f>
        <v>0</v>
      </c>
      <c r="F104" s="593"/>
      <c r="G104" s="594"/>
      <c r="H104" s="593"/>
      <c r="I104" s="595">
        <f t="shared" si="24"/>
        <v>0</v>
      </c>
      <c r="J104"/>
      <c r="K104" s="646"/>
      <c r="L104" s="1286"/>
    </row>
    <row r="105" spans="1:12" ht="21" customHeight="1" x14ac:dyDescent="0.25">
      <c r="A105" s="514">
        <f>IF(C105="","",COUNT($A$69:A104)+1)</f>
        <v>36</v>
      </c>
      <c r="B105" s="620">
        <v>842127</v>
      </c>
      <c r="C105" s="521" t="s">
        <v>383</v>
      </c>
      <c r="D105" s="618"/>
      <c r="E105" s="1287">
        <f>+SUMIF(sdmixer!$A:$A,usage!B105,sdmixer!$E:$E)+SUMIF(sdmixer!$A:$A,"842123",sdmixer!$E:$E)</f>
        <v>217.96</v>
      </c>
      <c r="F105" s="593"/>
      <c r="G105" s="594"/>
      <c r="H105" s="593"/>
      <c r="I105" s="595">
        <f t="shared" si="24"/>
        <v>217.96</v>
      </c>
      <c r="J105"/>
      <c r="K105" s="646"/>
      <c r="L105" s="1286"/>
    </row>
    <row r="106" spans="1:12" ht="21" customHeight="1" x14ac:dyDescent="0.25">
      <c r="A106" s="514">
        <f>IF(C106="","",COUNT($A$69:A105)+1)</f>
        <v>37</v>
      </c>
      <c r="B106" s="638">
        <v>842109</v>
      </c>
      <c r="C106" s="518" t="s">
        <v>384</v>
      </c>
      <c r="D106" s="618"/>
      <c r="E106" s="1287">
        <f>+SUMIF(sdmixer!$A:$A,usage!B106,sdmixer!$E:$E)</f>
        <v>210.84</v>
      </c>
      <c r="F106" s="593"/>
      <c r="G106" s="594"/>
      <c r="H106" s="593"/>
      <c r="I106" s="595">
        <f t="shared" si="24"/>
        <v>210.84</v>
      </c>
      <c r="J106"/>
      <c r="K106" s="646"/>
      <c r="L106" s="1286"/>
    </row>
    <row r="107" spans="1:12" ht="21" customHeight="1" x14ac:dyDescent="0.25">
      <c r="A107" s="514">
        <f>IF(C107="","",COUNT($A$69:A106)+1)</f>
        <v>38</v>
      </c>
      <c r="B107" s="638">
        <v>842107</v>
      </c>
      <c r="C107" s="518" t="s">
        <v>385</v>
      </c>
      <c r="D107" s="618"/>
      <c r="E107" s="1287">
        <f>+SUMIF(sdmixer!$A:$A,usage!B107,sdmixer!$E:$E)</f>
        <v>294.38</v>
      </c>
      <c r="F107" s="593"/>
      <c r="G107" s="594"/>
      <c r="H107" s="593"/>
      <c r="I107" s="595">
        <f t="shared" si="24"/>
        <v>294.38</v>
      </c>
      <c r="J107"/>
      <c r="K107" s="646"/>
      <c r="L107" s="1286"/>
    </row>
    <row r="108" spans="1:12" ht="21" customHeight="1" x14ac:dyDescent="0.25">
      <c r="A108" s="514">
        <f>IF(C108="","",COUNT($A$69:A107)+1)</f>
        <v>39</v>
      </c>
      <c r="B108" s="638">
        <v>842206</v>
      </c>
      <c r="C108" s="518" t="s">
        <v>386</v>
      </c>
      <c r="D108" s="618"/>
      <c r="E108" s="1287">
        <f>+SUMIF(sdmixer!$A:$A,usage!B108,sdmixer!$E:$E)</f>
        <v>35.43</v>
      </c>
      <c r="F108" s="593"/>
      <c r="G108" s="594"/>
      <c r="H108" s="593"/>
      <c r="I108" s="595">
        <f t="shared" si="24"/>
        <v>35.43</v>
      </c>
      <c r="J108"/>
      <c r="K108" s="646"/>
      <c r="L108" s="1286"/>
    </row>
    <row r="109" spans="1:12" ht="21" customHeight="1" x14ac:dyDescent="0.25">
      <c r="A109" s="514">
        <f>IF(C109="","",COUNT($A$69:A108)+1)</f>
        <v>40</v>
      </c>
      <c r="B109" s="639">
        <v>842235</v>
      </c>
      <c r="C109" s="518" t="s">
        <v>543</v>
      </c>
      <c r="D109" s="618"/>
      <c r="E109" s="1287">
        <f>+SUMIF(sdmixer!$A:$A,usage!B109,sdmixer!$E:$E)</f>
        <v>0</v>
      </c>
      <c r="F109" s="593"/>
      <c r="G109" s="594"/>
      <c r="H109" s="593"/>
      <c r="I109" s="595">
        <f t="shared" si="24"/>
        <v>0</v>
      </c>
      <c r="J109"/>
      <c r="K109" s="646"/>
      <c r="L109" s="1286"/>
    </row>
    <row r="110" spans="1:12" ht="21" customHeight="1" x14ac:dyDescent="0.25">
      <c r="A110" s="514">
        <f>IF(C110="","",COUNT($A$69:A109)+1)</f>
        <v>41</v>
      </c>
      <c r="B110" s="638"/>
      <c r="C110" s="518" t="s">
        <v>523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4"/>
        <v>0</v>
      </c>
      <c r="J110"/>
      <c r="K110" s="646"/>
      <c r="L110" s="1286"/>
    </row>
    <row r="111" spans="1:12" ht="21" customHeight="1" x14ac:dyDescent="0.25">
      <c r="A111" s="514">
        <f>IF(C111="","",COUNT($A$69:A110)+1)</f>
        <v>42</v>
      </c>
      <c r="B111" s="638">
        <v>842236</v>
      </c>
      <c r="C111" s="518" t="s">
        <v>982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>+E111+G111</f>
        <v>0</v>
      </c>
      <c r="J111"/>
      <c r="K111" s="646"/>
      <c r="L111" s="1286"/>
    </row>
    <row r="112" spans="1:12" ht="21" customHeight="1" x14ac:dyDescent="0.25">
      <c r="A112" s="514">
        <f>IF(C112="","",COUNT($A$69:A111)+1)</f>
        <v>43</v>
      </c>
      <c r="B112" s="638">
        <v>842300</v>
      </c>
      <c r="C112" s="518" t="s">
        <v>387</v>
      </c>
      <c r="D112" s="618"/>
      <c r="E112" s="1287">
        <f>+SUMIF(sdmixer!$A:$A,usage!B112,sdmixer!$E:$E)</f>
        <v>125.16</v>
      </c>
      <c r="F112" s="593"/>
      <c r="G112" s="594"/>
      <c r="H112" s="593"/>
      <c r="I112" s="595">
        <f t="shared" si="24"/>
        <v>125.16</v>
      </c>
      <c r="J112"/>
      <c r="K112" s="646"/>
      <c r="L112" s="1286"/>
    </row>
    <row r="113" spans="1:12" ht="21" customHeight="1" x14ac:dyDescent="0.25">
      <c r="A113" s="514">
        <f>IF(C113="","",COUNT($A$69:A112)+1)</f>
        <v>44</v>
      </c>
      <c r="B113" s="620">
        <v>842845</v>
      </c>
      <c r="C113" s="518" t="s">
        <v>532</v>
      </c>
      <c r="D113" s="618"/>
      <c r="E113" s="1287">
        <f>+SUMIF(sdmixer!$A:$A,usage!B113,sdmixer!$E:$E)</f>
        <v>0</v>
      </c>
      <c r="F113" s="593"/>
      <c r="G113" s="594"/>
      <c r="H113" s="593"/>
      <c r="I113" s="595">
        <f t="shared" si="24"/>
        <v>0</v>
      </c>
      <c r="J113"/>
      <c r="K113" s="646"/>
      <c r="L113" s="1286"/>
    </row>
    <row r="114" spans="1:12" ht="21" customHeight="1" x14ac:dyDescent="0.25">
      <c r="A114" s="514">
        <f>IF(C114="","",COUNT($A$69:A113)+1)</f>
        <v>45</v>
      </c>
      <c r="B114" s="640">
        <v>842500</v>
      </c>
      <c r="C114" s="518" t="s">
        <v>408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4"/>
        <v>0</v>
      </c>
      <c r="J114"/>
      <c r="K114" s="646"/>
      <c r="L114" s="1286"/>
    </row>
    <row r="115" spans="1:12" ht="21" customHeight="1" x14ac:dyDescent="0.25">
      <c r="A115" s="514">
        <f>IF(C115="","",COUNT($A$69:A114)+1)</f>
        <v>46</v>
      </c>
      <c r="B115" s="781">
        <v>843081</v>
      </c>
      <c r="C115" s="518" t="s">
        <v>1343</v>
      </c>
      <c r="D115" s="618"/>
      <c r="E115" s="1287">
        <f>+SUMIF(sdmixer!$A:$A,usage!B115,sdmixer!$E:$E)</f>
        <v>9.1</v>
      </c>
      <c r="F115" s="593"/>
      <c r="G115" s="594"/>
      <c r="H115" s="593"/>
      <c r="I115" s="595">
        <f t="shared" si="24"/>
        <v>9.1</v>
      </c>
      <c r="J115"/>
      <c r="K115" s="646"/>
      <c r="L115" s="1286"/>
    </row>
    <row r="116" spans="1:12" ht="21" customHeight="1" x14ac:dyDescent="0.25">
      <c r="A116" s="514">
        <f>IF(C116="","",COUNT($A$69:A115)+1)</f>
        <v>47</v>
      </c>
      <c r="B116" s="641">
        <v>842523</v>
      </c>
      <c r="C116" s="518" t="s">
        <v>388</v>
      </c>
      <c r="D116" s="618"/>
      <c r="E116" s="1287">
        <f>+SUMIF(sdmixer!$A:$A,usage!B116,sdmixer!$E:$E)</f>
        <v>60.48</v>
      </c>
      <c r="F116" s="593"/>
      <c r="G116" s="594"/>
      <c r="H116" s="593"/>
      <c r="I116" s="595">
        <f t="shared" si="24"/>
        <v>60.48</v>
      </c>
      <c r="J116"/>
      <c r="K116" s="646"/>
      <c r="L116" s="1286"/>
    </row>
    <row r="117" spans="1:12" ht="21" customHeight="1" x14ac:dyDescent="0.25">
      <c r="A117" s="514">
        <f>IF(C117="","",COUNT($A$69:A116)+1)</f>
        <v>48</v>
      </c>
      <c r="B117" s="641">
        <v>842604</v>
      </c>
      <c r="C117" s="518" t="s">
        <v>389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4"/>
        <v>0</v>
      </c>
      <c r="J117"/>
      <c r="K117" s="646"/>
      <c r="L117" s="1286"/>
    </row>
    <row r="118" spans="1:12" ht="21" customHeight="1" x14ac:dyDescent="0.25">
      <c r="A118" s="514">
        <f>IF(C118="","",COUNT($A$69:A117)+1)</f>
        <v>49</v>
      </c>
      <c r="B118" s="781"/>
      <c r="C118" s="521" t="s">
        <v>390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4"/>
        <v>0</v>
      </c>
      <c r="J118"/>
      <c r="K118" s="646"/>
      <c r="L118" s="1286"/>
    </row>
    <row r="119" spans="1:12" ht="21" customHeight="1" x14ac:dyDescent="0.25">
      <c r="A119" s="514">
        <f>IF(C119="","",COUNT($A$69:A118)+1)</f>
        <v>50</v>
      </c>
      <c r="B119" s="638">
        <v>842881</v>
      </c>
      <c r="C119" s="520" t="s">
        <v>391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4"/>
        <v>0</v>
      </c>
      <c r="J119"/>
      <c r="K119" s="646"/>
      <c r="L119" s="1286"/>
    </row>
    <row r="120" spans="1:12" ht="21" customHeight="1" x14ac:dyDescent="0.25">
      <c r="A120" s="514">
        <f>IF(C120="","",COUNT($A$69:A119)+1)</f>
        <v>51</v>
      </c>
      <c r="B120" s="638">
        <v>842903</v>
      </c>
      <c r="C120" s="518" t="s">
        <v>392</v>
      </c>
      <c r="D120" s="618"/>
      <c r="E120" s="1287">
        <f>+SUMIF(sdmixer!$A:$A,usage!B120,sdmixer!$E:$E)</f>
        <v>187.79</v>
      </c>
      <c r="F120" s="593"/>
      <c r="G120" s="594"/>
      <c r="H120" s="593"/>
      <c r="I120" s="595">
        <f t="shared" si="24"/>
        <v>187.79</v>
      </c>
      <c r="J120"/>
      <c r="K120" s="646"/>
      <c r="L120" s="1286"/>
    </row>
    <row r="121" spans="1:12" ht="21" customHeight="1" x14ac:dyDescent="0.25">
      <c r="A121" s="514">
        <f>IF(C121="","",COUNT($A$69:A120)+1)</f>
        <v>52</v>
      </c>
      <c r="B121" s="638">
        <v>842906</v>
      </c>
      <c r="C121" s="518" t="s">
        <v>393</v>
      </c>
      <c r="D121" s="618"/>
      <c r="E121" s="1287">
        <f>+SUMIF(sdmixer!$A:$A,usage!B121,sdmixer!$E:$E)</f>
        <v>1796.4</v>
      </c>
      <c r="F121" s="593"/>
      <c r="G121" s="594"/>
      <c r="H121" s="593"/>
      <c r="I121" s="595">
        <f t="shared" si="24"/>
        <v>1796.4</v>
      </c>
      <c r="J121"/>
      <c r="K121" s="646"/>
      <c r="L121" s="1286"/>
    </row>
    <row r="122" spans="1:12" ht="21" customHeight="1" x14ac:dyDescent="0.25">
      <c r="A122" s="514">
        <f>IF(C122="","",COUNT($A$69:A121)+1)</f>
        <v>53</v>
      </c>
      <c r="B122" s="640">
        <v>842922</v>
      </c>
      <c r="C122" s="518" t="s">
        <v>394</v>
      </c>
      <c r="D122" s="618"/>
      <c r="E122" s="1287">
        <f>+SUMIF(sdmixer!$A:$A,usage!B122,sdmixer!$E:$E)</f>
        <v>339.26</v>
      </c>
      <c r="F122" s="593"/>
      <c r="G122" s="594"/>
      <c r="H122" s="593"/>
      <c r="I122" s="595">
        <f t="shared" si="24"/>
        <v>339.26</v>
      </c>
      <c r="J122"/>
      <c r="K122" s="646"/>
      <c r="L122" s="1286"/>
    </row>
    <row r="123" spans="1:12" ht="21" customHeight="1" x14ac:dyDescent="0.25">
      <c r="A123" s="514">
        <f>IF(C123="","",COUNT($A$69:A122)+1)</f>
        <v>54</v>
      </c>
      <c r="B123" s="781"/>
      <c r="C123" s="518" t="s">
        <v>451</v>
      </c>
      <c r="D123" s="618"/>
      <c r="E123" s="1287">
        <f>+SUMIF(sdmixer!$A:$A,usage!B123,sdmixer!$E:$E)</f>
        <v>0</v>
      </c>
      <c r="F123" s="593"/>
      <c r="G123" s="594"/>
      <c r="H123" s="593"/>
      <c r="I123" s="595">
        <f t="shared" si="24"/>
        <v>0</v>
      </c>
      <c r="J123"/>
      <c r="K123" s="646"/>
      <c r="L123" s="1286"/>
    </row>
    <row r="124" spans="1:12" ht="21" customHeight="1" x14ac:dyDescent="0.25">
      <c r="A124" s="514">
        <f>IF(C124="","",COUNT($A$69:A123)+1)</f>
        <v>55</v>
      </c>
      <c r="B124" s="638">
        <v>842930</v>
      </c>
      <c r="C124" s="518" t="s">
        <v>395</v>
      </c>
      <c r="D124" s="618"/>
      <c r="E124" s="1287">
        <f>+SUMIF(sdmixer!$A:$A,usage!B124,sdmixer!$E:$E)</f>
        <v>29.35</v>
      </c>
      <c r="F124" s="593"/>
      <c r="G124" s="594"/>
      <c r="H124" s="593"/>
      <c r="I124" s="595">
        <f t="shared" si="24"/>
        <v>29.35</v>
      </c>
      <c r="J124"/>
      <c r="K124" s="646"/>
      <c r="L124" s="1286"/>
    </row>
    <row r="125" spans="1:12" ht="21" customHeight="1" x14ac:dyDescent="0.25">
      <c r="A125" s="514">
        <f>IF(C125="","",COUNT($A$69:A124)+1)</f>
        <v>56</v>
      </c>
      <c r="B125" s="638">
        <v>842931</v>
      </c>
      <c r="C125" s="518" t="s">
        <v>396</v>
      </c>
      <c r="D125" s="618"/>
      <c r="E125" s="1287">
        <f>+SUMIF(sdmixer!$A:$A,usage!B125,sdmixer!$E:$E)</f>
        <v>375.04</v>
      </c>
      <c r="F125" s="593"/>
      <c r="G125" s="594"/>
      <c r="H125" s="593"/>
      <c r="I125" s="595">
        <f t="shared" si="24"/>
        <v>375.04</v>
      </c>
      <c r="J125"/>
      <c r="K125" s="646"/>
      <c r="L125" s="1286"/>
    </row>
    <row r="126" spans="1:12" ht="21" customHeight="1" x14ac:dyDescent="0.25">
      <c r="A126" s="514">
        <f>IF(C126="","",COUNT($A$69:A125)+1)</f>
        <v>57</v>
      </c>
      <c r="B126" s="638">
        <v>842934</v>
      </c>
      <c r="C126" s="518" t="s">
        <v>397</v>
      </c>
      <c r="D126" s="618"/>
      <c r="E126" s="1287">
        <f>+SUMIF(sdmixer!$A:$A,usage!B126,sdmixer!$E:$E)</f>
        <v>819.86</v>
      </c>
      <c r="F126" s="593"/>
      <c r="G126" s="594"/>
      <c r="H126" s="593"/>
      <c r="I126" s="595">
        <f t="shared" si="24"/>
        <v>819.86</v>
      </c>
      <c r="J126"/>
      <c r="K126" s="646"/>
      <c r="L126" s="1286"/>
    </row>
    <row r="127" spans="1:12" ht="21" customHeight="1" x14ac:dyDescent="0.25">
      <c r="A127" s="514">
        <f>IF(C127="","",COUNT($A$69:A126)+1)</f>
        <v>58</v>
      </c>
      <c r="B127" s="638">
        <v>842959</v>
      </c>
      <c r="C127" s="518" t="s">
        <v>398</v>
      </c>
      <c r="D127" s="618"/>
      <c r="E127" s="1287">
        <f>+SUMIF(sdmixer!$A:$A,usage!B127,sdmixer!$E:$E)</f>
        <v>0</v>
      </c>
      <c r="F127" s="593"/>
      <c r="G127" s="594"/>
      <c r="H127" s="593"/>
      <c r="I127" s="595">
        <f t="shared" si="24"/>
        <v>0</v>
      </c>
      <c r="J127"/>
      <c r="K127" s="646"/>
      <c r="L127" s="1286"/>
    </row>
    <row r="128" spans="1:12" ht="21" customHeight="1" x14ac:dyDescent="0.25">
      <c r="A128" s="514">
        <f>IF(C128="","",COUNT($A$69:A127)+1)</f>
        <v>59</v>
      </c>
      <c r="B128" s="638">
        <v>842985</v>
      </c>
      <c r="C128" s="518" t="s">
        <v>399</v>
      </c>
      <c r="D128" s="618"/>
      <c r="E128" s="1287">
        <f>+SUMIF(sdmixer!$A:$A,usage!B128,sdmixer!$E:$E)+SUMIF(sdmixer!$A:$A,"842984",sdmixer!$E:$E)</f>
        <v>189.45</v>
      </c>
      <c r="F128" s="593"/>
      <c r="G128" s="594"/>
      <c r="H128" s="593"/>
      <c r="I128" s="595">
        <f t="shared" si="24"/>
        <v>189.45</v>
      </c>
      <c r="J128"/>
      <c r="K128" s="646"/>
      <c r="L128" s="1286"/>
    </row>
    <row r="129" spans="1:12" ht="21" customHeight="1" x14ac:dyDescent="0.25">
      <c r="A129" s="514">
        <f>IF(C129="","",COUNT($A$69:A128)+1)</f>
        <v>60</v>
      </c>
      <c r="B129" s="640">
        <v>842994</v>
      </c>
      <c r="C129" s="518" t="s">
        <v>473</v>
      </c>
      <c r="D129" s="618"/>
      <c r="E129" s="1287">
        <f>+SUMIF(sdmixer!$A:$A,usage!B129,sdmixer!$E:$E)</f>
        <v>12.85</v>
      </c>
      <c r="F129" s="593"/>
      <c r="G129" s="594"/>
      <c r="H129" s="593"/>
      <c r="I129" s="595">
        <f t="shared" si="24"/>
        <v>12.85</v>
      </c>
      <c r="J129"/>
      <c r="K129" s="646"/>
      <c r="L129" s="1286"/>
    </row>
    <row r="130" spans="1:12" ht="21" customHeight="1" x14ac:dyDescent="0.25">
      <c r="A130" s="514">
        <f>IF(C130="","",COUNT($A$69:A129)+1)</f>
        <v>61</v>
      </c>
      <c r="B130" s="781" t="s">
        <v>962</v>
      </c>
      <c r="C130" s="518" t="s">
        <v>965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4"/>
        <v>0</v>
      </c>
      <c r="K130" s="646"/>
      <c r="L130" s="1286"/>
    </row>
    <row r="131" spans="1:12" ht="21" customHeight="1" x14ac:dyDescent="0.25">
      <c r="A131" s="514">
        <f>IF(C131="","",COUNT($A$69:A130)+1)</f>
        <v>62</v>
      </c>
      <c r="B131" s="781">
        <v>843041</v>
      </c>
      <c r="C131" s="518" t="s">
        <v>973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>+E131+G131</f>
        <v>0</v>
      </c>
      <c r="K131" s="646"/>
      <c r="L131" s="1286"/>
    </row>
    <row r="132" spans="1:12" ht="21" customHeight="1" x14ac:dyDescent="0.25">
      <c r="A132" s="514">
        <f>IF(C132="","",COUNT($A$69:A131)+1)</f>
        <v>63</v>
      </c>
      <c r="B132" s="640">
        <v>843125</v>
      </c>
      <c r="C132" s="518" t="s">
        <v>400</v>
      </c>
      <c r="D132" s="618"/>
      <c r="E132" s="1287">
        <f>+SUMIF(sdmixer!$A:$A,usage!B132,sdmixer!$E:$E)+SUMIF(sdmixer!$A:$A,"3071",sdmixer!$E:$E)</f>
        <v>77.55</v>
      </c>
      <c r="F132" s="593"/>
      <c r="G132" s="594"/>
      <c r="H132" s="593"/>
      <c r="I132" s="595">
        <f t="shared" si="24"/>
        <v>77.55</v>
      </c>
      <c r="K132" s="646"/>
      <c r="L132" s="1286"/>
    </row>
    <row r="133" spans="1:12" ht="21" customHeight="1" x14ac:dyDescent="0.25">
      <c r="A133" s="514">
        <f>IF(C133="","",COUNT($A$69:A132)+1)</f>
        <v>64</v>
      </c>
      <c r="B133" s="640">
        <v>843020</v>
      </c>
      <c r="C133" s="518" t="s">
        <v>401</v>
      </c>
      <c r="D133" s="618"/>
      <c r="E133" s="1287">
        <f>+SUMIF(sdmixer!$A:$A,usage!B133,sdmixer!$E:$E)</f>
        <v>0</v>
      </c>
      <c r="F133" s="593"/>
      <c r="G133" s="594"/>
      <c r="H133" s="593"/>
      <c r="I133" s="595">
        <f t="shared" si="24"/>
        <v>0</v>
      </c>
      <c r="K133" s="646"/>
      <c r="L133" s="1286"/>
    </row>
    <row r="134" spans="1:12" ht="21" customHeight="1" x14ac:dyDescent="0.25">
      <c r="A134" s="514">
        <f>IF(C134="","",COUNT($A$69:A133)+1)</f>
        <v>65</v>
      </c>
      <c r="B134" s="640">
        <v>843029</v>
      </c>
      <c r="C134" s="518" t="s">
        <v>588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4"/>
        <v>0</v>
      </c>
      <c r="K134" s="646"/>
      <c r="L134" s="1286"/>
    </row>
    <row r="135" spans="1:12" ht="21" customHeight="1" x14ac:dyDescent="0.25">
      <c r="A135" s="514">
        <f>IF(C135="","",COUNT($A$69:A134)+1)</f>
        <v>66</v>
      </c>
      <c r="B135" s="638">
        <v>843060</v>
      </c>
      <c r="C135" s="518" t="s">
        <v>448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4"/>
        <v>0</v>
      </c>
      <c r="K135" s="646"/>
      <c r="L135" s="1286"/>
    </row>
    <row r="136" spans="1:12" ht="21" customHeight="1" x14ac:dyDescent="0.25">
      <c r="A136" s="514">
        <f>IF(C136="","",COUNT($A$69:A135)+1)</f>
        <v>67</v>
      </c>
      <c r="B136" s="781"/>
      <c r="C136" s="518" t="s">
        <v>402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4"/>
        <v>0</v>
      </c>
      <c r="K136" s="646"/>
      <c r="L136" s="1286"/>
    </row>
    <row r="137" spans="1:12" ht="21" customHeight="1" x14ac:dyDescent="0.25">
      <c r="A137" s="514">
        <f>IF(C137="","",COUNT($A$69:A136)+1)</f>
        <v>68</v>
      </c>
      <c r="B137" s="638">
        <v>843075</v>
      </c>
      <c r="C137" s="518" t="s">
        <v>403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4"/>
        <v>0</v>
      </c>
      <c r="K137" s="646"/>
      <c r="L137" s="1286"/>
    </row>
    <row r="138" spans="1:12" ht="21" customHeight="1" x14ac:dyDescent="0.25">
      <c r="A138" s="514">
        <f>IF(C138="","",COUNT($A$69:A137)+1)</f>
        <v>69</v>
      </c>
      <c r="B138" s="638">
        <v>843077</v>
      </c>
      <c r="C138" s="518" t="s">
        <v>593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4"/>
        <v>0</v>
      </c>
      <c r="K138" s="646"/>
      <c r="L138" s="1286"/>
    </row>
    <row r="139" spans="1:12" ht="21" customHeight="1" x14ac:dyDescent="0.25">
      <c r="A139" s="514">
        <f>IF(C139="","",COUNT($A$69:A138)+1)</f>
        <v>70</v>
      </c>
      <c r="B139" s="780"/>
      <c r="C139" s="518" t="s">
        <v>447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4"/>
        <v>0</v>
      </c>
      <c r="K139" s="646"/>
      <c r="L139" s="1286"/>
    </row>
    <row r="140" spans="1:12" ht="21" customHeight="1" x14ac:dyDescent="0.25">
      <c r="A140" s="514">
        <f>IF(C140="","",COUNT($A$69:A139)+1)</f>
        <v>71</v>
      </c>
      <c r="B140" s="620">
        <v>843140</v>
      </c>
      <c r="C140" s="518" t="s">
        <v>618</v>
      </c>
      <c r="D140" s="618"/>
      <c r="E140" s="1287">
        <f>+SUMIF(sdmixer!$A:$A,usage!B140,sdmixer!$E:$E)+SUMIF(sdmixer!$A:$A,"843084",sdmixer!$E:$E)</f>
        <v>29.84</v>
      </c>
      <c r="F140" s="593"/>
      <c r="G140" s="596"/>
      <c r="H140" s="593"/>
      <c r="I140" s="595">
        <f t="shared" si="24"/>
        <v>29.84</v>
      </c>
      <c r="K140" s="646"/>
      <c r="L140" s="1286"/>
    </row>
    <row r="141" spans="1:12" ht="21" customHeight="1" x14ac:dyDescent="0.25">
      <c r="A141" s="514">
        <f>IF(C141="","",COUNT($A$69:A140)+1)</f>
        <v>72</v>
      </c>
      <c r="B141" s="639">
        <v>843085</v>
      </c>
      <c r="C141" s="518" t="s">
        <v>404</v>
      </c>
      <c r="D141" s="618"/>
      <c r="E141" s="1287">
        <f>+SUMIF(sdmixer!$A:$A,usage!B141,sdmixer!$E:$E)</f>
        <v>0</v>
      </c>
      <c r="F141" s="593"/>
      <c r="G141" s="594"/>
      <c r="H141" s="593"/>
      <c r="I141" s="595">
        <f t="shared" si="24"/>
        <v>0</v>
      </c>
      <c r="K141" s="646"/>
      <c r="L141" s="1286"/>
    </row>
    <row r="142" spans="1:12" ht="21" customHeight="1" x14ac:dyDescent="0.25">
      <c r="A142" s="514">
        <f>IF(C142="","",COUNT($A$69:A141)+1)</f>
        <v>73</v>
      </c>
      <c r="B142" s="639"/>
      <c r="C142" s="518" t="s">
        <v>592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4"/>
        <v>0</v>
      </c>
      <c r="K142" s="646"/>
      <c r="L142" s="1286"/>
    </row>
    <row r="143" spans="1:12" ht="21" customHeight="1" x14ac:dyDescent="0.25">
      <c r="A143" s="514">
        <f>IF(C143="","",COUNT($A$69:A141)+1)</f>
        <v>73</v>
      </c>
      <c r="B143" s="639">
        <v>843254</v>
      </c>
      <c r="C143" s="518" t="s">
        <v>1843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4"/>
        <v>0</v>
      </c>
      <c r="K143" s="646"/>
      <c r="L143" s="1286"/>
    </row>
    <row r="144" spans="1:12" ht="21" customHeight="1" x14ac:dyDescent="0.25">
      <c r="A144" s="514">
        <f>IF(C144="","",COUNT($A$69:A141)+1)</f>
        <v>73</v>
      </c>
      <c r="B144" s="780"/>
      <c r="C144" s="518" t="s">
        <v>409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4"/>
        <v>0</v>
      </c>
      <c r="K144" s="646"/>
      <c r="L144" s="1286"/>
    </row>
    <row r="145" spans="1:12" ht="21" customHeight="1" x14ac:dyDescent="0.25">
      <c r="A145" s="514">
        <f>IF(C145="","",COUNT($A$69:A144)+1)</f>
        <v>76</v>
      </c>
      <c r="B145" s="782"/>
      <c r="C145" s="518" t="s">
        <v>610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4"/>
        <v>0</v>
      </c>
      <c r="K145" s="646"/>
      <c r="L145" s="1286"/>
    </row>
    <row r="146" spans="1:12" ht="21" customHeight="1" x14ac:dyDescent="0.25">
      <c r="A146" s="514">
        <f>IF(C146="","",COUNT($A$69:A145)+1)</f>
        <v>77</v>
      </c>
      <c r="B146" s="782">
        <v>843267</v>
      </c>
      <c r="C146" s="518" t="s">
        <v>604</v>
      </c>
      <c r="D146" s="618"/>
      <c r="E146" s="1287">
        <f>+SUMIF(sdmixer!$A:$A,usage!B146,sdmixer!$E:$E)-sdmixer!M59</f>
        <v>0</v>
      </c>
      <c r="F146" s="593"/>
      <c r="G146" s="594"/>
      <c r="H146" s="593"/>
      <c r="I146" s="595">
        <f t="shared" si="24"/>
        <v>0</v>
      </c>
      <c r="K146" s="646"/>
      <c r="L146" s="1286"/>
    </row>
    <row r="147" spans="1:12" ht="21" customHeight="1" x14ac:dyDescent="0.25">
      <c r="A147" s="514">
        <f>IF(C147="","",COUNT($A$69:A146)+1)</f>
        <v>78</v>
      </c>
      <c r="B147" s="781"/>
      <c r="C147" s="523" t="s">
        <v>514</v>
      </c>
      <c r="D147" s="619"/>
      <c r="E147" s="1287">
        <f>+SUMIF(sdmixer!$A:$A,usage!B147,sdmixer!$E:$E)</f>
        <v>0</v>
      </c>
      <c r="F147" s="593"/>
      <c r="G147" s="594"/>
      <c r="H147" s="593"/>
      <c r="I147" s="595">
        <f t="shared" si="24"/>
        <v>0</v>
      </c>
      <c r="J147" s="529"/>
      <c r="K147" s="646"/>
      <c r="L147" s="1286"/>
    </row>
    <row r="148" spans="1:12" ht="21" customHeight="1" x14ac:dyDescent="0.25">
      <c r="A148" s="514">
        <f>IF(C148="","",COUNT($A$69:A147)+1)</f>
        <v>79</v>
      </c>
      <c r="B148" s="638"/>
      <c r="C148" s="523" t="s">
        <v>405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4"/>
        <v>0</v>
      </c>
      <c r="J148" s="529"/>
      <c r="K148" s="646"/>
      <c r="L148" s="1286"/>
    </row>
    <row r="149" spans="1:12" ht="21" customHeight="1" x14ac:dyDescent="0.25">
      <c r="A149" s="514">
        <f>IF(C149="","",COUNT($A$69:A148)+1)</f>
        <v>80</v>
      </c>
      <c r="B149" s="638"/>
      <c r="C149" s="523" t="s">
        <v>926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>+E149+G149</f>
        <v>0</v>
      </c>
      <c r="J149" s="529"/>
      <c r="K149" s="646"/>
      <c r="L149" s="1286"/>
    </row>
    <row r="150" spans="1:12" ht="21" customHeight="1" x14ac:dyDescent="0.25">
      <c r="A150" s="514">
        <f>IF(C150="","",COUNT($A$69:A148)+1)</f>
        <v>80</v>
      </c>
      <c r="B150" s="638">
        <v>843274</v>
      </c>
      <c r="C150" s="523" t="s">
        <v>934</v>
      </c>
      <c r="D150" s="619"/>
      <c r="E150" s="1287">
        <f>+SUMIF(sdmixer!$A:$A,usage!B150,sdmixer!$E:$E)</f>
        <v>58.8</v>
      </c>
      <c r="F150" s="593"/>
      <c r="G150" s="594"/>
      <c r="H150" s="593"/>
      <c r="I150" s="595">
        <f>+E150+G150</f>
        <v>58.8</v>
      </c>
      <c r="J150" s="529"/>
      <c r="K150" s="646"/>
      <c r="L150" s="1286"/>
    </row>
    <row r="151" spans="1:12" ht="21" customHeight="1" x14ac:dyDescent="0.25">
      <c r="A151" s="514">
        <f>IF(C151="","",COUNT($A$69:A149)+1)</f>
        <v>81</v>
      </c>
      <c r="B151" s="638"/>
      <c r="C151" s="523" t="s">
        <v>1591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IF(C152="","",COUNT($A$69:A151)+1)</f>
        <v>83</v>
      </c>
      <c r="B152" s="639">
        <v>842704</v>
      </c>
      <c r="C152" s="645" t="s">
        <v>525</v>
      </c>
      <c r="D152" s="619"/>
      <c r="E152" s="1287">
        <f>sdmixer!J15</f>
        <v>24.3</v>
      </c>
      <c r="F152" s="597"/>
      <c r="G152" s="598"/>
      <c r="H152" s="599"/>
      <c r="I152" s="1241">
        <f t="shared" si="24"/>
        <v>24.3</v>
      </c>
      <c r="J152" s="529"/>
      <c r="K152" s="646"/>
      <c r="L152" s="1286"/>
    </row>
    <row r="153" spans="1:12" ht="21" customHeight="1" x14ac:dyDescent="0.25">
      <c r="A153" s="514">
        <f>IF(C153="","",COUNT($A$69:A152)+1)</f>
        <v>84</v>
      </c>
      <c r="B153" s="781">
        <v>840032</v>
      </c>
      <c r="C153" s="523" t="s">
        <v>549</v>
      </c>
      <c r="D153" s="619"/>
      <c r="E153" s="1287">
        <f>+SUMIF(sdmixer!$A:$A,usage!B153,sdmixer!$E:$E)</f>
        <v>574.05999999999995</v>
      </c>
      <c r="F153" s="597"/>
      <c r="G153" s="598"/>
      <c r="H153" s="599"/>
      <c r="I153" s="595">
        <f t="shared" ref="I153:I160" si="25">+E153+G153</f>
        <v>574.05999999999995</v>
      </c>
      <c r="J153" s="529"/>
      <c r="K153" s="646"/>
      <c r="L153" s="1286"/>
    </row>
    <row r="154" spans="1:12" ht="21" customHeight="1" x14ac:dyDescent="0.25">
      <c r="A154" s="514">
        <f>IF(C154="","",COUNT($A$69:A153)+1)</f>
        <v>85</v>
      </c>
      <c r="B154" s="638">
        <v>840547</v>
      </c>
      <c r="C154" s="523" t="s">
        <v>546</v>
      </c>
      <c r="D154" s="619"/>
      <c r="E154" s="1287">
        <f>+SUMIF(sdmixer!$A:$A,usage!B154,sdmixer!$E:$E)</f>
        <v>0</v>
      </c>
      <c r="F154" s="597"/>
      <c r="G154" s="600"/>
      <c r="H154" s="597"/>
      <c r="I154" s="595">
        <f t="shared" si="25"/>
        <v>0</v>
      </c>
      <c r="J154" s="529"/>
      <c r="K154" s="646"/>
      <c r="L154" s="1286"/>
    </row>
    <row r="155" spans="1:12" ht="21" customHeight="1" x14ac:dyDescent="0.25">
      <c r="A155" s="514">
        <f>IF(C155="","",COUNT($A$69:A154)+1)</f>
        <v>86</v>
      </c>
      <c r="B155" s="831">
        <v>840065</v>
      </c>
      <c r="C155" s="523" t="s">
        <v>550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5"/>
        <v>0</v>
      </c>
      <c r="J155" s="529"/>
      <c r="K155" s="646"/>
      <c r="L155" s="1286"/>
    </row>
    <row r="156" spans="1:12" ht="21" customHeight="1" x14ac:dyDescent="0.25">
      <c r="A156" s="514">
        <f>IF(C156="","",COUNT($A$69:A155)+1)</f>
        <v>87</v>
      </c>
      <c r="B156" s="781" t="s">
        <v>849</v>
      </c>
      <c r="C156" s="523" t="s">
        <v>590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>+E156+G156</f>
        <v>0</v>
      </c>
      <c r="J156" s="529"/>
      <c r="K156" s="646"/>
      <c r="L156" s="1286"/>
    </row>
    <row r="157" spans="1:12" ht="21" customHeight="1" x14ac:dyDescent="0.25">
      <c r="A157" s="514">
        <f>IF(C157="","",COUNT($A$69:A156)+1)</f>
        <v>88</v>
      </c>
      <c r="B157" s="781">
        <v>842546</v>
      </c>
      <c r="C157" s="523" t="s">
        <v>563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 t="shared" si="25"/>
        <v>0</v>
      </c>
      <c r="J157" s="529"/>
      <c r="K157" s="646"/>
      <c r="L157" s="1286"/>
    </row>
    <row r="158" spans="1:12" ht="21" customHeight="1" x14ac:dyDescent="0.25">
      <c r="A158" s="514">
        <f>IF(C158="","",COUNT($A$69:A157)+1)</f>
        <v>89</v>
      </c>
      <c r="B158" s="781"/>
      <c r="C158" s="523" t="s">
        <v>574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5"/>
        <v>0</v>
      </c>
      <c r="J158" s="529"/>
      <c r="K158" s="646"/>
      <c r="L158" s="1286"/>
    </row>
    <row r="159" spans="1:12" ht="21" customHeight="1" x14ac:dyDescent="0.25">
      <c r="A159" s="514">
        <f>IF(C159="","",COUNT($A$69:A158)+1)</f>
        <v>90</v>
      </c>
      <c r="B159" s="781" t="s">
        <v>866</v>
      </c>
      <c r="C159" s="523" t="s">
        <v>1652</v>
      </c>
      <c r="D159" s="619"/>
      <c r="E159" s="1287">
        <f>+SUMIF(sdmixer!$A:$A,usage!B159,sdmixer!$E:$E)</f>
        <v>6.37</v>
      </c>
      <c r="F159" s="597"/>
      <c r="G159" s="600"/>
      <c r="H159" s="597"/>
      <c r="I159" s="595">
        <f t="shared" si="25"/>
        <v>6.37</v>
      </c>
      <c r="J159" s="529"/>
      <c r="K159" s="646"/>
      <c r="L159" s="1286"/>
    </row>
    <row r="160" spans="1:12" ht="21" customHeight="1" x14ac:dyDescent="0.25">
      <c r="A160" s="514">
        <f>IF(C160="","",COUNT($A$69:A159)+1)</f>
        <v>91</v>
      </c>
      <c r="B160" s="639">
        <v>843172</v>
      </c>
      <c r="C160" s="523" t="s">
        <v>608</v>
      </c>
      <c r="D160" s="619"/>
      <c r="E160" s="1287">
        <f>+SUMIF(sdmixer!$A:$A,usage!B160,sdmixer!$E:$E)</f>
        <v>0</v>
      </c>
      <c r="F160" s="597"/>
      <c r="G160" s="600"/>
      <c r="H160" s="597"/>
      <c r="I160" s="595">
        <f t="shared" si="25"/>
        <v>0</v>
      </c>
      <c r="J160" s="529"/>
      <c r="K160" s="646"/>
      <c r="L160" s="1286"/>
    </row>
    <row r="161" spans="1:12" ht="21" customHeight="1" x14ac:dyDescent="0.25">
      <c r="A161" s="514">
        <f>IF(C161="","",COUNT($A$69:A160)+1)</f>
        <v>92</v>
      </c>
      <c r="B161" s="620" t="s">
        <v>852</v>
      </c>
      <c r="C161" s="523" t="s">
        <v>612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ref="I161:I222" si="26">+E161+G161</f>
        <v>0</v>
      </c>
      <c r="J161" s="529"/>
      <c r="K161" s="646"/>
      <c r="L161" s="1286"/>
    </row>
    <row r="162" spans="1:12" ht="21" customHeight="1" x14ac:dyDescent="0.25">
      <c r="A162" s="514">
        <f>IF(C162="","",COUNT($A$69:A161)+1)</f>
        <v>93</v>
      </c>
      <c r="B162" s="721">
        <v>840035</v>
      </c>
      <c r="C162" s="1276" t="s">
        <v>877</v>
      </c>
      <c r="D162" s="618"/>
      <c r="E162" s="1287">
        <f>+SUMIF(sdmixer!$A:$A,usage!B162,sdmixer!$E:$E)</f>
        <v>154.72</v>
      </c>
      <c r="F162" s="597"/>
      <c r="G162" s="600"/>
      <c r="H162" s="597"/>
      <c r="I162" s="595">
        <f t="shared" si="26"/>
        <v>154.72</v>
      </c>
      <c r="J162" s="529"/>
      <c r="K162" s="646"/>
      <c r="L162" s="1286"/>
    </row>
    <row r="163" spans="1:12" ht="21" customHeight="1" x14ac:dyDescent="0.25">
      <c r="A163" s="514">
        <f>IF(C163="","",COUNT($A$69:A162)+1)</f>
        <v>94</v>
      </c>
      <c r="B163" s="721">
        <v>3002</v>
      </c>
      <c r="C163" s="1276" t="s">
        <v>871</v>
      </c>
      <c r="D163" s="618"/>
      <c r="E163" s="1287">
        <f>+SUMIF(sdmixer!$A:$A,usage!B163,sdmixer!$E:$E)</f>
        <v>0</v>
      </c>
      <c r="F163" s="597"/>
      <c r="G163" s="600"/>
      <c r="H163" s="597"/>
      <c r="I163" s="595">
        <f t="shared" si="26"/>
        <v>0</v>
      </c>
      <c r="J163" s="529"/>
      <c r="K163" s="646"/>
      <c r="L163" s="1286"/>
    </row>
    <row r="164" spans="1:12" ht="21" customHeight="1" x14ac:dyDescent="0.25">
      <c r="A164" s="514">
        <f>IF(C164="","",COUNT($A$69:A163)+1)</f>
        <v>95</v>
      </c>
      <c r="B164" s="620">
        <v>3524</v>
      </c>
      <c r="C164" s="1277" t="s">
        <v>919</v>
      </c>
      <c r="D164" s="720"/>
      <c r="E164" s="1287">
        <f>+SUMIF(sdmixer!$A:$A,usage!B164,sdmixer!$E:$E)</f>
        <v>0</v>
      </c>
      <c r="F164" s="597"/>
      <c r="G164" s="600"/>
      <c r="H164" s="597"/>
      <c r="I164" s="595">
        <f t="shared" si="26"/>
        <v>0</v>
      </c>
      <c r="J164" s="529"/>
      <c r="K164" s="646"/>
      <c r="L164" s="1286"/>
    </row>
    <row r="165" spans="1:12" ht="21" customHeight="1" x14ac:dyDescent="0.25">
      <c r="A165" s="514">
        <f>IF(C165="","",COUNT($A$69:A164)+1)</f>
        <v>96</v>
      </c>
      <c r="B165" s="620">
        <v>3525</v>
      </c>
      <c r="C165" s="1276" t="s">
        <v>898</v>
      </c>
      <c r="D165" s="618"/>
      <c r="E165" s="1287">
        <f>+SUMIF(sdmixer!$A:$A,usage!B165,sdmixer!$E:$E)</f>
        <v>0</v>
      </c>
      <c r="F165" s="597"/>
      <c r="G165" s="600"/>
      <c r="H165" s="597"/>
      <c r="I165" s="595">
        <f t="shared" si="26"/>
        <v>0</v>
      </c>
      <c r="J165" s="529"/>
      <c r="K165" s="646"/>
      <c r="L165" s="1286"/>
    </row>
    <row r="166" spans="1:12" ht="21" customHeight="1" x14ac:dyDescent="0.25">
      <c r="A166" s="514">
        <f>IF(C166="","",COUNT($A$69:A165)+1)</f>
        <v>97</v>
      </c>
      <c r="B166" s="620" t="s">
        <v>994</v>
      </c>
      <c r="C166" s="1276" t="s">
        <v>903</v>
      </c>
      <c r="D166" s="618"/>
      <c r="E166" s="1287">
        <f>+SUMIF(sdmixer!$A:$A,usage!B166,sdmixer!$E:$E)</f>
        <v>1120</v>
      </c>
      <c r="F166" s="597"/>
      <c r="G166" s="600"/>
      <c r="H166" s="597"/>
      <c r="I166" s="595">
        <f t="shared" si="26"/>
        <v>1120</v>
      </c>
      <c r="J166" s="529"/>
      <c r="K166" s="646"/>
      <c r="L166" s="1286"/>
    </row>
    <row r="167" spans="1:12" ht="21" customHeight="1" x14ac:dyDescent="0.25">
      <c r="A167" s="514">
        <f>IF(C167="","",COUNT($A$69:A166)+1)</f>
        <v>98</v>
      </c>
      <c r="B167" s="620">
        <v>3536</v>
      </c>
      <c r="C167" s="1276" t="s">
        <v>905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26"/>
        <v>0</v>
      </c>
      <c r="J167" s="529"/>
      <c r="K167" s="646"/>
      <c r="L167" s="1286"/>
    </row>
    <row r="168" spans="1:12" ht="21" customHeight="1" x14ac:dyDescent="0.25">
      <c r="A168" s="514">
        <f>IF(C168="","",COUNT($A$69:A167)+1)</f>
        <v>99</v>
      </c>
      <c r="B168" s="620"/>
      <c r="C168" s="1276" t="s">
        <v>928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>+E168+G168</f>
        <v>0</v>
      </c>
      <c r="J168" s="529"/>
      <c r="K168" s="646"/>
      <c r="L168" s="1286"/>
    </row>
    <row r="169" spans="1:12" ht="21" customHeight="1" x14ac:dyDescent="0.25">
      <c r="A169" s="514">
        <f>IF(C169="","",COUNT($A$69:A168)+1)</f>
        <v>100</v>
      </c>
      <c r="B169" s="781"/>
      <c r="C169" s="719" t="s">
        <v>559</v>
      </c>
      <c r="D169" s="720"/>
      <c r="E169" s="1287">
        <f>+SUMIF(sdmixer!$A:$A,usage!B169,sdmixer!$E:$E)</f>
        <v>0</v>
      </c>
      <c r="F169" s="593"/>
      <c r="G169" s="594"/>
      <c r="H169" s="593"/>
      <c r="I169" s="774">
        <f t="shared" si="26"/>
        <v>0</v>
      </c>
      <c r="J169" s="529"/>
      <c r="K169" s="646"/>
      <c r="L169" s="1286"/>
    </row>
    <row r="170" spans="1:12" ht="21" customHeight="1" x14ac:dyDescent="0.25">
      <c r="A170" s="514">
        <f>IF(C170="","",COUNT($A$69:A169)+1)</f>
        <v>101</v>
      </c>
      <c r="B170" s="783">
        <v>840245</v>
      </c>
      <c r="C170" s="523" t="s">
        <v>1112</v>
      </c>
      <c r="D170" s="619"/>
      <c r="E170" s="1287">
        <f>+SUMIF(sdmixer!$A:$A,usage!B170,sdmixer!$E:$E)</f>
        <v>37.799999999999997</v>
      </c>
      <c r="F170" s="1179"/>
      <c r="G170" s="598"/>
      <c r="H170" s="1179"/>
      <c r="I170" s="774">
        <f t="shared" ref="I170" si="27">+E170+G170</f>
        <v>37.799999999999997</v>
      </c>
      <c r="J170" s="529"/>
      <c r="K170" s="646"/>
      <c r="L170" s="1286"/>
    </row>
    <row r="171" spans="1:12" ht="21" customHeight="1" x14ac:dyDescent="0.25">
      <c r="A171" s="514">
        <f>IF(C171="","",COUNT($A$69:A170)+1)</f>
        <v>102</v>
      </c>
      <c r="B171" s="781">
        <v>3008</v>
      </c>
      <c r="C171" s="518" t="s">
        <v>1139</v>
      </c>
      <c r="D171" s="618"/>
      <c r="E171" s="1287">
        <f>+SUMIF(sdmixer!$A:$A,usage!B171,sdmixer!$E:$E)</f>
        <v>0</v>
      </c>
      <c r="F171" s="593"/>
      <c r="G171" s="598"/>
      <c r="H171" s="1179"/>
      <c r="I171" s="774">
        <f t="shared" ref="I171" si="28">+E171+G171</f>
        <v>0</v>
      </c>
      <c r="J171" s="529"/>
      <c r="K171" s="646"/>
      <c r="L171" s="1286"/>
    </row>
    <row r="172" spans="1:12" ht="21" customHeight="1" x14ac:dyDescent="0.25">
      <c r="A172" s="514">
        <f>IF(C172="","",COUNT($A$69:A171)+1)</f>
        <v>103</v>
      </c>
      <c r="B172" s="781">
        <v>3521</v>
      </c>
      <c r="C172" s="518" t="s">
        <v>1154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29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IF(C173="","",COUNT($A$69:A172)+1)</f>
        <v>104</v>
      </c>
      <c r="B173" s="781">
        <v>3009</v>
      </c>
      <c r="C173" s="518" t="s">
        <v>1161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0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IF(C174="","",COUNT($A$69:A173)+1)</f>
        <v>105</v>
      </c>
      <c r="B174" s="781">
        <v>3542</v>
      </c>
      <c r="C174" s="518" t="s">
        <v>1181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1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IF(C175="","",COUNT($A$69:A174)+1)</f>
        <v>106</v>
      </c>
      <c r="B175" s="781">
        <v>3540</v>
      </c>
      <c r="C175" s="518" t="s">
        <v>1176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2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IF(C176="","",COUNT($A$69:A175)+1)</f>
        <v>107</v>
      </c>
      <c r="B176" s="781">
        <v>842615</v>
      </c>
      <c r="C176" s="518" t="s">
        <v>1193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3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IF(C177="","",COUNT($A$69:A176)+1)</f>
        <v>108</v>
      </c>
      <c r="B177" s="781">
        <v>3041</v>
      </c>
      <c r="C177" s="518" t="s">
        <v>1269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4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IF(C178="","",COUNT($A$69:A177)+1)</f>
        <v>109</v>
      </c>
      <c r="B178" s="781">
        <v>3044</v>
      </c>
      <c r="C178" s="518" t="s">
        <v>1270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5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IF(C179="","",COUNT($A$69:A178)+1)</f>
        <v>110</v>
      </c>
      <c r="B179" s="781">
        <v>3043</v>
      </c>
      <c r="C179" s="518" t="s">
        <v>1271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6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IF(C180="","",COUNT($A$69:A179)+1)</f>
        <v>111</v>
      </c>
      <c r="B180" s="781">
        <v>3049</v>
      </c>
      <c r="C180" s="518" t="s">
        <v>1301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37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IF(C181="","",COUNT($A$69:A180)+1)</f>
        <v>112</v>
      </c>
      <c r="B181" s="781">
        <v>3042</v>
      </c>
      <c r="C181" s="518" t="s">
        <v>1272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38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IF(C182="","",COUNT($A$69:A181)+1)</f>
        <v>113</v>
      </c>
      <c r="B182" s="781">
        <v>3039</v>
      </c>
      <c r="C182" s="518" t="s">
        <v>1226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39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IF(C183="","",COUNT($A$69:A182)+1)</f>
        <v>114</v>
      </c>
      <c r="B183" s="783">
        <v>3007</v>
      </c>
      <c r="C183" s="719" t="s">
        <v>1118</v>
      </c>
      <c r="D183" s="720"/>
      <c r="E183" s="1287">
        <f>+SUMIF(sdmixer!$A:$A,usage!B183,sdmixer!$E:$E)</f>
        <v>0</v>
      </c>
      <c r="F183" s="1179"/>
      <c r="G183" s="600"/>
      <c r="H183" s="597"/>
      <c r="I183" s="1264">
        <f t="shared" ref="I183" si="40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IF(C184="","",COUNT($A$69:A183)+1)</f>
        <v>115</v>
      </c>
      <c r="B184" s="1270">
        <v>840019</v>
      </c>
      <c r="C184" s="512" t="s">
        <v>1314</v>
      </c>
      <c r="D184" s="619"/>
      <c r="E184" s="1287">
        <f>+SUMIF(sdmixer!$A:$A,usage!B184,sdmixer!$E:$E)</f>
        <v>1105.19</v>
      </c>
      <c r="F184" s="597"/>
      <c r="G184" s="600"/>
      <c r="H184" s="597"/>
      <c r="I184" s="1271">
        <f t="shared" ref="I184" si="41">+E184+G184</f>
        <v>1105.19</v>
      </c>
      <c r="J184" s="529"/>
      <c r="K184" s="646"/>
      <c r="L184" s="1286"/>
    </row>
    <row r="185" spans="1:12" ht="21" customHeight="1" x14ac:dyDescent="0.25">
      <c r="A185" s="514">
        <f>IF(C185="","",COUNT($A$69:A184)+1)</f>
        <v>116</v>
      </c>
      <c r="B185" s="1270">
        <v>3553</v>
      </c>
      <c r="C185" s="512" t="s">
        <v>1340</v>
      </c>
      <c r="D185" s="619"/>
      <c r="E185" s="1287">
        <f>+SUMIF(sdmixer!$A:$A,usage!B185,sdmixer!$E:$E)</f>
        <v>0</v>
      </c>
      <c r="F185" s="597"/>
      <c r="G185" s="600"/>
      <c r="H185" s="597"/>
      <c r="I185" s="1271">
        <f t="shared" ref="I185:I188" si="42">+E185+G185</f>
        <v>0</v>
      </c>
      <c r="J185" s="529"/>
      <c r="K185" s="646"/>
      <c r="L185" s="1286"/>
    </row>
    <row r="186" spans="1:12" ht="21" customHeight="1" x14ac:dyDescent="0.25">
      <c r="A186" s="514">
        <f>IF(C186="","",COUNT($A$69:A185)+1)</f>
        <v>117</v>
      </c>
      <c r="B186" s="1270">
        <v>843008</v>
      </c>
      <c r="C186" s="512" t="s">
        <v>1584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si="42"/>
        <v>0</v>
      </c>
      <c r="J186" s="529"/>
      <c r="K186" s="646"/>
      <c r="L186" s="1286"/>
    </row>
    <row r="187" spans="1:12" ht="21" customHeight="1" x14ac:dyDescent="0.25">
      <c r="A187" s="514">
        <f>IF(C187="","",COUNT($A$69:A186)+1)</f>
        <v>118</v>
      </c>
      <c r="B187" s="1270">
        <v>842841</v>
      </c>
      <c r="C187" s="512" t="s">
        <v>1370</v>
      </c>
      <c r="D187" s="619"/>
      <c r="E187" s="1289">
        <f>+SUMIF(sdmixer!$A:$A,usage!B187,sdmixer!$E:$E)</f>
        <v>4.2</v>
      </c>
      <c r="F187" s="597"/>
      <c r="G187" s="600"/>
      <c r="H187" s="597"/>
      <c r="I187" s="1271">
        <f t="shared" si="42"/>
        <v>4.2</v>
      </c>
      <c r="J187" s="529"/>
      <c r="K187" s="646"/>
      <c r="L187" s="1286"/>
    </row>
    <row r="188" spans="1:12" ht="21" customHeight="1" x14ac:dyDescent="0.25">
      <c r="A188" s="514">
        <f>IF(C188="","",COUNT($A$69:A187)+1)</f>
        <v>119</v>
      </c>
      <c r="B188" s="1270">
        <v>842133</v>
      </c>
      <c r="C188" s="512" t="s">
        <v>1410</v>
      </c>
      <c r="D188" s="619"/>
      <c r="E188" s="1289">
        <f>+SUMIF(sdmixer!$A:$A,usage!B188,sdmixer!$E:$E)</f>
        <v>141.28</v>
      </c>
      <c r="F188" s="597"/>
      <c r="G188" s="600"/>
      <c r="H188" s="597"/>
      <c r="I188" s="1271">
        <f t="shared" si="42"/>
        <v>141.28</v>
      </c>
      <c r="J188" s="529"/>
      <c r="K188" s="646"/>
      <c r="L188" s="1286"/>
    </row>
    <row r="189" spans="1:12" ht="21" customHeight="1" x14ac:dyDescent="0.25">
      <c r="A189" s="514">
        <f>IF(C189="","",COUNT($A$69:A188)+1)</f>
        <v>120</v>
      </c>
      <c r="B189" s="1270">
        <v>843096</v>
      </c>
      <c r="C189" s="512" t="s">
        <v>1519</v>
      </c>
      <c r="D189" s="619"/>
      <c r="E189" s="1289">
        <f>+SUMIF(sdmixer!$A:$A,usage!B189,sdmixer!$E:$E)</f>
        <v>0</v>
      </c>
      <c r="F189" s="597"/>
      <c r="G189" s="600"/>
      <c r="H189" s="597"/>
      <c r="I189" s="1271">
        <f t="shared" ref="I189:I190" si="43">+E189+G189</f>
        <v>0</v>
      </c>
      <c r="J189" s="529"/>
      <c r="K189" s="646"/>
      <c r="L189" s="1286"/>
    </row>
    <row r="190" spans="1:12" ht="21" customHeight="1" x14ac:dyDescent="0.25">
      <c r="A190" s="1758">
        <f>IF(C190="","",COUNT($A$69:A188)+1)</f>
        <v>120</v>
      </c>
      <c r="B190" s="1270">
        <v>842520</v>
      </c>
      <c r="C190" s="512" t="s">
        <v>1528</v>
      </c>
      <c r="D190" s="619"/>
      <c r="E190" s="1759">
        <f>+SUMIF(sdmixer!$A:$A,usage!B190,sdmixer!$E:$E)</f>
        <v>0</v>
      </c>
      <c r="F190" s="597"/>
      <c r="G190" s="600"/>
      <c r="H190" s="597"/>
      <c r="I190" s="1271">
        <f t="shared" si="43"/>
        <v>0</v>
      </c>
      <c r="J190" s="529"/>
      <c r="K190" s="646"/>
      <c r="L190" s="1286"/>
    </row>
    <row r="191" spans="1:12" ht="21" customHeight="1" x14ac:dyDescent="0.25">
      <c r="A191" s="1761">
        <f>IF(C191="","",COUNT($A$69:A189)+1)</f>
        <v>121</v>
      </c>
      <c r="B191" s="1270">
        <v>840224</v>
      </c>
      <c r="C191" s="512" t="s">
        <v>1534</v>
      </c>
      <c r="D191" s="619"/>
      <c r="E191" s="1759">
        <f>+SUMIF(sdmixer!$A:$A,usage!B191,sdmixer!$E:$E)</f>
        <v>22.68</v>
      </c>
      <c r="F191" s="597"/>
      <c r="G191" s="600"/>
      <c r="H191" s="597"/>
      <c r="I191" s="1271">
        <f t="shared" ref="I191" si="44">+E191+G191</f>
        <v>22.68</v>
      </c>
      <c r="J191" s="529"/>
      <c r="K191" s="646"/>
      <c r="L191" s="1286"/>
    </row>
    <row r="192" spans="1:12" ht="21" customHeight="1" x14ac:dyDescent="0.25">
      <c r="A192" s="1761">
        <f>IF(C192="","",COUNT($A$69:A190)+1)</f>
        <v>122</v>
      </c>
      <c r="B192" s="1270">
        <v>3589</v>
      </c>
      <c r="C192" s="512" t="s">
        <v>1614</v>
      </c>
      <c r="D192" s="619"/>
      <c r="E192" s="1759">
        <f>+SUMIF(sdmixer!$A:$A,usage!B192,sdmixer!$E:$E)</f>
        <v>0</v>
      </c>
      <c r="F192" s="597"/>
      <c r="G192" s="600"/>
      <c r="H192" s="597"/>
      <c r="I192" s="1271">
        <f t="shared" ref="I192" si="45">+E192+G192</f>
        <v>0</v>
      </c>
      <c r="J192" s="529"/>
      <c r="K192" s="646"/>
      <c r="L192" s="1286"/>
    </row>
    <row r="193" spans="1:12" ht="21" customHeight="1" x14ac:dyDescent="0.25">
      <c r="A193" s="1761">
        <f>IF(C193="","",COUNT($A$69:A191)+1)</f>
        <v>123</v>
      </c>
      <c r="B193" s="1270">
        <v>840197</v>
      </c>
      <c r="C193" s="512" t="s">
        <v>1520</v>
      </c>
      <c r="D193" s="619"/>
      <c r="E193" s="1759">
        <f>+SUMIF(sdmixer!$A:$A,usage!B193,sdmixer!$E:$E)</f>
        <v>0</v>
      </c>
      <c r="F193" s="597"/>
      <c r="G193" s="600"/>
      <c r="H193" s="597"/>
      <c r="I193" s="1271">
        <f>+E193+G193</f>
        <v>0</v>
      </c>
      <c r="J193" s="529"/>
      <c r="K193" s="646"/>
      <c r="L193" s="1286"/>
    </row>
    <row r="194" spans="1:12" ht="21" customHeight="1" x14ac:dyDescent="0.25">
      <c r="A194" s="1761">
        <f>IF(C194="","",COUNT($A$69:A192)+1)</f>
        <v>124</v>
      </c>
      <c r="B194" s="1270">
        <v>842242</v>
      </c>
      <c r="C194" s="512" t="s">
        <v>1537</v>
      </c>
      <c r="D194" s="619"/>
      <c r="E194" s="1759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842">
        <f>IF(C195="","",COUNT($A$69:A193)+1)</f>
        <v>125</v>
      </c>
      <c r="B195" s="781">
        <v>842880</v>
      </c>
      <c r="C195" s="1843" t="s">
        <v>1634</v>
      </c>
      <c r="D195" s="618"/>
      <c r="E195" s="1844">
        <f>+SUMIF(sdmixer!$A:$A,usage!B195,sdmixer!$E:$E)</f>
        <v>264.47000000000003</v>
      </c>
      <c r="F195" s="593"/>
      <c r="G195" s="594"/>
      <c r="H195" s="593"/>
      <c r="I195" s="595">
        <f t="shared" ref="I195:I200" si="46">+E195+G195</f>
        <v>264.47000000000003</v>
      </c>
      <c r="J195" s="529"/>
      <c r="K195" s="646"/>
      <c r="L195" s="1286"/>
    </row>
    <row r="196" spans="1:12" ht="21" customHeight="1" x14ac:dyDescent="0.25">
      <c r="A196" s="1842">
        <f>IF(C196="","",COUNT($A$69:A194)+1)</f>
        <v>126</v>
      </c>
      <c r="B196">
        <v>3607</v>
      </c>
      <c r="C196" s="1843" t="s">
        <v>1636</v>
      </c>
      <c r="D196" s="618"/>
      <c r="E196" s="1844">
        <f>+SUMIF(sdmixer!$A:$A,usage!B196,sdmixer!$E:$E)</f>
        <v>133.80000000000001</v>
      </c>
      <c r="F196" s="593"/>
      <c r="G196" s="594"/>
      <c r="H196" s="593"/>
      <c r="I196" s="595">
        <f t="shared" si="46"/>
        <v>133.80000000000001</v>
      </c>
      <c r="J196" s="529"/>
      <c r="K196" s="646"/>
      <c r="L196" s="1286"/>
    </row>
    <row r="197" spans="1:12" ht="21" customHeight="1" x14ac:dyDescent="0.25">
      <c r="A197" s="1842">
        <f>IF(C197="","",COUNT($A$69:A194)+1)</f>
        <v>126</v>
      </c>
      <c r="B197">
        <v>3602</v>
      </c>
      <c r="C197" s="1843" t="s">
        <v>1649</v>
      </c>
      <c r="D197" s="618"/>
      <c r="E197" s="1844">
        <f>+SUMIF(sdmixer!$A:$A,usage!B197,sdmixer!$E:$E)</f>
        <v>249.82</v>
      </c>
      <c r="F197" s="593"/>
      <c r="G197" s="594"/>
      <c r="H197" s="593"/>
      <c r="I197" s="595">
        <f t="shared" ref="I197" si="47">+E197+G197</f>
        <v>249.82</v>
      </c>
      <c r="J197" s="529"/>
      <c r="K197" s="646"/>
      <c r="L197" s="1286"/>
    </row>
    <row r="198" spans="1:12" ht="21" customHeight="1" x14ac:dyDescent="0.25">
      <c r="A198" s="1842">
        <f>IF(C198="","",COUNT($A$69:A195)+1)</f>
        <v>127</v>
      </c>
      <c r="B198" s="781">
        <v>841327</v>
      </c>
      <c r="C198" s="1843" t="s">
        <v>1648</v>
      </c>
      <c r="D198" s="618"/>
      <c r="E198" s="1844">
        <f>+SUMIF(sdmixer!$A:$A,usage!B198,sdmixer!$E:$E)</f>
        <v>32.049999999999997</v>
      </c>
      <c r="F198" s="593"/>
      <c r="G198" s="594"/>
      <c r="H198" s="593"/>
      <c r="I198" s="595">
        <f t="shared" si="46"/>
        <v>32.049999999999997</v>
      </c>
      <c r="J198" s="529"/>
      <c r="K198" s="646"/>
      <c r="L198" s="1286"/>
    </row>
    <row r="199" spans="1:12" ht="21" customHeight="1" x14ac:dyDescent="0.25">
      <c r="A199" s="1842">
        <f>IF(C199="","",COUNT($A$69:A196)+1)</f>
        <v>128</v>
      </c>
      <c r="B199">
        <v>3606</v>
      </c>
      <c r="C199" s="1843" t="s">
        <v>1647</v>
      </c>
      <c r="D199" s="618"/>
      <c r="E199" s="1844">
        <f>+SUMIF(sdmixer!$A:$A,usage!B199,sdmixer!$E:$E)</f>
        <v>516.25</v>
      </c>
      <c r="F199" s="593"/>
      <c r="G199" s="594"/>
      <c r="H199" s="593"/>
      <c r="I199" s="595">
        <f t="shared" si="46"/>
        <v>516.25</v>
      </c>
      <c r="J199" s="529"/>
      <c r="K199" s="646"/>
      <c r="L199" s="1286"/>
    </row>
    <row r="200" spans="1:12" ht="21" customHeight="1" x14ac:dyDescent="0.25">
      <c r="A200" s="1758">
        <f>IF(C200="","",COUNT($A$69:A198)+1)</f>
        <v>130</v>
      </c>
      <c r="B200">
        <v>3603</v>
      </c>
      <c r="C200" s="1849" t="s">
        <v>1650</v>
      </c>
      <c r="D200" s="720"/>
      <c r="E200" s="1289">
        <f>+SUMIF(sdmixer!$A:$A,usage!B200,sdmixer!$E:$E)</f>
        <v>3200</v>
      </c>
      <c r="F200" s="1848"/>
      <c r="G200" s="598"/>
      <c r="H200" s="1848"/>
      <c r="I200" s="1264">
        <f t="shared" si="46"/>
        <v>3200</v>
      </c>
      <c r="J200" s="529"/>
      <c r="K200" s="646"/>
      <c r="L200" s="1286"/>
    </row>
    <row r="201" spans="1:12" ht="21" customHeight="1" x14ac:dyDescent="0.25">
      <c r="A201" s="1758">
        <f>IF(C201="","",COUNT($A$69:A199)+1)</f>
        <v>131</v>
      </c>
      <c r="B201" s="1856">
        <v>840929</v>
      </c>
      <c r="C201" s="512" t="s">
        <v>1660</v>
      </c>
      <c r="D201" s="619"/>
      <c r="E201" s="1289">
        <f>+SUMIF(sdmixer!$A:$A,usage!B201,sdmixer!$E:$E)</f>
        <v>63.37</v>
      </c>
      <c r="F201" s="597"/>
      <c r="G201" s="600"/>
      <c r="H201" s="597"/>
      <c r="I201" s="1271">
        <f t="shared" ref="I201:I208" si="48">+E201+G201</f>
        <v>63.37</v>
      </c>
      <c r="J201" s="529"/>
      <c r="K201" s="646"/>
      <c r="L201" s="1286"/>
    </row>
    <row r="202" spans="1:12" ht="21" customHeight="1" x14ac:dyDescent="0.25">
      <c r="A202" s="1758">
        <f>IF(C202="","",COUNT($A$69:A200)+1)</f>
        <v>132</v>
      </c>
      <c r="B202" s="1858">
        <v>840194</v>
      </c>
      <c r="C202" s="512" t="s">
        <v>1667</v>
      </c>
      <c r="D202" s="619"/>
      <c r="E202" s="1759">
        <f>+SUMIF(sdmixer!$A:$A,usage!B202,sdmixer!$E:$E)</f>
        <v>125.93</v>
      </c>
      <c r="F202" s="597"/>
      <c r="G202" s="600"/>
      <c r="H202" s="597"/>
      <c r="I202" s="1271">
        <f t="shared" si="48"/>
        <v>125.93</v>
      </c>
      <c r="J202" s="529"/>
      <c r="K202" s="646"/>
      <c r="L202" s="1286"/>
    </row>
    <row r="203" spans="1:12" ht="21" customHeight="1" x14ac:dyDescent="0.25">
      <c r="A203" s="1758">
        <f>IF(C203="","",COUNT($A$69:A200)+1)</f>
        <v>132</v>
      </c>
      <c r="B203" s="1858">
        <v>833113</v>
      </c>
      <c r="C203" s="512" t="s">
        <v>1700</v>
      </c>
      <c r="D203" s="619"/>
      <c r="E203" s="1759">
        <f>+SUMIF(sdmixer!$A:$A,usage!B203,sdmixer!$E:$E)</f>
        <v>0</v>
      </c>
      <c r="F203" s="597"/>
      <c r="G203" s="600"/>
      <c r="H203" s="597"/>
      <c r="I203" s="1271">
        <f t="shared" ref="I203" si="49">+E203+G203</f>
        <v>0</v>
      </c>
      <c r="J203" s="529"/>
      <c r="K203" s="646"/>
      <c r="L203" s="1286"/>
    </row>
    <row r="204" spans="1:12" ht="21" customHeight="1" x14ac:dyDescent="0.25">
      <c r="A204" s="1758">
        <f>IF(C204="","",COUNT($A$69:A201)+1)</f>
        <v>133</v>
      </c>
      <c r="B204" s="1858">
        <v>3611</v>
      </c>
      <c r="C204" s="512" t="s">
        <v>1690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si="48"/>
        <v>0</v>
      </c>
      <c r="J204" s="529"/>
      <c r="K204" s="646"/>
      <c r="L204" s="1286"/>
    </row>
    <row r="205" spans="1:12" ht="21" customHeight="1" x14ac:dyDescent="0.25">
      <c r="A205" s="1758">
        <f>IF(C205="","",COUNT($A$69:A201)+1)</f>
        <v>133</v>
      </c>
      <c r="B205" s="1858">
        <v>842154</v>
      </c>
      <c r="C205" s="512" t="s">
        <v>1709</v>
      </c>
      <c r="D205" s="619"/>
      <c r="E205" s="1759">
        <f>+SUMIF(sdmixer!$A:$A,usage!B205,sdmixer!$E:$E)</f>
        <v>50.4</v>
      </c>
      <c r="F205" s="597"/>
      <c r="G205" s="600"/>
      <c r="H205" s="597"/>
      <c r="I205" s="1271">
        <f t="shared" si="48"/>
        <v>50.4</v>
      </c>
      <c r="J205" s="529"/>
      <c r="K205" s="646"/>
      <c r="L205" s="1286"/>
    </row>
    <row r="206" spans="1:12" ht="21" customHeight="1" x14ac:dyDescent="0.25">
      <c r="A206" s="1758">
        <f>IF(C206="","",COUNT($A$69:A199)+1)</f>
        <v>131</v>
      </c>
      <c r="B206" s="638">
        <v>840108</v>
      </c>
      <c r="C206" s="512" t="s">
        <v>1723</v>
      </c>
      <c r="D206" s="619"/>
      <c r="E206" s="1759">
        <f>+SUMIF(sdmixer!$A:$A,usage!B206,sdmixer!$E:$E)</f>
        <v>0</v>
      </c>
      <c r="F206" s="597"/>
      <c r="G206" s="600"/>
      <c r="H206" s="597"/>
      <c r="I206" s="1271">
        <f t="shared" si="48"/>
        <v>0</v>
      </c>
      <c r="J206" s="529"/>
      <c r="K206" s="646"/>
      <c r="L206" s="1286"/>
    </row>
    <row r="207" spans="1:12" ht="21" customHeight="1" x14ac:dyDescent="0.25">
      <c r="A207" s="1758">
        <f>IF(C207="","",COUNT($A$69:A200)+1)</f>
        <v>132</v>
      </c>
      <c r="B207" s="638">
        <v>840909</v>
      </c>
      <c r="C207" s="512" t="s">
        <v>1715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ref="I207" si="50">+E207+G207</f>
        <v>0</v>
      </c>
      <c r="J207" s="529"/>
      <c r="K207" s="646"/>
      <c r="L207" s="1286"/>
    </row>
    <row r="208" spans="1:12" ht="21" customHeight="1" x14ac:dyDescent="0.25">
      <c r="A208" s="1758">
        <f>IF(C208="","",COUNT($A$69:A201)+1)</f>
        <v>133</v>
      </c>
      <c r="B208" s="638"/>
      <c r="C208" s="512" t="s">
        <v>1714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si="48"/>
        <v>0</v>
      </c>
      <c r="J208" s="529"/>
      <c r="K208" s="646"/>
      <c r="L208" s="1286"/>
    </row>
    <row r="209" spans="1:15" ht="21" customHeight="1" x14ac:dyDescent="0.25">
      <c r="A209" s="1758">
        <f>IF(C209="","",COUNT($A$69:A202)+1)</f>
        <v>134</v>
      </c>
      <c r="B209" s="1858">
        <v>831035</v>
      </c>
      <c r="C209" s="512" t="s">
        <v>1671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ref="I209:I215" si="51">+E209+G209</f>
        <v>0</v>
      </c>
      <c r="J209" s="529"/>
      <c r="K209" s="646"/>
      <c r="L209" s="1286"/>
    </row>
    <row r="210" spans="1:15" ht="21" customHeight="1" x14ac:dyDescent="0.25">
      <c r="A210" s="1758">
        <f>IF(C210="","",COUNT($A$69:A200)+1)</f>
        <v>132</v>
      </c>
      <c r="B210" s="1858">
        <v>3081</v>
      </c>
      <c r="C210" s="512" t="s">
        <v>1758</v>
      </c>
      <c r="D210" s="619"/>
      <c r="E210" s="1759">
        <f>+SUMIF(sdmixer!$A:$A,usage!B210,sdmixer!$E:$E)</f>
        <v>3.2</v>
      </c>
      <c r="F210" s="597"/>
      <c r="G210" s="600"/>
      <c r="H210" s="597"/>
      <c r="I210" s="1271">
        <f t="shared" ref="I210" si="52">+E210+G210</f>
        <v>3.2</v>
      </c>
      <c r="J210" s="529"/>
      <c r="K210" s="646"/>
      <c r="L210" s="1286"/>
    </row>
    <row r="211" spans="1:15" ht="21" customHeight="1" x14ac:dyDescent="0.25">
      <c r="A211" s="1758">
        <f>IF(C211="","",COUNT($A$69:A201)+1)</f>
        <v>133</v>
      </c>
      <c r="B211" s="1858">
        <v>3619</v>
      </c>
      <c r="C211" s="512" t="s">
        <v>1757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3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IF(C212="","",COUNT($A$69:A202)+1)</f>
        <v>134</v>
      </c>
      <c r="B212" s="1858">
        <v>840550</v>
      </c>
      <c r="C212" s="512" t="s">
        <v>1735</v>
      </c>
      <c r="D212" s="619"/>
      <c r="E212" s="1759">
        <f>+SUMIF(sdmixer!$A:$A,usage!B212,sdmixer!$E:$E)</f>
        <v>6.5</v>
      </c>
      <c r="F212" s="597"/>
      <c r="G212" s="600"/>
      <c r="H212" s="597"/>
      <c r="I212" s="1271">
        <f t="shared" si="51"/>
        <v>6.5</v>
      </c>
      <c r="J212" s="529"/>
      <c r="K212" s="646"/>
      <c r="L212" s="1286"/>
    </row>
    <row r="213" spans="1:15" ht="21" customHeight="1" x14ac:dyDescent="0.25">
      <c r="A213" s="1758">
        <f>IF(C213="","",COUNT($A$69:A201)+1)</f>
        <v>133</v>
      </c>
      <c r="B213" s="1858">
        <v>3618</v>
      </c>
      <c r="C213" s="512" t="s">
        <v>1775</v>
      </c>
      <c r="D213" s="619"/>
      <c r="E213" s="1759">
        <f>+SUMIF(sdmixer!$A:$A,usage!B213,sdmixer!$E:$E)</f>
        <v>2.44</v>
      </c>
      <c r="F213" s="597"/>
      <c r="G213" s="600"/>
      <c r="H213" s="597"/>
      <c r="I213" s="1271">
        <f t="shared" ref="I213" si="54">+E213+G213</f>
        <v>2.44</v>
      </c>
      <c r="J213" s="529"/>
      <c r="K213" s="646"/>
      <c r="L213" s="1286"/>
    </row>
    <row r="214" spans="1:15" ht="21" customHeight="1" x14ac:dyDescent="0.25">
      <c r="A214" s="1758">
        <f>IF(C214="","",COUNT($A$69:A202)+1)</f>
        <v>134</v>
      </c>
      <c r="B214" s="1938">
        <v>5118</v>
      </c>
      <c r="C214" s="1843" t="s">
        <v>1776</v>
      </c>
      <c r="D214" s="618"/>
      <c r="E214" s="1844">
        <f>+SUMIF(sdmixer!$A:$A,usage!B214,sdmixer!$E:$E)</f>
        <v>707.64</v>
      </c>
      <c r="F214" s="1939"/>
      <c r="G214" s="1940"/>
      <c r="H214" s="593"/>
      <c r="I214" s="595">
        <f t="shared" si="51"/>
        <v>707.64</v>
      </c>
      <c r="J214" s="529"/>
      <c r="K214" s="646"/>
      <c r="L214" s="1286"/>
    </row>
    <row r="215" spans="1:15" ht="21" customHeight="1" x14ac:dyDescent="0.25">
      <c r="A215" s="1758">
        <f>IF(C215="","",COUNT($A$69:A202)+1)</f>
        <v>134</v>
      </c>
      <c r="B215" s="1938">
        <v>5121</v>
      </c>
      <c r="C215" s="1843" t="s">
        <v>1805</v>
      </c>
      <c r="D215" s="618"/>
      <c r="E215" s="1844">
        <f>+SUMIF(sdmixer!$A:$A,usage!B215,sdmixer!$E:$E)</f>
        <v>3310</v>
      </c>
      <c r="F215" s="1939"/>
      <c r="G215" s="1940"/>
      <c r="H215" s="593"/>
      <c r="I215" s="595">
        <f t="shared" si="51"/>
        <v>3310</v>
      </c>
      <c r="J215" s="529"/>
      <c r="K215" s="646"/>
      <c r="L215" s="1286"/>
    </row>
    <row r="216" spans="1:15" ht="21" customHeight="1" x14ac:dyDescent="0.25">
      <c r="A216" s="1758">
        <f>IF(C216="","",COUNT($A$69:A203)+1)</f>
        <v>135</v>
      </c>
      <c r="B216" s="1938">
        <v>5123</v>
      </c>
      <c r="C216" s="1843" t="s">
        <v>1836</v>
      </c>
      <c r="D216" s="618"/>
      <c r="E216" s="1844">
        <f>+SUMIF(sdmixer!$A:$A,usage!B216,sdmixer!$E:$E)</f>
        <v>78.5</v>
      </c>
      <c r="F216" s="1939"/>
      <c r="G216" s="1940"/>
      <c r="H216" s="593"/>
      <c r="I216" s="595">
        <f t="shared" ref="I216" si="55">+E216+G216</f>
        <v>78.5</v>
      </c>
      <c r="J216" s="529"/>
      <c r="K216" s="646"/>
      <c r="L216" s="1286"/>
    </row>
    <row r="217" spans="1:15" ht="21" customHeight="1" x14ac:dyDescent="0.25">
      <c r="A217" s="1758">
        <f>IF(C217="","",COUNT($A$69:A203)+1)</f>
        <v>135</v>
      </c>
      <c r="B217" s="1938">
        <v>791815</v>
      </c>
      <c r="C217" s="1843" t="s">
        <v>1755</v>
      </c>
      <c r="D217" s="618"/>
      <c r="E217" s="1844">
        <f>+SUMIF(sdmixer!$A:$A,usage!B217,sdmixer!$E:$E)</f>
        <v>0</v>
      </c>
      <c r="F217" s="1939"/>
      <c r="G217" s="1940"/>
      <c r="H217" s="593"/>
      <c r="I217" s="595">
        <f t="shared" ref="I217:I219" si="56">+E217+G217</f>
        <v>0</v>
      </c>
      <c r="J217" s="529"/>
      <c r="K217" s="646"/>
      <c r="L217" s="1286"/>
    </row>
    <row r="218" spans="1:15" ht="21" customHeight="1" x14ac:dyDescent="0.25">
      <c r="A218" s="1758">
        <f>IF(C218="","",COUNT($A$69:A203)+1)</f>
        <v>135</v>
      </c>
      <c r="B218" s="1938">
        <v>5114</v>
      </c>
      <c r="C218" s="1843" t="s">
        <v>1884</v>
      </c>
      <c r="D218" s="618"/>
      <c r="E218" s="1844">
        <f>+SUMIF(sdmixer!$A:$A,usage!B218,sdmixer!$E:$E)</f>
        <v>0</v>
      </c>
      <c r="F218" s="1939"/>
      <c r="G218" s="1940"/>
      <c r="H218" s="593"/>
      <c r="I218" s="595">
        <f t="shared" si="56"/>
        <v>0</v>
      </c>
      <c r="J218" s="529"/>
      <c r="K218" s="646"/>
      <c r="L218" s="1286"/>
    </row>
    <row r="219" spans="1:15" ht="21" customHeight="1" x14ac:dyDescent="0.25">
      <c r="A219" s="1758">
        <f>IF(C219="","",COUNT($A$69:A203)+1)</f>
        <v>135</v>
      </c>
      <c r="B219" s="1938">
        <v>5116</v>
      </c>
      <c r="C219" s="1843" t="s">
        <v>1886</v>
      </c>
      <c r="D219" s="618"/>
      <c r="E219" s="1844">
        <f>+SUMIF(sdmixer!$A:$A,usage!B219,sdmixer!$E:$E)</f>
        <v>67.63</v>
      </c>
      <c r="F219" s="1939"/>
      <c r="G219" s="1940"/>
      <c r="H219" s="593"/>
      <c r="I219" s="595">
        <f t="shared" si="56"/>
        <v>67.63</v>
      </c>
      <c r="J219" s="529"/>
      <c r="K219" s="646"/>
      <c r="L219" s="1286"/>
    </row>
    <row r="220" spans="1:15" ht="21" customHeight="1" x14ac:dyDescent="0.25">
      <c r="A220" s="1758">
        <f>IF(C220="","",COUNT($A$69:A204)+1)</f>
        <v>136</v>
      </c>
      <c r="B220" s="1938">
        <v>840101</v>
      </c>
      <c r="C220" s="1843" t="s">
        <v>1818</v>
      </c>
      <c r="D220" s="618"/>
      <c r="E220" s="1844">
        <f>+SUMIF(sdmixer!$A:$A,usage!B220,sdmixer!$E:$E)</f>
        <v>3.96</v>
      </c>
      <c r="F220" s="1939"/>
      <c r="G220" s="1940"/>
      <c r="H220" s="593"/>
      <c r="I220" s="595">
        <f t="shared" ref="I220" si="57">+E220+G220</f>
        <v>3.96</v>
      </c>
      <c r="J220" s="529"/>
      <c r="K220" s="646"/>
      <c r="L220" s="1286"/>
    </row>
    <row r="221" spans="1:15" ht="25.5" customHeight="1" thickBot="1" x14ac:dyDescent="0.3">
      <c r="A221" s="2216" t="s">
        <v>434</v>
      </c>
      <c r="B221" s="2217"/>
      <c r="C221" s="2218"/>
      <c r="D221" s="1936"/>
      <c r="E221" s="2219">
        <f>+SUM(E70:F220)</f>
        <v>40144.1</v>
      </c>
      <c r="F221" s="2220"/>
      <c r="G221" s="2219">
        <f>+SUM(G70:H220)</f>
        <v>0</v>
      </c>
      <c r="H221" s="2220"/>
      <c r="I221" s="1937">
        <f>+E221+G221</f>
        <v>40144.1</v>
      </c>
      <c r="J221"/>
      <c r="K221" s="693"/>
      <c r="L221" s="1230"/>
    </row>
    <row r="222" spans="1:15" ht="20.25" customHeight="1" x14ac:dyDescent="0.25">
      <c r="A222" s="515">
        <f>IF(C222="","",COUNT($A$221:A221)+1)</f>
        <v>1</v>
      </c>
      <c r="B222" s="620">
        <v>917200</v>
      </c>
      <c r="C222" s="524" t="s">
        <v>410</v>
      </c>
      <c r="D222" s="620"/>
      <c r="E222" s="1287">
        <f>+SUMIF(sdmixer!$A:$A,usage!B222,sdmixer!$E:$E)+SUMIF(sdmixer!$A:$A,"840198",sdmixer!$E:$E)</f>
        <v>0</v>
      </c>
      <c r="F222" s="590"/>
      <c r="G222" s="591"/>
      <c r="H222" s="590"/>
      <c r="I222" s="592">
        <f t="shared" si="26"/>
        <v>0</v>
      </c>
      <c r="J222"/>
      <c r="K222"/>
      <c r="L222" s="1286"/>
      <c r="O222" s="1230"/>
    </row>
    <row r="223" spans="1:15" ht="20.25" customHeight="1" x14ac:dyDescent="0.25">
      <c r="A223" s="558">
        <f>IF(C223="","",COUNT($A$221:A222)+1)</f>
        <v>2</v>
      </c>
      <c r="B223" s="620">
        <v>917004</v>
      </c>
      <c r="C223" s="525" t="s">
        <v>411</v>
      </c>
      <c r="D223" s="621"/>
      <c r="E223" s="1287">
        <f>+SUMIF(sdmixer!$A:$A,usage!B223,sdmixer!$E:$E)</f>
        <v>364.92</v>
      </c>
      <c r="F223" s="593"/>
      <c r="G223" s="594"/>
      <c r="H223" s="593"/>
      <c r="I223" s="595">
        <f t="shared" ref="I223:I253" si="58">+E223+G223</f>
        <v>364.92</v>
      </c>
      <c r="J223"/>
      <c r="K223"/>
      <c r="L223" s="1286"/>
    </row>
    <row r="224" spans="1:15" ht="21" customHeight="1" x14ac:dyDescent="0.25">
      <c r="A224" s="517">
        <f>IF(C224="","",COUNT($A$221:A223)+1)</f>
        <v>3</v>
      </c>
      <c r="B224" s="620">
        <v>917003</v>
      </c>
      <c r="C224" s="525" t="s">
        <v>412</v>
      </c>
      <c r="D224" s="621"/>
      <c r="E224" s="1287">
        <f>+SUMIF(sdmixer!$A:$A,usage!B224,sdmixer!$E:$E)</f>
        <v>0</v>
      </c>
      <c r="F224" s="593"/>
      <c r="G224" s="594"/>
      <c r="H224" s="593"/>
      <c r="I224" s="595">
        <f t="shared" si="58"/>
        <v>0</v>
      </c>
      <c r="J224"/>
      <c r="K224"/>
      <c r="L224" s="1286"/>
    </row>
    <row r="225" spans="1:12" ht="20.25" customHeight="1" x14ac:dyDescent="0.25">
      <c r="A225" s="517">
        <f>IF(C225="","",COUNT($A$221:A224)+1)</f>
        <v>4</v>
      </c>
      <c r="B225" s="642">
        <v>911101</v>
      </c>
      <c r="C225" s="525" t="s">
        <v>413</v>
      </c>
      <c r="D225" s="621"/>
      <c r="E225" s="1287">
        <f>+SUMIF(sdmixer!$A:$A,usage!B225,sdmixer!$E:$E)</f>
        <v>181.42</v>
      </c>
      <c r="F225" s="593"/>
      <c r="G225" s="594"/>
      <c r="H225" s="593"/>
      <c r="I225" s="595">
        <f t="shared" si="58"/>
        <v>181.42</v>
      </c>
      <c r="J225"/>
      <c r="K225"/>
      <c r="L225" s="1286"/>
    </row>
    <row r="226" spans="1:12" ht="20.25" customHeight="1" x14ac:dyDescent="0.25">
      <c r="A226" s="517">
        <f>IF(C226="","",COUNT($A$221:A225)+1)</f>
        <v>5</v>
      </c>
      <c r="B226" s="642">
        <v>911121</v>
      </c>
      <c r="C226" s="525" t="s">
        <v>414</v>
      </c>
      <c r="D226" s="621"/>
      <c r="E226" s="1287">
        <f>+SUMIF(sdmixer!$A:$A,usage!B226,sdmixer!$E:$E)</f>
        <v>8.32</v>
      </c>
      <c r="F226" s="593"/>
      <c r="G226" s="594"/>
      <c r="H226" s="593"/>
      <c r="I226" s="595">
        <f t="shared" si="58"/>
        <v>8.32</v>
      </c>
      <c r="J226"/>
      <c r="K226"/>
      <c r="L226" s="1286"/>
    </row>
    <row r="227" spans="1:12" ht="20.25" customHeight="1" x14ac:dyDescent="0.25">
      <c r="A227" s="517">
        <f>IF(C227="","",COUNT($A$221:A226)+1)</f>
        <v>6</v>
      </c>
      <c r="B227" s="642">
        <v>911125</v>
      </c>
      <c r="C227" s="525" t="s">
        <v>426</v>
      </c>
      <c r="D227" s="621"/>
      <c r="E227" s="1287">
        <f>+SUMIF(sdmixer!$A:$A,usage!B227,sdmixer!$E:$E)</f>
        <v>16.579999999999998</v>
      </c>
      <c r="F227" s="593"/>
      <c r="G227" s="594"/>
      <c r="H227" s="593"/>
      <c r="I227" s="595">
        <f t="shared" si="58"/>
        <v>16.579999999999998</v>
      </c>
      <c r="J227"/>
      <c r="K227"/>
      <c r="L227" s="1286"/>
    </row>
    <row r="228" spans="1:12" ht="20.25" customHeight="1" x14ac:dyDescent="0.25">
      <c r="A228" s="517">
        <f>IF(C228="","",COUNT($A$221:A227)+1)</f>
        <v>7</v>
      </c>
      <c r="B228" s="642">
        <v>911301</v>
      </c>
      <c r="C228" s="525" t="s">
        <v>415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ref="I228:I235" si="59">+E228+G228</f>
        <v>0</v>
      </c>
      <c r="J228"/>
      <c r="K228"/>
      <c r="L228" s="1286"/>
    </row>
    <row r="229" spans="1:12" ht="20.25" customHeight="1" x14ac:dyDescent="0.25">
      <c r="A229" s="517">
        <f>IF(C229="","",COUNT($A$221:A228)+1)</f>
        <v>8</v>
      </c>
      <c r="B229" s="642">
        <v>911311</v>
      </c>
      <c r="C229" s="525" t="s">
        <v>427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si="59"/>
        <v>0</v>
      </c>
      <c r="J229"/>
      <c r="K229"/>
      <c r="L229" s="1286"/>
    </row>
    <row r="230" spans="1:12" ht="20.25" customHeight="1" x14ac:dyDescent="0.25">
      <c r="A230" s="517">
        <f>IF(C230="","",COUNT($A$221:A229)+1)</f>
        <v>9</v>
      </c>
      <c r="B230" s="642">
        <v>911401</v>
      </c>
      <c r="C230" s="525" t="s">
        <v>416</v>
      </c>
      <c r="D230" s="621"/>
      <c r="E230" s="1287">
        <f>+SUMIF(sdmixer!$A:$A,usage!B230,sdmixer!$E:$E)</f>
        <v>237.14</v>
      </c>
      <c r="F230" s="593"/>
      <c r="G230" s="594"/>
      <c r="H230" s="593"/>
      <c r="I230" s="595">
        <f t="shared" si="59"/>
        <v>237.14</v>
      </c>
      <c r="J230"/>
      <c r="K230"/>
      <c r="L230" s="1286"/>
    </row>
    <row r="231" spans="1:12" ht="20.25" customHeight="1" x14ac:dyDescent="0.25">
      <c r="A231" s="517">
        <f>IF(C231="","",COUNT($A$221:A230)+1)</f>
        <v>10</v>
      </c>
      <c r="B231" s="642">
        <v>912101</v>
      </c>
      <c r="C231" s="525" t="s">
        <v>417</v>
      </c>
      <c r="D231" s="621"/>
      <c r="E231" s="1287">
        <f>+SUMIF(sdmixer!$A:$A,usage!B231,sdmixer!$E:$E)</f>
        <v>309.10000000000002</v>
      </c>
      <c r="F231" s="593"/>
      <c r="G231" s="594"/>
      <c r="H231" s="593"/>
      <c r="I231" s="595">
        <f t="shared" si="59"/>
        <v>309.10000000000002</v>
      </c>
      <c r="J231"/>
      <c r="K231"/>
      <c r="L231" s="1286"/>
    </row>
    <row r="232" spans="1:12" ht="20.25" customHeight="1" x14ac:dyDescent="0.25">
      <c r="A232" s="517">
        <f>IF(C232="","",COUNT($A$221:A231)+1)</f>
        <v>11</v>
      </c>
      <c r="B232" s="620">
        <v>914521</v>
      </c>
      <c r="C232" s="525" t="s">
        <v>929</v>
      </c>
      <c r="D232" s="621"/>
      <c r="E232" s="1287">
        <f>+SUMIF(sdmixer!$A:$A,usage!B232,sdmixer!$E:$E)</f>
        <v>404.28</v>
      </c>
      <c r="F232" s="593"/>
      <c r="G232" s="594"/>
      <c r="H232" s="593"/>
      <c r="I232" s="595">
        <f>+E232+G232</f>
        <v>404.28</v>
      </c>
      <c r="J232"/>
      <c r="K232"/>
      <c r="L232" s="1286"/>
    </row>
    <row r="233" spans="1:12" ht="20.25" customHeight="1" x14ac:dyDescent="0.25">
      <c r="A233" s="517">
        <f>IF(C233="","",COUNT($A$221:A232)+1)</f>
        <v>12</v>
      </c>
      <c r="B233" s="620">
        <v>916201</v>
      </c>
      <c r="C233" s="525" t="s">
        <v>428</v>
      </c>
      <c r="D233" s="621"/>
      <c r="E233" s="1287">
        <f>+SUMIF(sdmixer!$A:$A,usage!B233,sdmixer!$E:$E)</f>
        <v>0</v>
      </c>
      <c r="F233" s="593"/>
      <c r="G233" s="594"/>
      <c r="H233" s="593"/>
      <c r="I233" s="595">
        <f t="shared" si="59"/>
        <v>0</v>
      </c>
      <c r="J233"/>
      <c r="K233"/>
      <c r="L233" s="1286"/>
    </row>
    <row r="234" spans="1:12" ht="20.25" customHeight="1" x14ac:dyDescent="0.25">
      <c r="A234" s="517">
        <f>IF(C234="","",COUNT($A$221:A233)+1)</f>
        <v>13</v>
      </c>
      <c r="B234" s="620">
        <v>916202</v>
      </c>
      <c r="C234" s="525" t="s">
        <v>429</v>
      </c>
      <c r="D234" s="621"/>
      <c r="E234" s="1287">
        <f>+SUMIF(sdmixer!$A:$A,usage!B234,sdmixer!$E:$E)</f>
        <v>0</v>
      </c>
      <c r="F234" s="593"/>
      <c r="G234" s="594"/>
      <c r="H234" s="593"/>
      <c r="I234" s="595">
        <f t="shared" si="59"/>
        <v>0</v>
      </c>
      <c r="J234"/>
      <c r="K234"/>
      <c r="L234" s="1286"/>
    </row>
    <row r="235" spans="1:12" ht="20.25" customHeight="1" x14ac:dyDescent="0.25">
      <c r="A235" s="517">
        <f>IF(C235="","",COUNT($A$221:A234)+1)</f>
        <v>14</v>
      </c>
      <c r="B235" s="642">
        <v>913501</v>
      </c>
      <c r="C235" s="525" t="s">
        <v>418</v>
      </c>
      <c r="D235" s="621"/>
      <c r="E235" s="1287">
        <f>+SUMIF(sdmixer!$A:$A,usage!B235,sdmixer!$E:$E)</f>
        <v>119.4</v>
      </c>
      <c r="F235" s="593"/>
      <c r="G235" s="594"/>
      <c r="H235" s="593"/>
      <c r="I235" s="595">
        <f t="shared" si="59"/>
        <v>119.4</v>
      </c>
      <c r="J235"/>
      <c r="K235"/>
      <c r="L235" s="1286"/>
    </row>
    <row r="236" spans="1:12" ht="20.25" customHeight="1" x14ac:dyDescent="0.25">
      <c r="A236" s="517">
        <f>IF(C236="","",COUNT($A$221:A235)+1)</f>
        <v>15</v>
      </c>
      <c r="B236" s="642">
        <v>913511</v>
      </c>
      <c r="C236" s="525" t="s">
        <v>419</v>
      </c>
      <c r="D236" s="618"/>
      <c r="E236" s="1287">
        <f>+SUMIF(sdmixer!$A:$A,usage!B236,sdmixer!$E:$E)</f>
        <v>341.58</v>
      </c>
      <c r="F236" s="593"/>
      <c r="G236" s="594"/>
      <c r="H236" s="593"/>
      <c r="I236" s="595">
        <f t="shared" si="58"/>
        <v>341.58</v>
      </c>
      <c r="J236"/>
      <c r="K236"/>
      <c r="L236" s="1286"/>
    </row>
    <row r="237" spans="1:12" ht="20.25" customHeight="1" x14ac:dyDescent="0.25">
      <c r="A237" s="517">
        <f>IF(C237="","",COUNT($A$221:A236)+1)</f>
        <v>16</v>
      </c>
      <c r="B237" s="642">
        <v>913521</v>
      </c>
      <c r="C237" s="525" t="s">
        <v>420</v>
      </c>
      <c r="D237" s="618"/>
      <c r="E237" s="1287">
        <f>+SUMIF(sdmixer!$A:$A,usage!B237,sdmixer!$E:$E)</f>
        <v>212.98</v>
      </c>
      <c r="F237" s="593"/>
      <c r="G237" s="594"/>
      <c r="H237" s="593"/>
      <c r="I237" s="595">
        <f t="shared" si="58"/>
        <v>212.98</v>
      </c>
      <c r="J237"/>
      <c r="K237"/>
      <c r="L237" s="1286"/>
    </row>
    <row r="238" spans="1:12" ht="20.25" customHeight="1" x14ac:dyDescent="0.25">
      <c r="A238" s="517">
        <f>IF(C238="","",COUNT($A$221:A237)+1)</f>
        <v>17</v>
      </c>
      <c r="B238" s="642">
        <v>913561</v>
      </c>
      <c r="C238" s="525" t="s">
        <v>421</v>
      </c>
      <c r="D238" s="618"/>
      <c r="E238" s="1287">
        <f>+SUMIF(sdmixer!$A:$A,usage!B238,sdmixer!$E:$E)</f>
        <v>108.11</v>
      </c>
      <c r="F238" s="593"/>
      <c r="G238" s="594"/>
      <c r="H238" s="593"/>
      <c r="I238" s="595">
        <f t="shared" si="58"/>
        <v>108.11</v>
      </c>
      <c r="J238"/>
      <c r="K238"/>
      <c r="L238" s="1286"/>
    </row>
    <row r="239" spans="1:12" ht="20.25" customHeight="1" x14ac:dyDescent="0.25">
      <c r="A239" s="517">
        <f>IF(C239="","",COUNT($A$221:A238)+1)</f>
        <v>18</v>
      </c>
      <c r="B239" s="642">
        <v>913562</v>
      </c>
      <c r="C239" s="525" t="s">
        <v>422</v>
      </c>
      <c r="D239" s="618"/>
      <c r="E239" s="1287">
        <f>+SUMIF(sdmixer!$A:$A,usage!B239,sdmixer!$E:$E)</f>
        <v>0</v>
      </c>
      <c r="F239" s="593"/>
      <c r="G239" s="594"/>
      <c r="H239" s="593"/>
      <c r="I239" s="595">
        <f t="shared" si="58"/>
        <v>0</v>
      </c>
      <c r="J239"/>
      <c r="K239"/>
      <c r="L239" s="1286"/>
    </row>
    <row r="240" spans="1:12" ht="20.25" customHeight="1" x14ac:dyDescent="0.25">
      <c r="A240" s="517">
        <f>IF(C240="","",COUNT($A$221:A239)+1)</f>
        <v>19</v>
      </c>
      <c r="B240" s="642">
        <v>913563</v>
      </c>
      <c r="C240" s="525" t="s">
        <v>423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58"/>
        <v>0</v>
      </c>
      <c r="J240"/>
      <c r="K240"/>
      <c r="L240" s="1286"/>
    </row>
    <row r="241" spans="1:12" ht="20.25" customHeight="1" x14ac:dyDescent="0.25">
      <c r="A241" s="517">
        <f>IF(C241="","",COUNT($A$221:A240)+1)</f>
        <v>20</v>
      </c>
      <c r="B241" s="642">
        <v>913571</v>
      </c>
      <c r="C241" s="525" t="s">
        <v>430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58"/>
        <v>0</v>
      </c>
      <c r="J241"/>
      <c r="K241"/>
      <c r="L241" s="1286"/>
    </row>
    <row r="242" spans="1:12" ht="20.25" customHeight="1" x14ac:dyDescent="0.25">
      <c r="A242" s="517">
        <f>IF(C242="","",COUNT($A$221:A241)+1)</f>
        <v>21</v>
      </c>
      <c r="B242" s="642">
        <v>913572</v>
      </c>
      <c r="C242" s="525" t="s">
        <v>424</v>
      </c>
      <c r="D242" s="618"/>
      <c r="E242" s="1287">
        <f>+SUMIF(sdmixer!$A:$A,usage!B242,sdmixer!$E:$E)</f>
        <v>141.41999999999999</v>
      </c>
      <c r="F242" s="593"/>
      <c r="G242" s="594"/>
      <c r="H242" s="593"/>
      <c r="I242" s="595">
        <f t="shared" si="58"/>
        <v>141.41999999999999</v>
      </c>
      <c r="J242"/>
      <c r="K242"/>
      <c r="L242" s="1286"/>
    </row>
    <row r="243" spans="1:12" ht="20.25" customHeight="1" x14ac:dyDescent="0.25">
      <c r="A243" s="517">
        <f>IF(C243="","",COUNT($A$221:A242)+1)</f>
        <v>22</v>
      </c>
      <c r="B243" s="620">
        <v>914001</v>
      </c>
      <c r="C243" s="525" t="s">
        <v>425</v>
      </c>
      <c r="D243" s="618"/>
      <c r="E243" s="1287">
        <f>+SUMIF(sdmixer!$A:$A,usage!B243,sdmixer!$E:$E)</f>
        <v>755.96</v>
      </c>
      <c r="F243" s="593"/>
      <c r="G243" s="594"/>
      <c r="H243" s="593"/>
      <c r="I243" s="595">
        <f t="shared" si="58"/>
        <v>755.96</v>
      </c>
      <c r="J243" s="529"/>
      <c r="L243" s="1286"/>
    </row>
    <row r="244" spans="1:12" ht="20.25" customHeight="1" x14ac:dyDescent="0.25">
      <c r="A244" s="517">
        <f>IF(C244="","",COUNT($A$221:A243)+1)</f>
        <v>23</v>
      </c>
      <c r="B244" s="620">
        <v>916001</v>
      </c>
      <c r="C244" s="562">
        <v>571</v>
      </c>
      <c r="D244" s="618"/>
      <c r="E244" s="1287">
        <f>+SUMIF(sdmixer!$A:$A,usage!B244,sdmixer!$E:$E)</f>
        <v>0</v>
      </c>
      <c r="F244" s="593"/>
      <c r="G244" s="594"/>
      <c r="H244" s="593"/>
      <c r="I244" s="595">
        <f t="shared" si="58"/>
        <v>0</v>
      </c>
      <c r="J244" s="529"/>
      <c r="L244" s="1286"/>
    </row>
    <row r="245" spans="1:12" ht="20.25" customHeight="1" x14ac:dyDescent="0.25">
      <c r="A245" s="517">
        <f>IF(C245="","",COUNT($A$221:A244)+1)</f>
        <v>24</v>
      </c>
      <c r="B245" s="620">
        <v>916002</v>
      </c>
      <c r="C245" s="526" t="s">
        <v>431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58"/>
        <v>0</v>
      </c>
      <c r="L245" s="1286"/>
    </row>
    <row r="246" spans="1:12" ht="20.25" customHeight="1" x14ac:dyDescent="0.25">
      <c r="A246" s="517">
        <f>IF(C246="","",COUNT($A$221:A245)+1)</f>
        <v>25</v>
      </c>
      <c r="B246" s="620">
        <v>916203</v>
      </c>
      <c r="C246" s="525" t="s">
        <v>432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58"/>
        <v>0</v>
      </c>
      <c r="J246" s="529"/>
      <c r="L246" s="1286"/>
    </row>
    <row r="247" spans="1:12" ht="20.25" customHeight="1" x14ac:dyDescent="0.25">
      <c r="A247" s="517">
        <f>IF(C247="","",COUNT($A$221:A246)+1)</f>
        <v>26</v>
      </c>
      <c r="B247" s="620">
        <v>916003</v>
      </c>
      <c r="C247" s="525" t="s">
        <v>433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58"/>
        <v>0</v>
      </c>
      <c r="J247" s="529"/>
      <c r="L247" s="1286"/>
    </row>
    <row r="248" spans="1:12" ht="20.25" customHeight="1" x14ac:dyDescent="0.25">
      <c r="A248" s="517">
        <f>IF(C248="","",COUNT($A$221:A247)+1)</f>
        <v>27</v>
      </c>
      <c r="B248" s="620">
        <v>917301</v>
      </c>
      <c r="C248" s="527" t="s">
        <v>1441</v>
      </c>
      <c r="D248" s="620"/>
      <c r="E248" s="1287">
        <f>+SUMIF(sdmixer!$A:$A,usage!B248,sdmixer!$E:$E)</f>
        <v>0</v>
      </c>
      <c r="F248" s="597"/>
      <c r="G248" s="600"/>
      <c r="H248" s="597"/>
      <c r="I248" s="595">
        <f t="shared" ref="I248" si="60">+E248+G248</f>
        <v>0</v>
      </c>
      <c r="J248" s="529"/>
      <c r="L248" s="1286"/>
    </row>
    <row r="249" spans="1:12" ht="20.25" customHeight="1" x14ac:dyDescent="0.25">
      <c r="A249" s="517">
        <f>IF(C249="","",COUNT($A$221:A248)+1)</f>
        <v>28</v>
      </c>
      <c r="B249" s="620">
        <v>911440</v>
      </c>
      <c r="C249" s="527" t="s">
        <v>1505</v>
      </c>
      <c r="D249" s="620"/>
      <c r="E249" s="1287">
        <f>+SUMIF(sdmixer!$A:$A,usage!B249,sdmixer!$E:$E)</f>
        <v>0</v>
      </c>
      <c r="F249" s="593"/>
      <c r="G249" s="594"/>
      <c r="H249" s="593"/>
      <c r="I249" s="595">
        <f t="shared" ref="I249:I252" si="61">+E249+G249</f>
        <v>0</v>
      </c>
      <c r="J249" s="529"/>
      <c r="L249" s="1286"/>
    </row>
    <row r="250" spans="1:12" ht="20.25" customHeight="1" x14ac:dyDescent="0.25">
      <c r="A250" s="517">
        <f>IF(C250="","",COUNT($A$221:A248)+1)</f>
        <v>28</v>
      </c>
      <c r="B250" s="620">
        <v>912501</v>
      </c>
      <c r="C250" s="527" t="s">
        <v>1506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" si="62">+E250+G250</f>
        <v>0</v>
      </c>
      <c r="J250" s="529"/>
      <c r="L250" s="1286"/>
    </row>
    <row r="251" spans="1:12" ht="20.25" customHeight="1" x14ac:dyDescent="0.25">
      <c r="A251" s="517">
        <f>IF(C251="","",COUNT($A$221:A249)+1)</f>
        <v>29</v>
      </c>
      <c r="B251" s="620">
        <v>550222</v>
      </c>
      <c r="C251" s="527" t="s">
        <v>2104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si="61"/>
        <v>0</v>
      </c>
      <c r="J251" s="529"/>
      <c r="L251" s="1286"/>
    </row>
    <row r="252" spans="1:12" ht="20.25" customHeight="1" x14ac:dyDescent="0.25">
      <c r="A252" s="517">
        <f>IF(C252="","",COUNT($A$221:A249)+1)</f>
        <v>29</v>
      </c>
      <c r="B252" s="620">
        <v>917302</v>
      </c>
      <c r="C252" s="1869" t="s">
        <v>1681</v>
      </c>
      <c r="D252" s="620"/>
      <c r="E252" s="1870">
        <f>+SUMIF(sdmixer!$A:$A,usage!B252,sdmixer!$E:$E)</f>
        <v>656.4</v>
      </c>
      <c r="F252" s="1848"/>
      <c r="G252" s="598"/>
      <c r="H252" s="1848"/>
      <c r="I252" s="1271">
        <f t="shared" si="61"/>
        <v>656.4</v>
      </c>
      <c r="J252" s="529"/>
      <c r="L252" s="1286"/>
    </row>
    <row r="253" spans="1:12" ht="20.25" customHeight="1" x14ac:dyDescent="0.25">
      <c r="A253" s="517">
        <f>IF(C253="","",COUNT($A$221:A251)+1)</f>
        <v>31</v>
      </c>
      <c r="B253" s="620">
        <v>916021</v>
      </c>
      <c r="C253" s="1871">
        <v>582</v>
      </c>
      <c r="D253" s="1872"/>
      <c r="E253" s="1857">
        <f>+SUMIF(sdmixer!$A:$A,usage!B253,sdmixer!$E:$E)</f>
        <v>0</v>
      </c>
      <c r="F253" s="1850"/>
      <c r="G253" s="1851"/>
      <c r="H253" s="1850"/>
      <c r="I253" s="1852">
        <f t="shared" si="58"/>
        <v>0</v>
      </c>
      <c r="J253" s="529"/>
      <c r="L253" s="1286"/>
    </row>
    <row r="254" spans="1:12" ht="25.5" customHeight="1" thickBot="1" x14ac:dyDescent="0.3">
      <c r="A254" s="2246" t="s">
        <v>436</v>
      </c>
      <c r="B254" s="2247"/>
      <c r="C254" s="2248"/>
      <c r="D254" s="622"/>
      <c r="E254" s="2249">
        <f>+SUM(E222:F253)</f>
        <v>3857.61</v>
      </c>
      <c r="F254" s="2250"/>
      <c r="G254" s="2251">
        <f>+SUM(G222:H253)</f>
        <v>0</v>
      </c>
      <c r="H254" s="2252"/>
      <c r="I254" s="601">
        <f>+E254+G254</f>
        <v>3857.61</v>
      </c>
      <c r="J254" s="529"/>
    </row>
    <row r="255" spans="1:12" ht="35.25" customHeight="1" thickBot="1" x14ac:dyDescent="0.3">
      <c r="A255" s="2245" t="s">
        <v>437</v>
      </c>
      <c r="B255" s="2245"/>
      <c r="C255" s="2245"/>
      <c r="D255" s="2245"/>
      <c r="E255" s="2242">
        <f>+E69+E221+E254</f>
        <v>2193025.48</v>
      </c>
      <c r="F255" s="2243"/>
      <c r="G255" s="2242">
        <f>+G69+G221+G254</f>
        <v>0</v>
      </c>
      <c r="H255" s="2244"/>
      <c r="I255" s="602">
        <f>+E255+G255</f>
        <v>2193025.48</v>
      </c>
      <c r="J255" s="529"/>
    </row>
    <row r="256" spans="1:12" x14ac:dyDescent="0.25">
      <c r="J256" s="529"/>
    </row>
    <row r="257" spans="6:10" x14ac:dyDescent="0.25">
      <c r="F257" s="529"/>
      <c r="G257" s="529"/>
      <c r="J257" s="529"/>
    </row>
    <row r="258" spans="6:10" x14ac:dyDescent="0.25">
      <c r="F258"/>
      <c r="G258" s="529"/>
      <c r="J258" s="529"/>
    </row>
    <row r="259" spans="6:10" x14ac:dyDescent="0.25">
      <c r="F259" s="529"/>
      <c r="G259" s="529"/>
      <c r="J259" s="529"/>
    </row>
    <row r="260" spans="6:10" x14ac:dyDescent="0.25">
      <c r="F260" s="1230"/>
      <c r="I260" s="529"/>
      <c r="J260" s="546"/>
    </row>
    <row r="261" spans="6:10" x14ac:dyDescent="0.25">
      <c r="I261" s="529"/>
    </row>
    <row r="262" spans="6:10" x14ac:dyDescent="0.25">
      <c r="I262" s="529"/>
    </row>
    <row r="263" spans="6:10" ht="24.75" customHeight="1" x14ac:dyDescent="0.25"/>
    <row r="264" spans="6:10" hidden="1" x14ac:dyDescent="0.25">
      <c r="I264" s="278">
        <f>+E68+I221+I254</f>
        <v>2162358.48</v>
      </c>
    </row>
    <row r="265" spans="6:10" hidden="1" x14ac:dyDescent="0.25">
      <c r="I265" s="278">
        <f>+I264+60388.78+13631.4+13094.72+60.3+24494+786-71-12480-117+92.4</f>
        <v>2262238.0799999996</v>
      </c>
    </row>
    <row r="266" spans="6:10" hidden="1" x14ac:dyDescent="0.25">
      <c r="I266" s="278">
        <v>2116259.9700000002</v>
      </c>
    </row>
    <row r="267" spans="6:10" hidden="1" x14ac:dyDescent="0.25">
      <c r="I267" s="278">
        <f>+I265-I266</f>
        <v>145978.1099999994</v>
      </c>
    </row>
    <row r="268" spans="6:10" hidden="1" x14ac:dyDescent="0.25"/>
  </sheetData>
  <mergeCells count="21">
    <mergeCell ref="E255:F255"/>
    <mergeCell ref="G255:H255"/>
    <mergeCell ref="A255:D255"/>
    <mergeCell ref="A254:C254"/>
    <mergeCell ref="E254:F254"/>
    <mergeCell ref="G254:H254"/>
    <mergeCell ref="J3:J4"/>
    <mergeCell ref="A221:C221"/>
    <mergeCell ref="E221:F221"/>
    <mergeCell ref="G221:H221"/>
    <mergeCell ref="A1:I1"/>
    <mergeCell ref="E3:F3"/>
    <mergeCell ref="G3:H3"/>
    <mergeCell ref="A3:A4"/>
    <mergeCell ref="C3:C4"/>
    <mergeCell ref="D3:D4"/>
    <mergeCell ref="I3:I4"/>
    <mergeCell ref="G69:H69"/>
    <mergeCell ref="E69:F69"/>
    <mergeCell ref="A68:D69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19" activePane="bottomLeft" state="frozen"/>
      <selection pane="bottomLeft" activeCell="G247" sqref="G247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1" t="s">
        <v>445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Q1" s="2151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2" t="s">
        <v>446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2152"/>
      <c r="O2" s="2152"/>
      <c r="P2" s="2152"/>
      <c r="Q2" s="2152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1484</v>
      </c>
      <c r="M3" s="1512"/>
      <c r="N3" s="1516" t="s">
        <v>1482</v>
      </c>
      <c r="O3" s="1458">
        <f>'Stock Rawmaterial'!N3</f>
        <v>46251</v>
      </c>
      <c r="P3" s="323" t="s">
        <v>463</v>
      </c>
      <c r="Q3" s="1517">
        <f>'Stock Rawmaterial'!P3</f>
        <v>46256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1485</v>
      </c>
      <c r="M4" s="7"/>
      <c r="N4" s="1516" t="s">
        <v>1482</v>
      </c>
      <c r="O4" s="1458">
        <f>'Stock Rawmaterial'!N4</f>
        <v>46258</v>
      </c>
      <c r="P4" s="323" t="s">
        <v>463</v>
      </c>
      <c r="Q4" s="1517">
        <f>'Stock Rawmaterial'!P4</f>
        <v>46263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1479</v>
      </c>
      <c r="B6" s="6" t="s">
        <v>1802</v>
      </c>
      <c r="C6" s="2171" t="s">
        <v>134</v>
      </c>
      <c r="D6" s="2171"/>
      <c r="E6" s="2171"/>
      <c r="F6" s="2171"/>
      <c r="G6" s="2171"/>
      <c r="H6" s="2171"/>
      <c r="I6" s="2171"/>
      <c r="J6" s="2171"/>
      <c r="K6" s="2171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1480</v>
      </c>
      <c r="B7" s="6" t="s">
        <v>1804</v>
      </c>
      <c r="C7" s="2171" t="s">
        <v>1449</v>
      </c>
      <c r="D7" s="2171"/>
      <c r="E7" s="2171"/>
      <c r="F7" s="2171"/>
      <c r="G7" s="2171"/>
      <c r="H7" s="2171"/>
      <c r="I7" s="2171"/>
      <c r="J7" s="2171"/>
      <c r="K7" s="2171"/>
      <c r="L7" s="1503" t="s">
        <v>1483</v>
      </c>
      <c r="M7" s="386">
        <f>'Stock Rawmaterial'!L7</f>
        <v>46261</v>
      </c>
      <c r="N7" s="2176" t="s">
        <v>1463</v>
      </c>
      <c r="O7" s="2177"/>
      <c r="P7" s="2174" t="s">
        <v>1465</v>
      </c>
      <c r="Q7" s="2175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79" t="s">
        <v>1464</v>
      </c>
      <c r="O8" s="2180"/>
      <c r="P8" s="2172" t="s">
        <v>1466</v>
      </c>
      <c r="Q8" s="2173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3"/>
      <c r="B10" s="2153"/>
      <c r="C10" s="21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  <c r="O10" s="2153"/>
      <c r="P10" s="2153"/>
      <c r="Q10" s="2153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4" t="s">
        <v>1450</v>
      </c>
      <c r="B12" s="2139" t="s">
        <v>1</v>
      </c>
      <c r="C12" s="2167" t="s">
        <v>41</v>
      </c>
      <c r="D12" s="2145" t="s">
        <v>1448</v>
      </c>
      <c r="E12" s="2165"/>
      <c r="F12" s="2297" t="s">
        <v>6</v>
      </c>
      <c r="G12" s="2264" t="s">
        <v>1489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81" t="s">
        <v>1459</v>
      </c>
      <c r="P12" s="1506" t="s">
        <v>314</v>
      </c>
      <c r="Q12" s="2134" t="s">
        <v>1459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55"/>
      <c r="B13" s="2140"/>
      <c r="C13" s="2168"/>
      <c r="D13" s="2146"/>
      <c r="E13" s="2166"/>
      <c r="F13" s="2298"/>
      <c r="G13" s="2265"/>
      <c r="H13" s="1684" t="s">
        <v>1456</v>
      </c>
      <c r="I13" s="1499" t="s">
        <v>1486</v>
      </c>
      <c r="J13" s="1498" t="s">
        <v>1467</v>
      </c>
      <c r="K13" s="1522" t="s">
        <v>1462</v>
      </c>
      <c r="L13" s="1498" t="s">
        <v>1468</v>
      </c>
      <c r="M13" s="1498" t="s">
        <v>1457</v>
      </c>
      <c r="N13" s="1523" t="s">
        <v>1458</v>
      </c>
      <c r="O13" s="2182"/>
      <c r="P13" s="1523" t="s">
        <v>1461</v>
      </c>
      <c r="Q13" s="2135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3" t="s">
        <v>1451</v>
      </c>
      <c r="B14" s="2141" t="s">
        <v>1452</v>
      </c>
      <c r="C14" s="2145" t="s">
        <v>1453</v>
      </c>
      <c r="D14" s="2143" t="s">
        <v>1454</v>
      </c>
      <c r="E14" s="2147"/>
      <c r="F14" s="2149" t="s">
        <v>1455</v>
      </c>
      <c r="G14" s="2262" t="s">
        <v>1488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3" t="s">
        <v>1460</v>
      </c>
      <c r="P14" s="1501" t="s">
        <v>308</v>
      </c>
      <c r="Q14" s="2141" t="s">
        <v>1460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4"/>
      <c r="B15" s="2142"/>
      <c r="C15" s="2146"/>
      <c r="D15" s="2144"/>
      <c r="E15" s="2148"/>
      <c r="F15" s="2150"/>
      <c r="G15" s="2263"/>
      <c r="H15" s="1685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24" t="s">
        <v>1469</v>
      </c>
      <c r="N15" s="1508" t="s">
        <v>1470</v>
      </c>
      <c r="O15" s="2146"/>
      <c r="P15" s="1525" t="s">
        <v>1470</v>
      </c>
      <c r="Q15" s="2142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4">
        <f>IF(M24=0,"",MAX($A$15:A15)+1)</f>
        <v>1</v>
      </c>
      <c r="B16" s="2293" t="s">
        <v>614</v>
      </c>
      <c r="C16" s="160">
        <f>+'Stock Rawmaterial'!C777</f>
        <v>0</v>
      </c>
      <c r="D16" s="959" t="s">
        <v>10</v>
      </c>
      <c r="E16" s="935">
        <f>+'Stock Rawmaterial'!E777</f>
        <v>45295</v>
      </c>
      <c r="F16" s="75">
        <f>+'Stock Rawmaterial'!F777</f>
        <v>966</v>
      </c>
      <c r="G16" s="1686"/>
      <c r="H16" s="80"/>
      <c r="I16" s="80">
        <f>+'Stock Rawmaterial'!H777</f>
        <v>0</v>
      </c>
      <c r="J16" s="80">
        <f>+'Stock Rawmaterial'!I777</f>
        <v>0</v>
      </c>
      <c r="K16" s="1575">
        <f>+'Stock Rawmaterial'!J777</f>
        <v>0</v>
      </c>
      <c r="L16" s="80">
        <f>+'Stock Rawmaterial'!K777</f>
        <v>0</v>
      </c>
      <c r="M16" s="1576">
        <f>+'Stock Rawmaterial'!L777</f>
        <v>0</v>
      </c>
      <c r="N16" s="287"/>
      <c r="O16" s="208"/>
      <c r="P16" s="287"/>
      <c r="Q16" s="68">
        <f>+'Stock Rawmaterial'!K777</f>
        <v>0</v>
      </c>
      <c r="R16" s="461"/>
      <c r="S16" s="328"/>
      <c r="T16" s="462"/>
    </row>
    <row r="17" spans="1:20" s="13" customFormat="1" ht="30" hidden="1" customHeight="1" x14ac:dyDescent="0.2">
      <c r="A17" s="2025"/>
      <c r="B17" s="2294"/>
      <c r="C17" s="160">
        <f>+'Stock Rawmaterial'!C778</f>
        <v>0</v>
      </c>
      <c r="D17" s="959" t="s">
        <v>10</v>
      </c>
      <c r="E17" s="935">
        <f>+'Stock Rawmaterial'!E778</f>
        <v>45755</v>
      </c>
      <c r="F17" s="75">
        <f>+'Stock Rawmaterial'!F778</f>
        <v>506</v>
      </c>
      <c r="G17" s="1686">
        <v>46341</v>
      </c>
      <c r="H17" s="80">
        <f>+'Stock Rawmaterial'!G778</f>
        <v>0</v>
      </c>
      <c r="I17" s="80">
        <f>+'Stock Rawmaterial'!H778</f>
        <v>0</v>
      </c>
      <c r="J17" s="80">
        <f>+'Stock Rawmaterial'!I778</f>
        <v>0</v>
      </c>
      <c r="K17" s="1575">
        <f>+'Stock Rawmaterial'!J778</f>
        <v>0</v>
      </c>
      <c r="L17" s="80">
        <f>+'Stock Rawmaterial'!K778</f>
        <v>0</v>
      </c>
      <c r="M17" s="1672">
        <f>+'Stock Rawmaterial'!L778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5"/>
      <c r="B18" s="2294"/>
      <c r="C18" s="160">
        <f>+'Stock Rawmaterial'!C779</f>
        <v>0</v>
      </c>
      <c r="D18" s="959" t="s">
        <v>10</v>
      </c>
      <c r="E18" s="935">
        <f>+'Stock Rawmaterial'!E779</f>
        <v>45771</v>
      </c>
      <c r="F18" s="75">
        <f>+'Stock Rawmaterial'!F779</f>
        <v>490</v>
      </c>
      <c r="G18" s="1686">
        <v>46341</v>
      </c>
      <c r="H18" s="80">
        <f>+'Stock Rawmaterial'!G779</f>
        <v>0</v>
      </c>
      <c r="I18" s="80">
        <f>+'Stock Rawmaterial'!H779</f>
        <v>0</v>
      </c>
      <c r="J18" s="80">
        <f>+'Stock Rawmaterial'!I779</f>
        <v>0</v>
      </c>
      <c r="K18" s="1575">
        <f>+'Stock Rawmaterial'!J779</f>
        <v>0</v>
      </c>
      <c r="L18" s="80">
        <f>+'Stock Rawmaterial'!K779</f>
        <v>0</v>
      </c>
      <c r="M18" s="1672">
        <f>+'Stock Rawmaterial'!L779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customHeight="1" x14ac:dyDescent="0.2">
      <c r="A19" s="2025"/>
      <c r="B19" s="2294"/>
      <c r="C19" s="160">
        <f>+'Stock Rawmaterial'!C780</f>
        <v>0</v>
      </c>
      <c r="D19" s="959" t="s">
        <v>10</v>
      </c>
      <c r="E19" s="935">
        <f>+'Stock Rawmaterial'!E780</f>
        <v>46211</v>
      </c>
      <c r="F19" s="75">
        <f>+'Stock Rawmaterial'!F780</f>
        <v>50</v>
      </c>
      <c r="G19" s="1954">
        <v>46789</v>
      </c>
      <c r="H19" s="80">
        <f>+'Stock Rawmaterial'!G780</f>
        <v>0</v>
      </c>
      <c r="I19" s="80">
        <f>+'Stock Rawmaterial'!H780</f>
        <v>0</v>
      </c>
      <c r="J19" s="80">
        <f>+'Stock Rawmaterial'!I780</f>
        <v>0</v>
      </c>
      <c r="K19" s="1575">
        <f>+'Stock Rawmaterial'!J780</f>
        <v>0</v>
      </c>
      <c r="L19" s="80">
        <f>+'Stock Rawmaterial'!K780</f>
        <v>0</v>
      </c>
      <c r="M19" s="1672">
        <f>+'Stock Rawmaterial'!L780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5"/>
      <c r="B20" s="2294"/>
      <c r="C20" s="160" t="str">
        <f>+'Stock Rawmaterial'!C781</f>
        <v>E1</v>
      </c>
      <c r="D20" s="959" t="s">
        <v>10</v>
      </c>
      <c r="E20" s="935">
        <f>+'Stock Rawmaterial'!E781</f>
        <v>46232</v>
      </c>
      <c r="F20" s="75">
        <f>+'Stock Rawmaterial'!F781</f>
        <v>29</v>
      </c>
      <c r="G20" s="1954">
        <v>46805</v>
      </c>
      <c r="H20" s="80">
        <f>+'Stock Rawmaterial'!G781</f>
        <v>1050</v>
      </c>
      <c r="I20" s="80">
        <f>+'Stock Rawmaterial'!H781</f>
        <v>0</v>
      </c>
      <c r="J20" s="80">
        <f>+'Stock Rawmaterial'!I781</f>
        <v>0</v>
      </c>
      <c r="K20" s="1575">
        <f>+'Stock Rawmaterial'!J781</f>
        <v>0</v>
      </c>
      <c r="L20" s="80">
        <f>+'Stock Rawmaterial'!K781</f>
        <v>100</v>
      </c>
      <c r="M20" s="1672">
        <f>+'Stock Rawmaterial'!L781</f>
        <v>950</v>
      </c>
      <c r="N20" s="287"/>
      <c r="O20" s="208"/>
      <c r="P20" s="287"/>
      <c r="Q20" s="68"/>
      <c r="R20" s="461"/>
      <c r="S20" s="328"/>
      <c r="T20" s="462"/>
    </row>
    <row r="21" spans="1:20" s="13" customFormat="1" ht="30" hidden="1" customHeight="1" x14ac:dyDescent="0.2">
      <c r="A21" s="2025"/>
      <c r="B21" s="2295"/>
      <c r="C21" s="160" t="str">
        <f>+'Stock Rawmaterial'!C782</f>
        <v>E2</v>
      </c>
      <c r="D21" s="959" t="s">
        <v>10</v>
      </c>
      <c r="E21" s="935">
        <f>+'Stock Rawmaterial'!E782</f>
        <v>46254</v>
      </c>
      <c r="F21" s="75">
        <f>+'Stock Rawmaterial'!F782</f>
        <v>7</v>
      </c>
      <c r="G21" s="1954">
        <v>46788</v>
      </c>
      <c r="H21" s="80">
        <f>+'Stock Rawmaterial'!G782</f>
        <v>2000</v>
      </c>
      <c r="I21" s="80">
        <f>+'Stock Rawmaterial'!H782</f>
        <v>0</v>
      </c>
      <c r="J21" s="80">
        <f>+'Stock Rawmaterial'!I782</f>
        <v>0</v>
      </c>
      <c r="K21" s="1575">
        <f>+'Stock Rawmaterial'!J782</f>
        <v>0</v>
      </c>
      <c r="L21" s="80">
        <f>+'Stock Rawmaterial'!K782</f>
        <v>0</v>
      </c>
      <c r="M21" s="1672">
        <f>+'Stock Rawmaterial'!L782</f>
        <v>2000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hidden="1" customHeight="1" x14ac:dyDescent="0.2">
      <c r="A22" s="2025"/>
      <c r="B22" s="2295"/>
      <c r="C22" s="160">
        <f>+'Stock Rawmaterial'!C783</f>
        <v>0</v>
      </c>
      <c r="D22" s="959" t="s">
        <v>10</v>
      </c>
      <c r="E22" s="935">
        <f>+'Stock Rawmaterial'!E783</f>
        <v>0</v>
      </c>
      <c r="F22" s="75">
        <f>+'Stock Rawmaterial'!F783</f>
        <v>0</v>
      </c>
      <c r="G22" s="1954">
        <v>46615</v>
      </c>
      <c r="H22" s="80">
        <f>+'Stock Rawmaterial'!G783</f>
        <v>0</v>
      </c>
      <c r="I22" s="80">
        <f>+'Stock Rawmaterial'!H783</f>
        <v>0</v>
      </c>
      <c r="J22" s="80">
        <f>+'Stock Rawmaterial'!I783</f>
        <v>0</v>
      </c>
      <c r="K22" s="1575">
        <f>+'Stock Rawmaterial'!J783</f>
        <v>0</v>
      </c>
      <c r="L22" s="80">
        <f>+'Stock Rawmaterial'!K783</f>
        <v>0</v>
      </c>
      <c r="M22" s="1672">
        <f>+'Stock Rawmaterial'!L783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6"/>
      <c r="B23" s="2296"/>
      <c r="C23" s="1690" t="str">
        <f>+'Stock Rawmaterial'!C784</f>
        <v>Feedmill</v>
      </c>
      <c r="D23" s="1691" t="s">
        <v>10</v>
      </c>
      <c r="E23" s="1692">
        <f>+'Stock Rawmaterial'!E784</f>
        <v>46232</v>
      </c>
      <c r="F23" s="566">
        <f>+'Stock Rawmaterial'!F784</f>
        <v>29</v>
      </c>
      <c r="G23" s="1955">
        <v>46789</v>
      </c>
      <c r="H23" s="567">
        <f>+'Stock Rawmaterial'!G784</f>
        <v>217.47000000000008</v>
      </c>
      <c r="I23" s="567">
        <f>+'Stock Rawmaterial'!H784</f>
        <v>0</v>
      </c>
      <c r="J23" s="567">
        <f>+'Stock Rawmaterial'!I784</f>
        <v>100</v>
      </c>
      <c r="K23" s="1694">
        <f>+'Stock Rawmaterial'!J784</f>
        <v>29.84</v>
      </c>
      <c r="L23" s="567">
        <f>+'Stock Rawmaterial'!K784</f>
        <v>0</v>
      </c>
      <c r="M23" s="1695">
        <f>+'Stock Rawmaterial'!L784</f>
        <v>287.63000000000011</v>
      </c>
      <c r="N23" s="629"/>
      <c r="O23" s="630"/>
      <c r="P23" s="629"/>
      <c r="Q23" s="628">
        <f>+'Stock Rawmaterial'!K784</f>
        <v>0</v>
      </c>
      <c r="R23" s="475"/>
      <c r="S23" s="220"/>
      <c r="T23" s="476"/>
    </row>
    <row r="24" spans="1:20" s="265" customFormat="1" ht="30" customHeight="1" x14ac:dyDescent="0.2">
      <c r="A24" s="2022" t="s">
        <v>615</v>
      </c>
      <c r="B24" s="2023"/>
      <c r="C24" s="88"/>
      <c r="D24" s="864"/>
      <c r="E24" s="864"/>
      <c r="F24" s="865"/>
      <c r="G24" s="865"/>
      <c r="H24" s="1577">
        <f>SUM(H16:H23)</f>
        <v>3267.4700000000003</v>
      </c>
      <c r="I24" s="1577">
        <f t="shared" ref="I24:M24" si="0">SUM(I16:I23)</f>
        <v>0</v>
      </c>
      <c r="J24" s="1577">
        <f t="shared" si="0"/>
        <v>100</v>
      </c>
      <c r="K24" s="1577">
        <f t="shared" si="0"/>
        <v>29.84</v>
      </c>
      <c r="L24" s="1577">
        <f t="shared" si="0"/>
        <v>100</v>
      </c>
      <c r="M24" s="1577">
        <f t="shared" si="0"/>
        <v>3237.63</v>
      </c>
      <c r="N24" s="133">
        <f>'Stock Rawmaterial'!M785</f>
        <v>178.52166666666668</v>
      </c>
      <c r="O24" s="133">
        <f>'Stock Rawmaterial'!N785</f>
        <v>18.135781837872152</v>
      </c>
      <c r="P24" s="133">
        <f>'Stock Rawmaterial'!O785</f>
        <v>71.333333333333329</v>
      </c>
      <c r="Q24" s="133">
        <f>'Stock Rawmaterial'!P785</f>
        <v>45.387336448598134</v>
      </c>
      <c r="R24" s="466"/>
      <c r="S24" s="264"/>
      <c r="T24" s="467"/>
    </row>
    <row r="25" spans="1:20" s="13" customFormat="1" ht="30" hidden="1" customHeight="1" x14ac:dyDescent="0.2">
      <c r="A25" s="2024" t="str">
        <f>IF(M32=0,"",MAX($A$15:A24)+1)</f>
        <v/>
      </c>
      <c r="B25" s="2268" t="s">
        <v>454</v>
      </c>
      <c r="C25" s="160" t="str">
        <f>+'Stock Rawmaterial'!C792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Rawmaterial'!K792</f>
        <v>0</v>
      </c>
      <c r="R25" s="461"/>
      <c r="S25" s="328"/>
      <c r="T25" s="462"/>
    </row>
    <row r="26" spans="1:20" s="13" customFormat="1" ht="30" hidden="1" customHeight="1" x14ac:dyDescent="0.2">
      <c r="A26" s="2025"/>
      <c r="B26" s="2269"/>
      <c r="C26" s="160" t="str">
        <f>+'Stock Rawmaterial'!C793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Rawmaterial'!K793</f>
        <v>0</v>
      </c>
      <c r="R26" s="461"/>
      <c r="S26" s="328"/>
      <c r="T26" s="462"/>
    </row>
    <row r="27" spans="1:20" s="13" customFormat="1" ht="30" hidden="1" customHeight="1" x14ac:dyDescent="0.2">
      <c r="A27" s="2025"/>
      <c r="B27" s="2269"/>
      <c r="C27" s="160" t="str">
        <f>+'Stock Rawmaterial'!C794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Rawmaterial'!K794</f>
        <v>0</v>
      </c>
      <c r="R27" s="461"/>
      <c r="S27" s="328"/>
      <c r="T27" s="462"/>
    </row>
    <row r="28" spans="1:20" s="13" customFormat="1" ht="30" hidden="1" customHeight="1" x14ac:dyDescent="0.2">
      <c r="A28" s="2025"/>
      <c r="B28" s="2269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Rawmaterial'!K795</f>
        <v>0</v>
      </c>
      <c r="R28" s="461"/>
      <c r="S28" s="328"/>
      <c r="T28" s="462"/>
    </row>
    <row r="29" spans="1:20" s="13" customFormat="1" ht="30" hidden="1" customHeight="1" x14ac:dyDescent="0.2">
      <c r="A29" s="2025"/>
      <c r="B29" s="2269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Rawmaterial'!K796</f>
        <v>0</v>
      </c>
      <c r="R29" s="461"/>
      <c r="S29" s="328"/>
      <c r="T29" s="462"/>
    </row>
    <row r="30" spans="1:20" s="13" customFormat="1" ht="30" hidden="1" customHeight="1" x14ac:dyDescent="0.2">
      <c r="A30" s="2025"/>
      <c r="B30" s="2269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Rawmaterial'!K797</f>
        <v>0</v>
      </c>
      <c r="R30" s="461"/>
      <c r="S30" s="328"/>
      <c r="T30" s="462"/>
    </row>
    <row r="31" spans="1:20" s="14" customFormat="1" ht="30" hidden="1" customHeight="1" x14ac:dyDescent="0.2">
      <c r="A31" s="2026"/>
      <c r="B31" s="2270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Rawmaterial'!K798</f>
        <v>0</v>
      </c>
      <c r="R31" s="475"/>
      <c r="S31" s="220"/>
      <c r="T31" s="476"/>
    </row>
    <row r="32" spans="1:20" s="265" customFormat="1" ht="30" hidden="1" customHeight="1" x14ac:dyDescent="0.2">
      <c r="A32" s="2271" t="s">
        <v>222</v>
      </c>
      <c r="B32" s="2039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4">
        <f>IF(M39=0,"",MAX($A$15:A32)+1)</f>
        <v>2</v>
      </c>
      <c r="B33" s="2156" t="s">
        <v>455</v>
      </c>
      <c r="C33" s="139">
        <f>+'Stock Rawmaterial'!C996</f>
        <v>0</v>
      </c>
      <c r="D33" s="959" t="str">
        <f>+'Stock Rawmaterial'!D996</f>
        <v>Rec.</v>
      </c>
      <c r="E33" s="961">
        <f>+'Stock Rawmaterial'!E996</f>
        <v>46039</v>
      </c>
      <c r="F33" s="938">
        <f>+'Stock Rawmaterial'!F996</f>
        <v>222</v>
      </c>
      <c r="G33" s="1955">
        <v>47094</v>
      </c>
      <c r="H33" s="77">
        <f>+'Stock Rawmaterial'!G996</f>
        <v>0</v>
      </c>
      <c r="I33" s="986">
        <f>+'Stock Rawmaterial'!H996</f>
        <v>0</v>
      </c>
      <c r="J33" s="82">
        <f>+'Stock Rawmaterial'!I996</f>
        <v>0</v>
      </c>
      <c r="K33" s="1588">
        <f>+'Stock Rawmaterial'!J996</f>
        <v>0</v>
      </c>
      <c r="L33" s="77">
        <f>+'Stock Rawmaterial'!K996</f>
        <v>0</v>
      </c>
      <c r="M33" s="1672">
        <f>+'Stock Rawmaterial'!L996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5"/>
      <c r="B34" s="2158"/>
      <c r="C34" s="139">
        <f>+'Stock Rawmaterial'!C997</f>
        <v>0</v>
      </c>
      <c r="D34" s="959" t="str">
        <f>+'Stock Rawmaterial'!D997</f>
        <v>Rec.</v>
      </c>
      <c r="E34" s="961">
        <f>+'Stock Rawmaterial'!E997</f>
        <v>46079</v>
      </c>
      <c r="F34" s="938">
        <f>+'Stock Rawmaterial'!F997</f>
        <v>182</v>
      </c>
      <c r="G34" s="1954">
        <v>47132</v>
      </c>
      <c r="H34" s="77">
        <f>+'Stock Rawmaterial'!G997</f>
        <v>0</v>
      </c>
      <c r="I34" s="986">
        <f>+'Stock Rawmaterial'!H997</f>
        <v>0</v>
      </c>
      <c r="J34" s="82">
        <f>+'Stock Rawmaterial'!I997</f>
        <v>0</v>
      </c>
      <c r="K34" s="1588">
        <f>+'Stock Rawmaterial'!J997</f>
        <v>0</v>
      </c>
      <c r="L34" s="77">
        <f>+'Stock Rawmaterial'!K997</f>
        <v>0</v>
      </c>
      <c r="M34" s="1672">
        <f>+'Stock Rawmaterial'!L997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25"/>
      <c r="B35" s="2158"/>
      <c r="C35" s="139" t="str">
        <f>+'Stock Rawmaterial'!C998</f>
        <v>E1</v>
      </c>
      <c r="D35" s="959" t="str">
        <f>+'Stock Rawmaterial'!D998</f>
        <v>Rec.</v>
      </c>
      <c r="E35" s="961">
        <f>+'Stock Rawmaterial'!E998</f>
        <v>46199</v>
      </c>
      <c r="F35" s="938">
        <f>+'Stock Rawmaterial'!F998</f>
        <v>62</v>
      </c>
      <c r="G35" s="1954">
        <v>47217</v>
      </c>
      <c r="H35" s="77">
        <f>+'Stock Rawmaterial'!G998</f>
        <v>0</v>
      </c>
      <c r="I35" s="986">
        <f>+'Stock Rawmaterial'!H998</f>
        <v>0</v>
      </c>
      <c r="J35" s="82">
        <f>+'Stock Rawmaterial'!I998</f>
        <v>0</v>
      </c>
      <c r="K35" s="1588">
        <f>+'Stock Rawmaterial'!J998</f>
        <v>0</v>
      </c>
      <c r="L35" s="77">
        <f>+'Stock Rawmaterial'!K998</f>
        <v>0</v>
      </c>
      <c r="M35" s="1672">
        <f>+'Stock Rawmaterial'!L998</f>
        <v>0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25"/>
      <c r="B36" s="2159"/>
      <c r="C36" s="139" t="str">
        <f>+'Stock Rawmaterial'!C999</f>
        <v>E1</v>
      </c>
      <c r="D36" s="959" t="str">
        <f>+'Stock Rawmaterial'!D999</f>
        <v>Rec.</v>
      </c>
      <c r="E36" s="961">
        <f>+'Stock Rawmaterial'!E999</f>
        <v>46247</v>
      </c>
      <c r="F36" s="938">
        <f>+'Stock Rawmaterial'!F999</f>
        <v>14</v>
      </c>
      <c r="G36" s="1954">
        <v>47221</v>
      </c>
      <c r="H36" s="77">
        <f>+'Stock Rawmaterial'!G999</f>
        <v>375</v>
      </c>
      <c r="I36" s="986">
        <f>+'Stock Rawmaterial'!H999</f>
        <v>0</v>
      </c>
      <c r="J36" s="82">
        <f>+'Stock Rawmaterial'!I999</f>
        <v>0</v>
      </c>
      <c r="K36" s="1588">
        <f>+'Stock Rawmaterial'!J999</f>
        <v>0</v>
      </c>
      <c r="L36" s="77">
        <f>+'Stock Rawmaterial'!K999</f>
        <v>0</v>
      </c>
      <c r="M36" s="1672">
        <f>+'Stock Rawmaterial'!L999</f>
        <v>375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5"/>
      <c r="B37" s="2159"/>
      <c r="C37" s="139">
        <f>+'Stock Rawmaterial'!C1000</f>
        <v>0</v>
      </c>
      <c r="D37" s="959" t="str">
        <f>+'Stock Rawmaterial'!D1000</f>
        <v>Rec.</v>
      </c>
      <c r="E37" s="961">
        <f>+'Stock Rawmaterial'!E1000</f>
        <v>45933</v>
      </c>
      <c r="F37" s="938">
        <f>+'Stock Rawmaterial'!F1000</f>
        <v>328</v>
      </c>
      <c r="G37" s="1954">
        <v>46983</v>
      </c>
      <c r="H37" s="77">
        <f>+'Stock Rawmaterial'!G1000</f>
        <v>0</v>
      </c>
      <c r="I37" s="986">
        <f>+'Stock Rawmaterial'!H1000</f>
        <v>0</v>
      </c>
      <c r="J37" s="82">
        <f>+'Stock Rawmaterial'!I1000</f>
        <v>0</v>
      </c>
      <c r="K37" s="1588">
        <f>+'Stock Rawmaterial'!J1000</f>
        <v>0</v>
      </c>
      <c r="L37" s="77">
        <f>+'Stock Rawmaterial'!K1000</f>
        <v>0</v>
      </c>
      <c r="M37" s="1672">
        <f>+'Stock Rawmaterial'!L1000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26"/>
      <c r="B38" s="2160"/>
      <c r="C38" s="1153" t="str">
        <f>+'Stock Rawmaterial'!C1001</f>
        <v>Feedmill</v>
      </c>
      <c r="D38" s="1691" t="str">
        <f>+'Stock Rawmaterial'!D1001</f>
        <v>Rec.</v>
      </c>
      <c r="E38" s="1696">
        <f>+'Stock Rawmaterial'!E1001</f>
        <v>46199</v>
      </c>
      <c r="F38" s="566">
        <f>+'Stock Rawmaterial'!F1001</f>
        <v>62</v>
      </c>
      <c r="G38" s="1955">
        <v>47217</v>
      </c>
      <c r="H38" s="1697">
        <f>+'Stock Rawmaterial'!G1001</f>
        <v>4.5899999999999466</v>
      </c>
      <c r="I38" s="567">
        <f>+'Stock Rawmaterial'!H1001</f>
        <v>0</v>
      </c>
      <c r="J38" s="567">
        <f>+'Stock Rawmaterial'!I1001</f>
        <v>0</v>
      </c>
      <c r="K38" s="1694">
        <f>+'Stock Rawmaterial'!J1001</f>
        <v>0</v>
      </c>
      <c r="L38" s="1697">
        <f>+'Stock Rawmaterial'!K1001</f>
        <v>0</v>
      </c>
      <c r="M38" s="1695">
        <f>+'Stock Rawmaterial'!L1001</f>
        <v>4.5899999999999466</v>
      </c>
      <c r="N38" s="307"/>
      <c r="O38" s="281"/>
      <c r="P38" s="329"/>
      <c r="Q38" s="332">
        <f>+'Stock Rawmaterial'!K1001</f>
        <v>0</v>
      </c>
      <c r="R38" s="469"/>
      <c r="S38" s="437"/>
      <c r="T38" s="470"/>
    </row>
    <row r="39" spans="1:20" s="265" customFormat="1" ht="30" customHeight="1" x14ac:dyDescent="0.2">
      <c r="A39" s="2022" t="s">
        <v>61</v>
      </c>
      <c r="B39" s="2023"/>
      <c r="C39" s="88"/>
      <c r="D39" s="864"/>
      <c r="E39" s="864"/>
      <c r="F39" s="865"/>
      <c r="G39" s="865"/>
      <c r="H39" s="1577">
        <f t="shared" ref="H39:M39" si="2">SUM(H33:H38)</f>
        <v>379.58999999999992</v>
      </c>
      <c r="I39" s="1577">
        <f t="shared" si="2"/>
        <v>0</v>
      </c>
      <c r="J39" s="1577">
        <f t="shared" si="2"/>
        <v>0</v>
      </c>
      <c r="K39" s="1577">
        <f t="shared" si="2"/>
        <v>0</v>
      </c>
      <c r="L39" s="1577">
        <f t="shared" si="2"/>
        <v>0</v>
      </c>
      <c r="M39" s="1577">
        <f t="shared" si="2"/>
        <v>379.58999999999992</v>
      </c>
      <c r="N39" s="133">
        <f>'Stock Rawmaterial'!M1002</f>
        <v>38.186666666666667</v>
      </c>
      <c r="O39" s="133">
        <f>'Stock Rawmaterial'!N1002</f>
        <v>9.9403805865921768</v>
      </c>
      <c r="P39" s="133">
        <f>'Stock Rawmaterial'!O1002</f>
        <v>39.333333333333329</v>
      </c>
      <c r="Q39" s="133">
        <f>'Stock Rawmaterial'!P1002</f>
        <v>9.6505932203389815</v>
      </c>
      <c r="R39" s="466"/>
      <c r="S39" s="264"/>
      <c r="T39" s="467"/>
    </row>
    <row r="40" spans="1:20" s="409" customFormat="1" ht="30" hidden="1" customHeight="1" x14ac:dyDescent="0.2">
      <c r="A40" s="2024">
        <f>IF(M47=0,"",MAX($A$15:A39)+1)</f>
        <v>3</v>
      </c>
      <c r="B40" s="2156" t="s">
        <v>456</v>
      </c>
      <c r="C40" s="139">
        <f>+'Stock Rawmaterial'!C1051</f>
        <v>0</v>
      </c>
      <c r="D40" s="959" t="str">
        <f>+'Stock Rawmaterial'!D1051</f>
        <v>Rec.</v>
      </c>
      <c r="E40" s="961">
        <f>+'Stock Rawmaterial'!E1051</f>
        <v>45128</v>
      </c>
      <c r="F40" s="938">
        <f>+'Stock Rawmaterial'!F1051</f>
        <v>1133</v>
      </c>
      <c r="G40" s="1673"/>
      <c r="H40" s="77">
        <f>+'Stock Rawmaterial'!G1051</f>
        <v>0</v>
      </c>
      <c r="I40" s="986">
        <f>+'Stock Rawmaterial'!H1051</f>
        <v>0</v>
      </c>
      <c r="J40" s="82">
        <f>+'Stock Rawmaterial'!I1051</f>
        <v>0</v>
      </c>
      <c r="K40" s="1588">
        <f>+'Stock Rawmaterial'!J1051</f>
        <v>0</v>
      </c>
      <c r="L40" s="77">
        <f>+'Stock Rawmaterial'!K1051</f>
        <v>0</v>
      </c>
      <c r="M40" s="1672">
        <f>+'Stock Rawmaterial'!L1051</f>
        <v>0</v>
      </c>
      <c r="N40" s="335"/>
      <c r="O40" s="1636"/>
      <c r="P40" s="287"/>
      <c r="Q40" s="287">
        <f>+'Stock Rawmaterial'!K1051</f>
        <v>0</v>
      </c>
      <c r="R40" s="478"/>
      <c r="S40" s="338"/>
      <c r="T40" s="479"/>
    </row>
    <row r="41" spans="1:20" s="409" customFormat="1" ht="30" hidden="1" customHeight="1" x14ac:dyDescent="0.2">
      <c r="A41" s="2025"/>
      <c r="B41" s="2158"/>
      <c r="C41" s="139">
        <f>+'Stock Rawmaterial'!C1052</f>
        <v>0</v>
      </c>
      <c r="D41" s="959" t="str">
        <f>+'Stock Rawmaterial'!D1052</f>
        <v>Rec.</v>
      </c>
      <c r="E41" s="961">
        <f>+'Stock Rawmaterial'!E1052</f>
        <v>45680</v>
      </c>
      <c r="F41" s="938">
        <f>+'Stock Rawmaterial'!F1052</f>
        <v>581</v>
      </c>
      <c r="G41" s="1686">
        <v>46666</v>
      </c>
      <c r="H41" s="77">
        <f>+'Stock Rawmaterial'!G1052</f>
        <v>0</v>
      </c>
      <c r="I41" s="986">
        <f>+'Stock Rawmaterial'!H1052</f>
        <v>0</v>
      </c>
      <c r="J41" s="82">
        <f>+'Stock Rawmaterial'!I1052</f>
        <v>0</v>
      </c>
      <c r="K41" s="1588">
        <f>+'Stock Rawmaterial'!J1052</f>
        <v>0</v>
      </c>
      <c r="L41" s="77">
        <f>+'Stock Rawmaterial'!K1052</f>
        <v>0</v>
      </c>
      <c r="M41" s="1672">
        <f>+'Stock Rawmaterial'!L1052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5"/>
      <c r="B42" s="2158"/>
      <c r="C42" s="139">
        <f>+'Stock Rawmaterial'!C1053</f>
        <v>0</v>
      </c>
      <c r="D42" s="959" t="str">
        <f>+'Stock Rawmaterial'!D1053</f>
        <v>Rec.</v>
      </c>
      <c r="E42" s="961">
        <f>+'Stock Rawmaterial'!E1053</f>
        <v>45996</v>
      </c>
      <c r="F42" s="938">
        <f>+'Stock Rawmaterial'!F1053</f>
        <v>265</v>
      </c>
      <c r="G42" s="1686">
        <v>46781</v>
      </c>
      <c r="H42" s="77">
        <f>+'Stock Rawmaterial'!G1053</f>
        <v>0</v>
      </c>
      <c r="I42" s="986">
        <f>+'Stock Rawmaterial'!H1053</f>
        <v>0</v>
      </c>
      <c r="J42" s="82">
        <f>+'Stock Rawmaterial'!I1053</f>
        <v>0</v>
      </c>
      <c r="K42" s="1588">
        <f>+'Stock Rawmaterial'!J1053</f>
        <v>0</v>
      </c>
      <c r="L42" s="77">
        <f>+'Stock Rawmaterial'!K1053</f>
        <v>0</v>
      </c>
      <c r="M42" s="1672">
        <f>+'Stock Rawmaterial'!L1053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25"/>
      <c r="B43" s="2158"/>
      <c r="C43" s="139" t="str">
        <f>+'Stock Rawmaterial'!C1054</f>
        <v>E1</v>
      </c>
      <c r="D43" s="959" t="str">
        <f>+'Stock Rawmaterial'!D1054</f>
        <v>Rec.</v>
      </c>
      <c r="E43" s="961">
        <f>+'Stock Rawmaterial'!E1054</f>
        <v>46225</v>
      </c>
      <c r="F43" s="938">
        <f>+'Stock Rawmaterial'!F1054</f>
        <v>36</v>
      </c>
      <c r="G43" s="1954">
        <v>46802</v>
      </c>
      <c r="H43" s="77">
        <f>+'Stock Rawmaterial'!G1054</f>
        <v>320</v>
      </c>
      <c r="I43" s="986">
        <f>+'Stock Rawmaterial'!H1054</f>
        <v>0</v>
      </c>
      <c r="J43" s="82">
        <f>+'Stock Rawmaterial'!I1054</f>
        <v>0</v>
      </c>
      <c r="K43" s="1588">
        <f>+'Stock Rawmaterial'!J1054</f>
        <v>0</v>
      </c>
      <c r="L43" s="77">
        <f>+'Stock Rawmaterial'!K1054</f>
        <v>0</v>
      </c>
      <c r="M43" s="1672">
        <f>+'Stock Rawmaterial'!L1054</f>
        <v>320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25"/>
      <c r="B44" s="2158"/>
      <c r="C44" s="139" t="str">
        <f>+'Stock Rawmaterial'!C1055</f>
        <v>E1</v>
      </c>
      <c r="D44" s="959" t="str">
        <f>+'Stock Rawmaterial'!D1055</f>
        <v>Rec.</v>
      </c>
      <c r="E44" s="961">
        <f>+'Stock Rawmaterial'!E1055</f>
        <v>46254</v>
      </c>
      <c r="F44" s="938">
        <f>+'Stock Rawmaterial'!F1055</f>
        <v>7</v>
      </c>
      <c r="G44" s="1954">
        <v>46802</v>
      </c>
      <c r="H44" s="77">
        <f>+'Stock Rawmaterial'!G1055</f>
        <v>800</v>
      </c>
      <c r="I44" s="986">
        <f>+'Stock Rawmaterial'!H1055</f>
        <v>0</v>
      </c>
      <c r="J44" s="82">
        <f>+'Stock Rawmaterial'!I1055</f>
        <v>0</v>
      </c>
      <c r="K44" s="1588">
        <f>+'Stock Rawmaterial'!J1055</f>
        <v>0</v>
      </c>
      <c r="L44" s="77">
        <f>+'Stock Rawmaterial'!K1055</f>
        <v>0</v>
      </c>
      <c r="M44" s="1672">
        <f>+'Stock Rawmaterial'!L1055</f>
        <v>800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5"/>
      <c r="B45" s="2159"/>
      <c r="C45" s="139">
        <f>+'Stock Rawmaterial'!C1056</f>
        <v>0</v>
      </c>
      <c r="D45" s="959" t="str">
        <f>+'Stock Rawmaterial'!D1056</f>
        <v>Rec.</v>
      </c>
      <c r="E45" s="961">
        <f>+'Stock Rawmaterial'!E1056</f>
        <v>45821</v>
      </c>
      <c r="F45" s="938">
        <f>+'Stock Rawmaterial'!F1056</f>
        <v>440</v>
      </c>
      <c r="G45" s="1954">
        <v>46231</v>
      </c>
      <c r="H45" s="77">
        <f>+'Stock Rawmaterial'!G1056</f>
        <v>0</v>
      </c>
      <c r="I45" s="986">
        <f>+'Stock Rawmaterial'!H1056</f>
        <v>0</v>
      </c>
      <c r="J45" s="82">
        <f>+'Stock Rawmaterial'!I1056</f>
        <v>0</v>
      </c>
      <c r="K45" s="1588">
        <f>+'Stock Rawmaterial'!J1056</f>
        <v>0</v>
      </c>
      <c r="L45" s="77">
        <f>+'Stock Rawmaterial'!K1056</f>
        <v>0</v>
      </c>
      <c r="M45" s="1672">
        <f>+'Stock Rawmaterial'!L1056</f>
        <v>0</v>
      </c>
      <c r="N45" s="335"/>
      <c r="O45" s="1636"/>
      <c r="P45" s="287"/>
      <c r="Q45" s="287">
        <f>+'Stock Rawmaterial'!K1056</f>
        <v>0</v>
      </c>
      <c r="R45" s="478"/>
      <c r="S45" s="338"/>
      <c r="T45" s="479"/>
    </row>
    <row r="46" spans="1:20" s="401" customFormat="1" ht="30" customHeight="1" x14ac:dyDescent="0.2">
      <c r="A46" s="2026"/>
      <c r="B46" s="2160"/>
      <c r="C46" s="1153" t="str">
        <f>+'Stock Rawmaterial'!C1057</f>
        <v>Feedmill</v>
      </c>
      <c r="D46" s="1691" t="str">
        <f>+'Stock Rawmaterial'!D1057</f>
        <v>Rec.</v>
      </c>
      <c r="E46" s="1696">
        <f>+'Stock Rawmaterial'!E1057</f>
        <v>46225</v>
      </c>
      <c r="F46" s="566">
        <f>+'Stock Rawmaterial'!F1057</f>
        <v>36</v>
      </c>
      <c r="G46" s="1955">
        <v>46802</v>
      </c>
      <c r="H46" s="1697">
        <f>+'Stock Rawmaterial'!G1057</f>
        <v>75.22</v>
      </c>
      <c r="I46" s="567">
        <f>+'Stock Rawmaterial'!H1057</f>
        <v>0</v>
      </c>
      <c r="J46" s="567">
        <f>+'Stock Rawmaterial'!I1057</f>
        <v>0</v>
      </c>
      <c r="K46" s="1694">
        <f>+'Stock Rawmaterial'!J1057</f>
        <v>0</v>
      </c>
      <c r="L46" s="1697">
        <f>+'Stock Rawmaterial'!K1057</f>
        <v>0</v>
      </c>
      <c r="M46" s="1695">
        <f>+'Stock Rawmaterial'!L1057</f>
        <v>75.22</v>
      </c>
      <c r="N46" s="331"/>
      <c r="O46" s="1530"/>
      <c r="P46" s="331"/>
      <c r="Q46" s="287">
        <f>+'Stock Rawmaterial'!K1057</f>
        <v>0</v>
      </c>
      <c r="R46" s="469"/>
      <c r="S46" s="437"/>
      <c r="T46" s="470"/>
    </row>
    <row r="47" spans="1:20" s="265" customFormat="1" ht="30" customHeight="1" x14ac:dyDescent="0.2">
      <c r="A47" s="2022" t="s">
        <v>218</v>
      </c>
      <c r="B47" s="2023"/>
      <c r="C47" s="88"/>
      <c r="D47" s="864"/>
      <c r="E47" s="864"/>
      <c r="F47" s="865"/>
      <c r="G47" s="865"/>
      <c r="H47" s="230">
        <f t="shared" ref="H47:L47" si="3">+SUM(H40:H46)</f>
        <v>1195.22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1195.22</v>
      </c>
      <c r="N47" s="133">
        <f>'Stock Rawmaterial'!M1058</f>
        <v>31.599999999999998</v>
      </c>
      <c r="O47" s="133">
        <f>'Stock Rawmaterial'!N1058</f>
        <v>37.823417721518993</v>
      </c>
      <c r="P47" s="133">
        <f>'Stock Rawmaterial'!O1058</f>
        <v>36.166666666666664</v>
      </c>
      <c r="Q47" s="133">
        <f>'Stock Rawmaterial'!P1058</f>
        <v>33.047557603686641</v>
      </c>
      <c r="R47" s="466"/>
      <c r="S47" s="264"/>
      <c r="T47" s="467"/>
    </row>
    <row r="48" spans="1:20" s="409" customFormat="1" ht="30" hidden="1" customHeight="1" x14ac:dyDescent="0.2">
      <c r="A48" s="2024">
        <f>IF(M53=0,"",MAX($A$16:A47)+1)</f>
        <v>4</v>
      </c>
      <c r="B48" s="2156" t="s">
        <v>593</v>
      </c>
      <c r="C48" s="127">
        <f>+'Stock Rawmaterial'!C1059</f>
        <v>0</v>
      </c>
      <c r="D48" s="881" t="s">
        <v>10</v>
      </c>
      <c r="E48" s="882">
        <f>+'Stock Rawmaterial'!E1059</f>
        <v>45869</v>
      </c>
      <c r="F48" s="938">
        <f>+'Stock Rawmaterial'!F1059</f>
        <v>392</v>
      </c>
      <c r="G48" s="1686">
        <v>46491</v>
      </c>
      <c r="H48" s="1823">
        <f>'Stock Rawmaterial'!G1059</f>
        <v>0</v>
      </c>
      <c r="I48" s="1823">
        <f>'Stock Rawmaterial'!H1059</f>
        <v>0</v>
      </c>
      <c r="J48" s="1823">
        <f>'Stock Rawmaterial'!I1059</f>
        <v>0</v>
      </c>
      <c r="K48" s="1823">
        <f>'Stock Rawmaterial'!J1059</f>
        <v>0</v>
      </c>
      <c r="L48" s="1823">
        <f>'Stock Rawmaterial'!K1059</f>
        <v>0</v>
      </c>
      <c r="M48" s="1823">
        <f>'Stock Rawmaterial'!L1059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5"/>
      <c r="B49" s="2158"/>
      <c r="C49" s="127">
        <f>+'Stock Rawmaterial'!C1060</f>
        <v>0</v>
      </c>
      <c r="D49" s="881" t="s">
        <v>10</v>
      </c>
      <c r="E49" s="882">
        <f>+'Stock Rawmaterial'!E1060</f>
        <v>45987</v>
      </c>
      <c r="F49" s="938">
        <f>+'Stock Rawmaterial'!F1060</f>
        <v>274</v>
      </c>
      <c r="G49" s="1686">
        <v>46628</v>
      </c>
      <c r="H49" s="1823">
        <f>'Stock Rawmaterial'!G1060</f>
        <v>0</v>
      </c>
      <c r="I49" s="1823">
        <f>'Stock Rawmaterial'!H1060</f>
        <v>0</v>
      </c>
      <c r="J49" s="1823">
        <f>'Stock Rawmaterial'!I1060</f>
        <v>0</v>
      </c>
      <c r="K49" s="1823">
        <f>'Stock Rawmaterial'!J1060</f>
        <v>0</v>
      </c>
      <c r="L49" s="1823">
        <f>'Stock Rawmaterial'!K1060</f>
        <v>0</v>
      </c>
      <c r="M49" s="1823">
        <f>'Stock Rawmaterial'!L1060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5"/>
      <c r="B50" s="2158"/>
      <c r="C50" s="127" t="str">
        <f>+'Stock Rawmaterial'!C1061</f>
        <v>E2</v>
      </c>
      <c r="D50" s="881" t="s">
        <v>10</v>
      </c>
      <c r="E50" s="882">
        <f>+'Stock Rawmaterial'!E1061</f>
        <v>46037</v>
      </c>
      <c r="F50" s="938">
        <f>+'Stock Rawmaterial'!F1061</f>
        <v>224</v>
      </c>
      <c r="G50" s="1954">
        <v>46733</v>
      </c>
      <c r="H50" s="1823">
        <f>'Stock Rawmaterial'!G1061</f>
        <v>260</v>
      </c>
      <c r="I50" s="1823">
        <f>'Stock Rawmaterial'!H1061</f>
        <v>0</v>
      </c>
      <c r="J50" s="1823">
        <f>'Stock Rawmaterial'!I1061</f>
        <v>0</v>
      </c>
      <c r="K50" s="1823">
        <f>'Stock Rawmaterial'!J1061</f>
        <v>0</v>
      </c>
      <c r="L50" s="1823">
        <f>'Stock Rawmaterial'!K1061</f>
        <v>0</v>
      </c>
      <c r="M50" s="1823">
        <f>'Stock Rawmaterial'!L1061</f>
        <v>260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5"/>
      <c r="B51" s="2159"/>
      <c r="C51" s="127">
        <f>+'Stock Rawmaterial'!C1062</f>
        <v>0</v>
      </c>
      <c r="D51" s="881" t="s">
        <v>10</v>
      </c>
      <c r="E51" s="882">
        <f>+'Stock Rawmaterial'!E1062</f>
        <v>46037</v>
      </c>
      <c r="F51" s="938">
        <f>+'Stock Rawmaterial'!F1062</f>
        <v>224</v>
      </c>
      <c r="G51" s="1954">
        <v>46715</v>
      </c>
      <c r="H51" s="1823">
        <f>'Stock Rawmaterial'!G1062</f>
        <v>0</v>
      </c>
      <c r="I51" s="1823">
        <f>'Stock Rawmaterial'!H1062</f>
        <v>0</v>
      </c>
      <c r="J51" s="1823">
        <f>'Stock Rawmaterial'!I1062</f>
        <v>0</v>
      </c>
      <c r="K51" s="1823">
        <f>'Stock Rawmaterial'!J1062</f>
        <v>0</v>
      </c>
      <c r="L51" s="1823">
        <f>'Stock Rawmaterial'!K1062</f>
        <v>0</v>
      </c>
      <c r="M51" s="1823">
        <f>'Stock Rawmaterial'!L1062</f>
        <v>0</v>
      </c>
      <c r="N51" s="287"/>
      <c r="O51" s="287"/>
      <c r="P51" s="287"/>
      <c r="Q51" s="287">
        <f>+'Stock Rawmaterial'!K1062</f>
        <v>0</v>
      </c>
      <c r="R51" s="1165"/>
      <c r="S51" s="338"/>
      <c r="T51" s="479"/>
    </row>
    <row r="52" spans="1:20" s="401" customFormat="1" ht="30" customHeight="1" x14ac:dyDescent="0.2">
      <c r="A52" s="2026"/>
      <c r="B52" s="2158"/>
      <c r="C52" s="61" t="s">
        <v>46</v>
      </c>
      <c r="D52" s="850" t="s">
        <v>10</v>
      </c>
      <c r="E52" s="851">
        <f>+'Stock Rawmaterial'!E1063</f>
        <v>46037</v>
      </c>
      <c r="F52" s="938">
        <f>+'Stock Rawmaterial'!F1063</f>
        <v>224</v>
      </c>
      <c r="G52" s="1954">
        <v>46733</v>
      </c>
      <c r="H52" s="1823">
        <f>'Stock Rawmaterial'!G1063</f>
        <v>16.849999999999991</v>
      </c>
      <c r="I52" s="1823">
        <f>'Stock Rawmaterial'!H1063</f>
        <v>0</v>
      </c>
      <c r="J52" s="1823">
        <f>'Stock Rawmaterial'!I1063</f>
        <v>0</v>
      </c>
      <c r="K52" s="1823">
        <f>'Stock Rawmaterial'!J1063</f>
        <v>0</v>
      </c>
      <c r="L52" s="1823">
        <f>'Stock Rawmaterial'!K1063</f>
        <v>0</v>
      </c>
      <c r="M52" s="1823">
        <f>'Stock Rawmaterial'!L1063</f>
        <v>16.849999999999991</v>
      </c>
      <c r="N52" s="1647"/>
      <c r="O52" s="1647"/>
      <c r="P52" s="329"/>
      <c r="Q52" s="329">
        <f>+'Stock Rawmaterial'!K1063</f>
        <v>0</v>
      </c>
      <c r="R52" s="469"/>
      <c r="S52" s="437"/>
      <c r="T52" s="470"/>
    </row>
    <row r="53" spans="1:20" s="265" customFormat="1" ht="30" customHeight="1" x14ac:dyDescent="0.2">
      <c r="A53" s="2022" t="s">
        <v>594</v>
      </c>
      <c r="B53" s="2023"/>
      <c r="C53" s="88"/>
      <c r="D53" s="864"/>
      <c r="E53" s="864"/>
      <c r="F53" s="865"/>
      <c r="G53" s="865"/>
      <c r="H53" s="230">
        <f t="shared" ref="H53:L53" si="4">+SUM(H48:H52)</f>
        <v>276.84999999999997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276.84999999999997</v>
      </c>
      <c r="N53" s="133">
        <f>'Stock Rawmaterial'!M1064</f>
        <v>3.688333333333333</v>
      </c>
      <c r="O53" s="133">
        <f>'Stock Rawmaterial'!N1064</f>
        <v>75.061003163126969</v>
      </c>
      <c r="P53" s="133">
        <f>'Stock Rawmaterial'!O1064</f>
        <v>0</v>
      </c>
      <c r="Q53" s="133">
        <f>'Stock Rawmaterial'!P1064</f>
        <v>0</v>
      </c>
      <c r="R53" s="466"/>
      <c r="S53" s="264"/>
      <c r="T53" s="467"/>
    </row>
    <row r="54" spans="1:20" s="409" customFormat="1" ht="30" hidden="1" customHeight="1" x14ac:dyDescent="0.2">
      <c r="A54" s="2024" t="str">
        <f>IF(M60=0,"",MAX($A$16:A53)+1)</f>
        <v/>
      </c>
      <c r="B54" s="2156" t="s">
        <v>963</v>
      </c>
      <c r="C54" s="127" t="str">
        <f>+'Stock Rawmaterial'!C1065</f>
        <v>A19.4</v>
      </c>
      <c r="D54" s="881" t="s">
        <v>10</v>
      </c>
      <c r="E54" s="882">
        <f>+'Stock Rawmaterial'!E1065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Rawmaterial'!K1065</f>
        <v>0</v>
      </c>
      <c r="R54" s="478"/>
      <c r="S54" s="338"/>
      <c r="T54" s="479"/>
    </row>
    <row r="55" spans="1:20" s="409" customFormat="1" ht="30" hidden="1" customHeight="1" x14ac:dyDescent="0.2">
      <c r="A55" s="2025"/>
      <c r="B55" s="2158"/>
      <c r="C55" s="127">
        <f>+'Stock Rawmaterial'!C1066</f>
        <v>0</v>
      </c>
      <c r="D55" s="881" t="s">
        <v>10</v>
      </c>
      <c r="E55" s="882">
        <f>+'Stock Rawmaterial'!E1066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Rawmaterial'!K1066</f>
        <v>0</v>
      </c>
      <c r="R55" s="478"/>
      <c r="S55" s="338"/>
      <c r="T55" s="479"/>
    </row>
    <row r="56" spans="1:20" s="409" customFormat="1" ht="30" hidden="1" customHeight="1" x14ac:dyDescent="0.2">
      <c r="A56" s="2025"/>
      <c r="B56" s="2158"/>
      <c r="C56" s="127">
        <f>+'Stock Rawmaterial'!C1067</f>
        <v>0</v>
      </c>
      <c r="D56" s="881" t="s">
        <v>10</v>
      </c>
      <c r="E56" s="882">
        <f>+'Stock Rawmaterial'!E1067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Rawmaterial'!K1067</f>
        <v>0</v>
      </c>
      <c r="R56" s="478"/>
      <c r="S56" s="338"/>
      <c r="T56" s="479"/>
    </row>
    <row r="57" spans="1:20" s="409" customFormat="1" ht="30" hidden="1" customHeight="1" x14ac:dyDescent="0.2">
      <c r="A57" s="2025"/>
      <c r="B57" s="2158"/>
      <c r="C57" s="127">
        <f>+'Stock Rawmaterial'!C1068</f>
        <v>0</v>
      </c>
      <c r="D57" s="881" t="s">
        <v>10</v>
      </c>
      <c r="E57" s="882">
        <f>+'Stock Rawmaterial'!E1068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Rawmaterial'!K1068</f>
        <v>0</v>
      </c>
      <c r="R57" s="478"/>
      <c r="S57" s="338"/>
      <c r="T57" s="479"/>
    </row>
    <row r="58" spans="1:20" s="409" customFormat="1" ht="30" hidden="1" customHeight="1" x14ac:dyDescent="0.2">
      <c r="A58" s="2025"/>
      <c r="B58" s="2158"/>
      <c r="C58" s="127">
        <f>+'Stock Rawmaterial'!C1069</f>
        <v>0</v>
      </c>
      <c r="D58" s="881" t="s">
        <v>10</v>
      </c>
      <c r="E58" s="882">
        <f>+'Stock Rawmaterial'!E1069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Rawmaterial'!K1069</f>
        <v>0</v>
      </c>
      <c r="R58" s="478"/>
      <c r="S58" s="338"/>
      <c r="T58" s="479"/>
    </row>
    <row r="59" spans="1:20" s="401" customFormat="1" ht="30" hidden="1" customHeight="1" x14ac:dyDescent="0.2">
      <c r="A59" s="2026"/>
      <c r="B59" s="2160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Rawmaterial'!K1070</f>
        <v>0</v>
      </c>
      <c r="R59" s="469"/>
      <c r="S59" s="437"/>
      <c r="T59" s="470"/>
    </row>
    <row r="60" spans="1:20" s="265" customFormat="1" ht="30" hidden="1" customHeight="1" x14ac:dyDescent="0.2">
      <c r="A60" s="2022" t="s">
        <v>617</v>
      </c>
      <c r="B60" s="2023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4">
        <f>IF(M69=0,"",MAX($A$16:A60)+1)</f>
        <v>5</v>
      </c>
      <c r="B61" s="2156" t="s">
        <v>967</v>
      </c>
      <c r="C61" s="127">
        <f>+'Stock Rawmaterial'!C1072</f>
        <v>0</v>
      </c>
      <c r="D61" s="881" t="s">
        <v>10</v>
      </c>
      <c r="E61" s="882">
        <f>+'Stock Rawmaterial'!E1072</f>
        <v>46200</v>
      </c>
      <c r="F61" s="938">
        <f>+'Stock Rawmaterial'!F1072</f>
        <v>61</v>
      </c>
      <c r="G61" s="1954">
        <v>46907</v>
      </c>
      <c r="H61" s="1590">
        <f>'Stock Rawmaterial'!G1072</f>
        <v>0</v>
      </c>
      <c r="I61" s="1589">
        <f>'Stock Rawmaterial'!H1072</f>
        <v>0</v>
      </c>
      <c r="J61" s="1823">
        <f>'Stock Rawmaterial'!I1072</f>
        <v>0</v>
      </c>
      <c r="K61" s="1823">
        <f>'Stock Rawmaterial'!J1072</f>
        <v>0</v>
      </c>
      <c r="L61" s="1823">
        <f>'Stock Rawmaterial'!K1072</f>
        <v>0</v>
      </c>
      <c r="M61" s="1823">
        <f>'Stock Rawmaterial'!L1072</f>
        <v>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25"/>
      <c r="B62" s="2158"/>
      <c r="C62" s="127" t="str">
        <f>+'Stock Rawmaterial'!C1073</f>
        <v>D1</v>
      </c>
      <c r="D62" s="881" t="s">
        <v>10</v>
      </c>
      <c r="E62" s="882">
        <f>+'Stock Rawmaterial'!E1073</f>
        <v>46219</v>
      </c>
      <c r="F62" s="938">
        <f>+'Stock Rawmaterial'!F1073</f>
        <v>42</v>
      </c>
      <c r="G62" s="1954">
        <v>46920</v>
      </c>
      <c r="H62" s="1590">
        <f>'Stock Rawmaterial'!G1073</f>
        <v>7000</v>
      </c>
      <c r="I62" s="1589">
        <f>'Stock Rawmaterial'!H1073</f>
        <v>0</v>
      </c>
      <c r="J62" s="1823">
        <f>'Stock Rawmaterial'!I1073</f>
        <v>0</v>
      </c>
      <c r="K62" s="1823">
        <f>'Stock Rawmaterial'!J1073</f>
        <v>0</v>
      </c>
      <c r="L62" s="1823">
        <f>'Stock Rawmaterial'!K1073</f>
        <v>0</v>
      </c>
      <c r="M62" s="1823">
        <f>'Stock Rawmaterial'!L1073</f>
        <v>7000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5"/>
      <c r="B63" s="2158"/>
      <c r="C63" s="127">
        <f>+'Stock Rawmaterial'!C1074</f>
        <v>0</v>
      </c>
      <c r="D63" s="881" t="s">
        <v>10</v>
      </c>
      <c r="E63" s="882">
        <f>+'Stock Rawmaterial'!E1074</f>
        <v>45226</v>
      </c>
      <c r="F63" s="938">
        <f>+'Stock Rawmaterial'!F1074</f>
        <v>1035</v>
      </c>
      <c r="G63" s="1686"/>
      <c r="H63" s="1589">
        <f>'Stock Rawmaterial'!G1074</f>
        <v>0</v>
      </c>
      <c r="I63" s="1589">
        <f>'Stock Rawmaterial'!H1074</f>
        <v>0</v>
      </c>
      <c r="J63" s="1823">
        <f>'Stock Rawmaterial'!I1074</f>
        <v>0</v>
      </c>
      <c r="K63" s="1823">
        <f>'Stock Rawmaterial'!J1074</f>
        <v>0</v>
      </c>
      <c r="L63" s="1823">
        <f>'Stock Rawmaterial'!K1074</f>
        <v>0</v>
      </c>
      <c r="M63" s="1823">
        <f>'Stock Rawmaterial'!L1074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5"/>
      <c r="B64" s="2158"/>
      <c r="C64" s="127">
        <f>+'Stock Rawmaterial'!C1075</f>
        <v>0</v>
      </c>
      <c r="D64" s="881" t="s">
        <v>10</v>
      </c>
      <c r="E64" s="882">
        <f>+'Stock Rawmaterial'!E1075</f>
        <v>45226</v>
      </c>
      <c r="F64" s="938">
        <f>+'Stock Rawmaterial'!F1075</f>
        <v>1035</v>
      </c>
      <c r="G64" s="1686"/>
      <c r="H64" s="1589">
        <f>'Stock Rawmaterial'!G1075</f>
        <v>0</v>
      </c>
      <c r="I64" s="1589">
        <f>'Stock Rawmaterial'!H1075</f>
        <v>0</v>
      </c>
      <c r="J64" s="1823">
        <f>'Stock Rawmaterial'!I1075</f>
        <v>0</v>
      </c>
      <c r="K64" s="1823">
        <f>'Stock Rawmaterial'!J1075</f>
        <v>0</v>
      </c>
      <c r="L64" s="1823">
        <f>'Stock Rawmaterial'!K1075</f>
        <v>0</v>
      </c>
      <c r="M64" s="1823">
        <f>'Stock Rawmaterial'!L1075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5"/>
      <c r="B65" s="2158"/>
      <c r="C65" s="127">
        <f>+'Stock Rawmaterial'!C1076</f>
        <v>0</v>
      </c>
      <c r="D65" s="881" t="s">
        <v>10</v>
      </c>
      <c r="E65" s="882">
        <f>+'Stock Rawmaterial'!E1076</f>
        <v>45226</v>
      </c>
      <c r="F65" s="938">
        <f>+'Stock Rawmaterial'!F1076</f>
        <v>1035</v>
      </c>
      <c r="G65" s="1686"/>
      <c r="H65" s="1589">
        <f>'Stock Rawmaterial'!G1076</f>
        <v>0</v>
      </c>
      <c r="I65" s="1589">
        <f>'Stock Rawmaterial'!H1076</f>
        <v>0</v>
      </c>
      <c r="J65" s="1823">
        <f>'Stock Rawmaterial'!I1076</f>
        <v>0</v>
      </c>
      <c r="K65" s="1823">
        <f>'Stock Rawmaterial'!J1076</f>
        <v>0</v>
      </c>
      <c r="L65" s="1823">
        <f>'Stock Rawmaterial'!K1076</f>
        <v>0</v>
      </c>
      <c r="M65" s="1823">
        <f>'Stock Rawmaterial'!L1076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5"/>
      <c r="B66" s="2159"/>
      <c r="C66" s="127">
        <f>+'Stock Rawmaterial'!C1077</f>
        <v>0</v>
      </c>
      <c r="D66" s="881" t="s">
        <v>10</v>
      </c>
      <c r="E66" s="882">
        <f>+'Stock Rawmaterial'!E1077</f>
        <v>45226</v>
      </c>
      <c r="F66" s="938">
        <f>+'Stock Rawmaterial'!F1077</f>
        <v>1035</v>
      </c>
      <c r="G66" s="1686"/>
      <c r="H66" s="1589">
        <f>'Stock Rawmaterial'!G1077</f>
        <v>0</v>
      </c>
      <c r="I66" s="1589">
        <f>'Stock Rawmaterial'!H1077</f>
        <v>0</v>
      </c>
      <c r="J66" s="1823">
        <f>'Stock Rawmaterial'!I1077</f>
        <v>0</v>
      </c>
      <c r="K66" s="1823">
        <f>'Stock Rawmaterial'!J1077</f>
        <v>0</v>
      </c>
      <c r="L66" s="1823">
        <f>'Stock Rawmaterial'!K1077</f>
        <v>0</v>
      </c>
      <c r="M66" s="1823">
        <f>'Stock Rawmaterial'!L1077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5"/>
      <c r="B67" s="2159"/>
      <c r="C67" s="127">
        <f>+'Stock Rawmaterial'!C1078</f>
        <v>0</v>
      </c>
      <c r="D67" s="881" t="s">
        <v>10</v>
      </c>
      <c r="E67" s="882">
        <f>+'Stock Rawmaterial'!E1078</f>
        <v>45226</v>
      </c>
      <c r="F67" s="938">
        <f>+'Stock Rawmaterial'!F1078</f>
        <v>1035</v>
      </c>
      <c r="G67" s="1686"/>
      <c r="H67" s="1589">
        <f>'Stock Rawmaterial'!G1078</f>
        <v>0</v>
      </c>
      <c r="I67" s="1589">
        <f>'Stock Rawmaterial'!H1078</f>
        <v>0</v>
      </c>
      <c r="J67" s="1823">
        <f>'Stock Rawmaterial'!I1078</f>
        <v>0</v>
      </c>
      <c r="K67" s="1823">
        <f>'Stock Rawmaterial'!J1078</f>
        <v>0</v>
      </c>
      <c r="L67" s="1823">
        <f>'Stock Rawmaterial'!K1078</f>
        <v>0</v>
      </c>
      <c r="M67" s="1823">
        <f>'Stock Rawmaterial'!L1078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26"/>
      <c r="B68" s="2160"/>
      <c r="C68" s="1153" t="str">
        <f>+'Stock Rawmaterial'!C1079</f>
        <v>Feedmill</v>
      </c>
      <c r="D68" s="1691" t="s">
        <v>10</v>
      </c>
      <c r="E68" s="1696">
        <f>+'Stock Rawmaterial'!E1079</f>
        <v>46200</v>
      </c>
      <c r="F68" s="938">
        <f>+'Stock Rawmaterial'!F1079</f>
        <v>61</v>
      </c>
      <c r="G68" s="1955">
        <v>46907</v>
      </c>
      <c r="H68" s="80">
        <f>'Stock Rawmaterial'!G1079</f>
        <v>1041.92</v>
      </c>
      <c r="I68" s="1589">
        <f>'Stock Rawmaterial'!H1079</f>
        <v>0</v>
      </c>
      <c r="J68" s="1823">
        <f>'Stock Rawmaterial'!I1079</f>
        <v>0</v>
      </c>
      <c r="K68" s="1823">
        <f>'Stock Rawmaterial'!J1079</f>
        <v>0</v>
      </c>
      <c r="L68" s="1823">
        <f>'Stock Rawmaterial'!K1079</f>
        <v>0</v>
      </c>
      <c r="M68" s="1823">
        <f>'Stock Rawmaterial'!L1079</f>
        <v>1041.92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2" t="s">
        <v>968</v>
      </c>
      <c r="B69" s="2023"/>
      <c r="C69" s="1146"/>
      <c r="D69" s="864"/>
      <c r="E69" s="864"/>
      <c r="F69" s="865"/>
      <c r="G69" s="865"/>
      <c r="H69" s="231">
        <f>SUM(H61:H68)</f>
        <v>8041.92</v>
      </c>
      <c r="I69" s="326"/>
      <c r="J69" s="1824"/>
      <c r="K69" s="230">
        <f>+SUM(K61:K68)</f>
        <v>0</v>
      </c>
      <c r="L69" s="230">
        <f t="shared" ref="L69:M69" si="7">SUM(L61:L68)</f>
        <v>0</v>
      </c>
      <c r="M69" s="230">
        <f t="shared" si="7"/>
        <v>8041.92</v>
      </c>
      <c r="N69" s="133">
        <f>'Stock Rawmaterial'!M1080</f>
        <v>275.24</v>
      </c>
      <c r="O69" s="133">
        <f>'Stock Rawmaterial'!N1080</f>
        <v>29.217846243278593</v>
      </c>
      <c r="P69" s="133">
        <f>'Stock Rawmaterial'!O1080</f>
        <v>0</v>
      </c>
      <c r="Q69" s="133">
        <f>'Stock Rawmaterial'!P1080</f>
        <v>0</v>
      </c>
      <c r="R69" s="466"/>
      <c r="S69" s="264"/>
      <c r="T69" s="467"/>
    </row>
    <row r="70" spans="1:20" s="409" customFormat="1" ht="30" hidden="1" customHeight="1" x14ac:dyDescent="0.2">
      <c r="A70" s="2024" t="str">
        <f>IF(M75=0,"",MAX($A$16:A60)+1)</f>
        <v/>
      </c>
      <c r="B70" s="2156" t="s">
        <v>457</v>
      </c>
      <c r="C70" s="127" t="str">
        <f>+'Stock Rawmaterial'!C1081</f>
        <v>Y7.1</v>
      </c>
      <c r="D70" s="881" t="s">
        <v>10</v>
      </c>
      <c r="E70" s="882">
        <f>+'Stock Rawmaterial'!E1081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Rawmaterial'!K1081</f>
        <v>0</v>
      </c>
      <c r="R70" s="478"/>
      <c r="S70" s="338"/>
      <c r="T70" s="479"/>
    </row>
    <row r="71" spans="1:20" s="409" customFormat="1" ht="30" hidden="1" customHeight="1" x14ac:dyDescent="0.2">
      <c r="A71" s="2025"/>
      <c r="B71" s="2158"/>
      <c r="C71" s="127" t="str">
        <f>+'Stock Rawmaterial'!C1082</f>
        <v>Y7.1</v>
      </c>
      <c r="D71" s="881" t="s">
        <v>10</v>
      </c>
      <c r="E71" s="882">
        <f>+'Stock Rawmaterial'!E1082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Rawmaterial'!K1082</f>
        <v>0</v>
      </c>
      <c r="R71" s="478"/>
      <c r="S71" s="338"/>
      <c r="T71" s="479"/>
    </row>
    <row r="72" spans="1:20" s="409" customFormat="1" ht="30" hidden="1" customHeight="1" x14ac:dyDescent="0.2">
      <c r="A72" s="2025"/>
      <c r="B72" s="2158"/>
      <c r="C72" s="127" t="str">
        <f>+'Stock Rawmaterial'!C1083</f>
        <v>Z6.2</v>
      </c>
      <c r="D72" s="881" t="s">
        <v>10</v>
      </c>
      <c r="E72" s="882">
        <f>+'Stock Rawmaterial'!E1083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Rawmaterial'!K1083</f>
        <v>0</v>
      </c>
      <c r="R72" s="478"/>
      <c r="S72" s="338"/>
      <c r="T72" s="479"/>
    </row>
    <row r="73" spans="1:20" s="409" customFormat="1" ht="30" hidden="1" customHeight="1" x14ac:dyDescent="0.2">
      <c r="A73" s="2025"/>
      <c r="B73" s="2158"/>
      <c r="C73" s="139" t="str">
        <f>+'Stock Rawmaterial'!C1084</f>
        <v>Z6.2</v>
      </c>
      <c r="D73" s="1147" t="s">
        <v>10</v>
      </c>
      <c r="E73" s="937">
        <f>+'Stock Rawmaterial'!E1084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Rawmaterial'!K1084</f>
        <v>0</v>
      </c>
      <c r="R73" s="478"/>
      <c r="S73" s="338"/>
      <c r="T73" s="479"/>
    </row>
    <row r="74" spans="1:20" s="401" customFormat="1" ht="30" hidden="1" customHeight="1" x14ac:dyDescent="0.2">
      <c r="A74" s="2026"/>
      <c r="B74" s="2160"/>
      <c r="C74" s="61" t="str">
        <f>+'Stock Rawmaterial'!C1085</f>
        <v>Feedmill</v>
      </c>
      <c r="D74" s="850" t="s">
        <v>10</v>
      </c>
      <c r="E74" s="851">
        <f>+'Stock Rawmaterial'!E1085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+usage!I144</f>
        <v>0</v>
      </c>
      <c r="P74" s="329"/>
      <c r="Q74" s="329">
        <f>+'Stock Rawmaterial'!K1085</f>
        <v>0</v>
      </c>
      <c r="R74" s="469"/>
      <c r="S74" s="437"/>
      <c r="T74" s="470"/>
    </row>
    <row r="75" spans="1:20" s="265" customFormat="1" ht="30" hidden="1" customHeight="1" x14ac:dyDescent="0.2">
      <c r="A75" s="2022" t="s">
        <v>364</v>
      </c>
      <c r="B75" s="2023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4" t="str">
        <f>IF(M82=0,"",MAX($A$15:A75)+1)</f>
        <v/>
      </c>
      <c r="B76" s="2156" t="s">
        <v>507</v>
      </c>
      <c r="C76" s="127" t="str">
        <f>+'Stock Rawmaterial'!C1087</f>
        <v>V2.1</v>
      </c>
      <c r="D76" s="881" t="s">
        <v>10</v>
      </c>
      <c r="E76" s="882">
        <f>+'Stock Rawmaterial'!E1087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Rawmaterial'!K1087</f>
        <v>0</v>
      </c>
      <c r="R76" s="478"/>
      <c r="S76" s="338"/>
      <c r="T76" s="479"/>
    </row>
    <row r="77" spans="1:20" s="409" customFormat="1" ht="30" hidden="1" customHeight="1" x14ac:dyDescent="0.2">
      <c r="A77" s="2025"/>
      <c r="B77" s="2158"/>
      <c r="C77" s="127" t="str">
        <f>+'Stock Rawmaterial'!C1088</f>
        <v>V2.1</v>
      </c>
      <c r="D77" s="881" t="s">
        <v>10</v>
      </c>
      <c r="E77" s="882">
        <f>+'Stock Rawmaterial'!E1088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Rawmaterial'!K1088</f>
        <v>0</v>
      </c>
      <c r="R77" s="478"/>
      <c r="S77" s="338"/>
      <c r="T77" s="479"/>
    </row>
    <row r="78" spans="1:20" s="409" customFormat="1" ht="30" hidden="1" customHeight="1" x14ac:dyDescent="0.2">
      <c r="A78" s="2025"/>
      <c r="B78" s="2158"/>
      <c r="C78" s="127">
        <f>+'Stock Rawmaterial'!C1089</f>
        <v>0</v>
      </c>
      <c r="D78" s="881" t="s">
        <v>10</v>
      </c>
      <c r="E78" s="882">
        <f>+'Stock Rawmaterial'!E1089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Rawmaterial'!K1089</f>
        <v>0</v>
      </c>
      <c r="R78" s="478"/>
      <c r="S78" s="338"/>
      <c r="T78" s="479"/>
    </row>
    <row r="79" spans="1:20" s="409" customFormat="1" ht="30" hidden="1" customHeight="1" x14ac:dyDescent="0.2">
      <c r="A79" s="2025"/>
      <c r="B79" s="2158"/>
      <c r="C79" s="127">
        <f>+'Stock Rawmaterial'!C1090</f>
        <v>0</v>
      </c>
      <c r="D79" s="881" t="s">
        <v>10</v>
      </c>
      <c r="E79" s="882">
        <f>+'Stock Rawmaterial'!E1090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Rawmaterial'!K1090</f>
        <v>0</v>
      </c>
      <c r="R79" s="478"/>
      <c r="S79" s="338"/>
      <c r="T79" s="479"/>
    </row>
    <row r="80" spans="1:20" s="409" customFormat="1" ht="30" hidden="1" customHeight="1" x14ac:dyDescent="0.2">
      <c r="A80" s="2025"/>
      <c r="B80" s="2158"/>
      <c r="C80" s="127">
        <f>+'Stock Rawmaterial'!C1091</f>
        <v>0</v>
      </c>
      <c r="D80" s="881" t="s">
        <v>10</v>
      </c>
      <c r="E80" s="882">
        <f>+'Stock Rawmaterial'!E1091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Rawmaterial'!K1091</f>
        <v>0</v>
      </c>
      <c r="R80" s="478"/>
      <c r="S80" s="338"/>
      <c r="T80" s="479"/>
    </row>
    <row r="81" spans="1:20" s="401" customFormat="1" ht="30" hidden="1" customHeight="1" x14ac:dyDescent="0.2">
      <c r="A81" s="2026"/>
      <c r="B81" s="2158"/>
      <c r="C81" s="61" t="str">
        <f>+'Stock Rawmaterial'!C1092</f>
        <v>Feedmill</v>
      </c>
      <c r="D81" s="850" t="s">
        <v>10</v>
      </c>
      <c r="E81" s="851">
        <f>+'Stock Rawmaterial'!E1092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Rawmaterial'!G1092</f>
        <v>0</v>
      </c>
      <c r="L81" s="79">
        <f>+'Stock Rawmaterial'!H1092</f>
        <v>0</v>
      </c>
      <c r="M81" s="79">
        <f>+'Stock Rawmaterial'!I1092</f>
        <v>0</v>
      </c>
      <c r="N81" s="329"/>
      <c r="O81" s="329">
        <f>+'Stock Rawmaterial'!J1092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2" t="s">
        <v>507</v>
      </c>
      <c r="B82" s="2023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3" t="str">
        <f>IF(M89=0,"",MAX($A$15:A82)+1)</f>
        <v/>
      </c>
      <c r="B83" s="2268" t="s">
        <v>611</v>
      </c>
      <c r="C83" s="129" t="str">
        <f>+'Stock Rawmaterial'!C1109</f>
        <v>E3</v>
      </c>
      <c r="D83" s="881" t="str">
        <f>+'Stock Rawmaterial'!D1109</f>
        <v>Rec.</v>
      </c>
      <c r="E83" s="882">
        <f>+'Stock Rawmaterial'!E1109</f>
        <v>45772</v>
      </c>
      <c r="F83" s="71">
        <f>+'Stock Rawmaterial'!F1109</f>
        <v>489</v>
      </c>
      <c r="G83" s="1686">
        <v>46495</v>
      </c>
      <c r="H83" s="80">
        <f>+'Stock Rawmaterial'!G1109</f>
        <v>0</v>
      </c>
      <c r="I83" s="80">
        <f>+'Stock Rawmaterial'!H1109</f>
        <v>0</v>
      </c>
      <c r="J83" s="80">
        <f>+'Stock Rawmaterial'!I1109</f>
        <v>0</v>
      </c>
      <c r="K83" s="1604">
        <f>+'Stock Rawmaterial'!J1109</f>
        <v>0</v>
      </c>
      <c r="L83" s="1605">
        <f>+'Stock Rawmaterial'!K1109</f>
        <v>0</v>
      </c>
      <c r="M83" s="1576">
        <f>+'Stock Rawmaterial'!L1109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4"/>
      <c r="B84" s="2269"/>
      <c r="C84" s="129">
        <f>+'Stock Rawmaterial'!C1110</f>
        <v>0</v>
      </c>
      <c r="D84" s="881" t="str">
        <f>+'Stock Rawmaterial'!D1110</f>
        <v>Rec.</v>
      </c>
      <c r="E84" s="882">
        <f>+'Stock Rawmaterial'!E1110</f>
        <v>44000</v>
      </c>
      <c r="F84" s="71">
        <f>+'Stock Rawmaterial'!F1110</f>
        <v>2261</v>
      </c>
      <c r="G84" s="71"/>
      <c r="H84" s="80">
        <f>+'Stock Rawmaterial'!G1110</f>
        <v>0</v>
      </c>
      <c r="I84" s="80">
        <f>+'Stock Rawmaterial'!H1110</f>
        <v>0</v>
      </c>
      <c r="J84" s="80">
        <f>+'Stock Rawmaterial'!I1110</f>
        <v>0</v>
      </c>
      <c r="K84" s="1604">
        <f>+'Stock Rawmaterial'!J1110</f>
        <v>0</v>
      </c>
      <c r="L84" s="1605">
        <f>+'Stock Rawmaterial'!K1110</f>
        <v>0</v>
      </c>
      <c r="M84" s="1576">
        <f>+'Stock Rawmaterial'!L1110</f>
        <v>0</v>
      </c>
      <c r="N84" s="287"/>
      <c r="O84" s="1636"/>
      <c r="P84" s="287"/>
      <c r="Q84" s="287">
        <f>+'Stock Rawmaterial'!K1110</f>
        <v>0</v>
      </c>
      <c r="R84" s="478"/>
      <c r="S84" s="338"/>
      <c r="T84" s="479"/>
    </row>
    <row r="85" spans="1:20" s="409" customFormat="1" ht="30" hidden="1" customHeight="1" x14ac:dyDescent="0.2">
      <c r="A85" s="2254"/>
      <c r="B85" s="2269"/>
      <c r="C85" s="129" t="str">
        <f>+'Stock Rawmaterial'!C1111</f>
        <v>Z5.1</v>
      </c>
      <c r="D85" s="881" t="str">
        <f>+'Stock Rawmaterial'!D1111</f>
        <v>Rec.</v>
      </c>
      <c r="E85" s="882">
        <f>+'Stock Rawmaterial'!E1111</f>
        <v>43978</v>
      </c>
      <c r="F85" s="71">
        <f>+'Stock Rawmaterial'!F1111</f>
        <v>2283</v>
      </c>
      <c r="G85" s="71"/>
      <c r="H85" s="80">
        <f>+'Stock Rawmaterial'!G1111</f>
        <v>0</v>
      </c>
      <c r="I85" s="80">
        <f>+'Stock Rawmaterial'!H1111</f>
        <v>0</v>
      </c>
      <c r="J85" s="80">
        <f>+'Stock Rawmaterial'!I1111</f>
        <v>0</v>
      </c>
      <c r="K85" s="1604">
        <f>+'Stock Rawmaterial'!J1111</f>
        <v>0</v>
      </c>
      <c r="L85" s="1605">
        <f>+'Stock Rawmaterial'!K1111</f>
        <v>0</v>
      </c>
      <c r="M85" s="1576">
        <f>+'Stock Rawmaterial'!L1111</f>
        <v>0</v>
      </c>
      <c r="N85" s="287"/>
      <c r="O85" s="1636"/>
      <c r="P85" s="287"/>
      <c r="Q85" s="287">
        <f>+'Stock Rawmaterial'!K1111</f>
        <v>0</v>
      </c>
      <c r="R85" s="478"/>
      <c r="S85" s="338"/>
      <c r="T85" s="479"/>
    </row>
    <row r="86" spans="1:20" s="409" customFormat="1" ht="30" hidden="1" customHeight="1" x14ac:dyDescent="0.2">
      <c r="A86" s="2254"/>
      <c r="B86" s="2269"/>
      <c r="C86" s="129" t="str">
        <f>+'Stock Rawmaterial'!C1112</f>
        <v>A19.5</v>
      </c>
      <c r="D86" s="881" t="str">
        <f>+'Stock Rawmaterial'!D1112</f>
        <v>Rec.</v>
      </c>
      <c r="E86" s="882">
        <f>+'Stock Rawmaterial'!E1112</f>
        <v>44000</v>
      </c>
      <c r="F86" s="71">
        <f>+'Stock Rawmaterial'!F1112</f>
        <v>2261</v>
      </c>
      <c r="G86" s="71"/>
      <c r="H86" s="80">
        <f>+'Stock Rawmaterial'!G1112</f>
        <v>0</v>
      </c>
      <c r="I86" s="80">
        <f>+'Stock Rawmaterial'!H1112</f>
        <v>0</v>
      </c>
      <c r="J86" s="80">
        <f>+'Stock Rawmaterial'!I1112</f>
        <v>0</v>
      </c>
      <c r="K86" s="1604">
        <f>+'Stock Rawmaterial'!J1112</f>
        <v>0</v>
      </c>
      <c r="L86" s="1605">
        <f>+'Stock Rawmaterial'!K1112</f>
        <v>0</v>
      </c>
      <c r="M86" s="1576">
        <f>+'Stock Rawmaterial'!L1112</f>
        <v>0</v>
      </c>
      <c r="N86" s="287"/>
      <c r="O86" s="1636"/>
      <c r="P86" s="287"/>
      <c r="Q86" s="287">
        <f>+'Stock Rawmaterial'!K1112</f>
        <v>0</v>
      </c>
      <c r="R86" s="478"/>
      <c r="S86" s="338"/>
      <c r="T86" s="479"/>
    </row>
    <row r="87" spans="1:20" s="409" customFormat="1" ht="30" hidden="1" customHeight="1" x14ac:dyDescent="0.2">
      <c r="A87" s="2254"/>
      <c r="B87" s="2269"/>
      <c r="C87" s="129" t="str">
        <f>+'Stock Rawmaterial'!C1113</f>
        <v>Z5.1</v>
      </c>
      <c r="D87" s="881" t="str">
        <f>+'Stock Rawmaterial'!D1113</f>
        <v>Rec.</v>
      </c>
      <c r="E87" s="882">
        <f>+'Stock Rawmaterial'!E1113</f>
        <v>43978</v>
      </c>
      <c r="F87" s="71">
        <f>+'Stock Rawmaterial'!F1113</f>
        <v>2283</v>
      </c>
      <c r="G87" s="71"/>
      <c r="H87" s="80">
        <f>+'Stock Rawmaterial'!G1113</f>
        <v>0</v>
      </c>
      <c r="I87" s="80">
        <f>+'Stock Rawmaterial'!H1113</f>
        <v>0</v>
      </c>
      <c r="J87" s="80">
        <f>+'Stock Rawmaterial'!I1113</f>
        <v>0</v>
      </c>
      <c r="K87" s="1604">
        <f>+'Stock Rawmaterial'!J1113</f>
        <v>0</v>
      </c>
      <c r="L87" s="1605">
        <f>+'Stock Rawmaterial'!K1113</f>
        <v>0</v>
      </c>
      <c r="M87" s="1576">
        <f>+'Stock Rawmaterial'!L1113</f>
        <v>0</v>
      </c>
      <c r="N87" s="287"/>
      <c r="O87" s="287"/>
      <c r="P87" s="287"/>
      <c r="Q87" s="287">
        <f>+'Stock Rawmaterial'!K1113</f>
        <v>0</v>
      </c>
      <c r="R87" s="478"/>
      <c r="S87" s="338"/>
      <c r="T87" s="479"/>
    </row>
    <row r="88" spans="1:20" s="401" customFormat="1" ht="30" hidden="1" customHeight="1" x14ac:dyDescent="0.2">
      <c r="A88" s="2255"/>
      <c r="B88" s="2270"/>
      <c r="C88" s="1836" t="str">
        <f>+'Stock Rawmaterial'!C1114</f>
        <v>Feedmill</v>
      </c>
      <c r="D88" s="1691" t="str">
        <f>+'Stock Rawmaterial'!D1114</f>
        <v>Rec.</v>
      </c>
      <c r="E88" s="1696">
        <f>+'Stock Rawmaterial'!E1114</f>
        <v>45772</v>
      </c>
      <c r="F88" s="938">
        <f>+'Stock Rawmaterial'!F1114</f>
        <v>489</v>
      </c>
      <c r="G88" s="1693">
        <v>46495</v>
      </c>
      <c r="H88" s="80">
        <f>+'Stock Rawmaterial'!G1114</f>
        <v>0</v>
      </c>
      <c r="I88" s="80">
        <f>+'Stock Rawmaterial'!H1114</f>
        <v>0</v>
      </c>
      <c r="J88" s="80">
        <f>+'Stock Rawmaterial'!I1114</f>
        <v>0</v>
      </c>
      <c r="K88" s="1604">
        <f>+'Stock Rawmaterial'!J1114</f>
        <v>0</v>
      </c>
      <c r="L88" s="1605">
        <f>+'Stock Rawmaterial'!K1114</f>
        <v>0</v>
      </c>
      <c r="M88" s="1576">
        <f>+'Stock Rawmaterial'!L1114</f>
        <v>0</v>
      </c>
      <c r="N88" s="287"/>
      <c r="O88" s="287"/>
      <c r="P88" s="287"/>
      <c r="Q88" s="287">
        <f>+'Stock Rawmaterial'!K1114</f>
        <v>0</v>
      </c>
      <c r="R88" s="469"/>
      <c r="S88" s="437"/>
      <c r="T88" s="470"/>
    </row>
    <row r="89" spans="1:20" s="265" customFormat="1" ht="30" hidden="1" customHeight="1" x14ac:dyDescent="0.2">
      <c r="A89" s="2271" t="s">
        <v>1581</v>
      </c>
      <c r="B89" s="2039"/>
      <c r="C89" s="2039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Rawmaterial'!M1115</f>
        <v/>
      </c>
      <c r="O89" s="1640">
        <f>'Stock Rawmaterial'!N1115</f>
        <v>0</v>
      </c>
      <c r="P89" s="334">
        <f>'Stock Rawmaterial'!O1115</f>
        <v>0</v>
      </c>
      <c r="Q89" s="133">
        <f>'Stock Rawmaterial'!P1115</f>
        <v>0</v>
      </c>
      <c r="R89" s="466"/>
      <c r="S89" s="264"/>
      <c r="T89" s="467"/>
    </row>
    <row r="90" spans="1:20" s="409" customFormat="1" ht="30" hidden="1" customHeight="1" x14ac:dyDescent="0.2">
      <c r="A90" s="2253" t="str">
        <f>IF(M96=0,"",MAX($A$15:A89)+1)</f>
        <v/>
      </c>
      <c r="B90" s="2256" t="s">
        <v>1352</v>
      </c>
      <c r="C90" s="190" t="str">
        <f>+'Stock Rawmaterial'!C1116</f>
        <v>E2</v>
      </c>
      <c r="D90" s="881" t="s">
        <v>10</v>
      </c>
      <c r="E90" s="882">
        <f>+'Stock Rawmaterial'!E1116</f>
        <v>45855</v>
      </c>
      <c r="F90" s="882">
        <f>+'Stock Rawmaterial'!F1116</f>
        <v>406</v>
      </c>
      <c r="G90" s="1686">
        <v>45930</v>
      </c>
      <c r="H90" s="1740">
        <f>'Stock Rawmaterial'!G1116</f>
        <v>0</v>
      </c>
      <c r="I90" s="1740">
        <f>'Stock Rawmaterial'!H1116</f>
        <v>0</v>
      </c>
      <c r="J90" s="1740">
        <f>'Stock Rawmaterial'!I1116</f>
        <v>0</v>
      </c>
      <c r="K90" s="1740">
        <f>'Stock Rawmaterial'!J1116</f>
        <v>0</v>
      </c>
      <c r="L90" s="1740">
        <f>'Stock Rawmaterial'!K1116</f>
        <v>0</v>
      </c>
      <c r="M90" s="1740">
        <f>'Stock Rawmaterial'!L1116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4"/>
      <c r="B91" s="2257"/>
      <c r="C91" s="190">
        <f>+'Stock Rawmaterial'!C1117</f>
        <v>0</v>
      </c>
      <c r="D91" s="881" t="s">
        <v>10</v>
      </c>
      <c r="E91" s="882">
        <f>+'Stock Rawmaterial'!E1117</f>
        <v>44000</v>
      </c>
      <c r="F91" s="882">
        <f>+'Stock Rawmaterial'!F1117</f>
        <v>2261</v>
      </c>
      <c r="G91" s="72"/>
      <c r="H91" s="1841">
        <f>'Stock Rawmaterial'!G1117</f>
        <v>0</v>
      </c>
      <c r="I91" s="1841">
        <f>'Stock Rawmaterial'!H1117</f>
        <v>0</v>
      </c>
      <c r="J91" s="1841">
        <f>'Stock Rawmaterial'!I1117</f>
        <v>0</v>
      </c>
      <c r="K91" s="1841">
        <f>'Stock Rawmaterial'!J1117</f>
        <v>0</v>
      </c>
      <c r="L91" s="1841">
        <f>'Stock Rawmaterial'!K1117</f>
        <v>0</v>
      </c>
      <c r="M91" s="1841">
        <f>'Stock Rawmaterial'!L1117</f>
        <v>0</v>
      </c>
      <c r="N91" s="287"/>
      <c r="O91" s="1636"/>
      <c r="P91" s="287"/>
      <c r="Q91" s="287">
        <f>+'Stock Rawmaterial'!K1117</f>
        <v>0</v>
      </c>
      <c r="R91" s="478"/>
      <c r="S91" s="338"/>
      <c r="T91" s="479"/>
    </row>
    <row r="92" spans="1:20" s="409" customFormat="1" ht="30" hidden="1" customHeight="1" x14ac:dyDescent="0.2">
      <c r="A92" s="2254"/>
      <c r="B92" s="2257"/>
      <c r="C92" s="190">
        <f>+'Stock Rawmaterial'!C1118</f>
        <v>0</v>
      </c>
      <c r="D92" s="881" t="s">
        <v>10</v>
      </c>
      <c r="E92" s="882">
        <f>+'Stock Rawmaterial'!E1118</f>
        <v>43978</v>
      </c>
      <c r="F92" s="882">
        <f>+'Stock Rawmaterial'!F1118</f>
        <v>2283</v>
      </c>
      <c r="G92" s="72"/>
      <c r="H92" s="1841">
        <f>'Stock Rawmaterial'!G1118</f>
        <v>0</v>
      </c>
      <c r="I92" s="1841">
        <f>'Stock Rawmaterial'!H1118</f>
        <v>0</v>
      </c>
      <c r="J92" s="1841">
        <f>'Stock Rawmaterial'!I1118</f>
        <v>0</v>
      </c>
      <c r="K92" s="1841">
        <f>'Stock Rawmaterial'!J1118</f>
        <v>0</v>
      </c>
      <c r="L92" s="1841">
        <f>'Stock Rawmaterial'!K1118</f>
        <v>0</v>
      </c>
      <c r="M92" s="1841">
        <f>'Stock Rawmaterial'!L1118</f>
        <v>0</v>
      </c>
      <c r="N92" s="287"/>
      <c r="O92" s="1636"/>
      <c r="P92" s="287"/>
      <c r="Q92" s="287">
        <f>+'Stock Rawmaterial'!K1118</f>
        <v>0</v>
      </c>
      <c r="R92" s="478"/>
      <c r="S92" s="338"/>
      <c r="T92" s="479"/>
    </row>
    <row r="93" spans="1:20" s="409" customFormat="1" ht="30" hidden="1" customHeight="1" x14ac:dyDescent="0.2">
      <c r="A93" s="2254"/>
      <c r="B93" s="2257"/>
      <c r="C93" s="190">
        <f>+'Stock Rawmaterial'!C1119</f>
        <v>0</v>
      </c>
      <c r="D93" s="881" t="s">
        <v>10</v>
      </c>
      <c r="E93" s="882">
        <f>+'Stock Rawmaterial'!E1119</f>
        <v>44000</v>
      </c>
      <c r="F93" s="882">
        <f>+'Stock Rawmaterial'!F1119</f>
        <v>2261</v>
      </c>
      <c r="G93" s="72"/>
      <c r="H93" s="1841">
        <f>'Stock Rawmaterial'!G1119</f>
        <v>0</v>
      </c>
      <c r="I93" s="1841">
        <f>'Stock Rawmaterial'!H1119</f>
        <v>0</v>
      </c>
      <c r="J93" s="1841">
        <f>'Stock Rawmaterial'!I1119</f>
        <v>0</v>
      </c>
      <c r="K93" s="1841">
        <f>'Stock Rawmaterial'!J1119</f>
        <v>0</v>
      </c>
      <c r="L93" s="1841">
        <f>'Stock Rawmaterial'!K1119</f>
        <v>0</v>
      </c>
      <c r="M93" s="1841">
        <f>'Stock Rawmaterial'!L1119</f>
        <v>0</v>
      </c>
      <c r="N93" s="287"/>
      <c r="O93" s="1636"/>
      <c r="P93" s="287"/>
      <c r="Q93" s="287">
        <f>+'Stock Rawmaterial'!K1119</f>
        <v>0</v>
      </c>
      <c r="R93" s="478"/>
      <c r="S93" s="338"/>
      <c r="T93" s="479"/>
    </row>
    <row r="94" spans="1:20" s="409" customFormat="1" ht="30" hidden="1" customHeight="1" x14ac:dyDescent="0.2">
      <c r="A94" s="2254"/>
      <c r="B94" s="2257"/>
      <c r="C94" s="190">
        <f>+'Stock Rawmaterial'!C1120</f>
        <v>0</v>
      </c>
      <c r="D94" s="881" t="s">
        <v>10</v>
      </c>
      <c r="E94" s="882">
        <f>+'Stock Rawmaterial'!E1120</f>
        <v>43978</v>
      </c>
      <c r="F94" s="882">
        <f>+'Stock Rawmaterial'!F1120</f>
        <v>2283</v>
      </c>
      <c r="G94" s="72"/>
      <c r="H94" s="1841">
        <f>'Stock Rawmaterial'!G1120</f>
        <v>0</v>
      </c>
      <c r="I94" s="1841">
        <f>'Stock Rawmaterial'!H1120</f>
        <v>0</v>
      </c>
      <c r="J94" s="1841">
        <f>'Stock Rawmaterial'!I1120</f>
        <v>0</v>
      </c>
      <c r="K94" s="1841">
        <f>'Stock Rawmaterial'!J1120</f>
        <v>0</v>
      </c>
      <c r="L94" s="1841">
        <f>'Stock Rawmaterial'!K1120</f>
        <v>0</v>
      </c>
      <c r="M94" s="1841">
        <f>'Stock Rawmaterial'!L1120</f>
        <v>0</v>
      </c>
      <c r="N94" s="287"/>
      <c r="O94" s="287"/>
      <c r="P94" s="287"/>
      <c r="Q94" s="287">
        <f>+'Stock Rawmaterial'!K1120</f>
        <v>0</v>
      </c>
      <c r="R94" s="478"/>
      <c r="S94" s="338"/>
      <c r="T94" s="479"/>
    </row>
    <row r="95" spans="1:20" s="401" customFormat="1" ht="30" hidden="1" customHeight="1" x14ac:dyDescent="0.2">
      <c r="A95" s="2255"/>
      <c r="B95" s="2258"/>
      <c r="C95" s="190" t="str">
        <f>+'Stock Rawmaterial'!C1121</f>
        <v>Feedmill</v>
      </c>
      <c r="D95" s="1150" t="s">
        <v>10</v>
      </c>
      <c r="E95" s="882">
        <f>+'Stock Rawmaterial'!E1121</f>
        <v>45855</v>
      </c>
      <c r="F95" s="882">
        <f>+'Stock Rawmaterial'!F1121</f>
        <v>406</v>
      </c>
      <c r="G95" s="1686">
        <v>45930</v>
      </c>
      <c r="H95" s="1841">
        <f>'Stock Rawmaterial'!G1121</f>
        <v>0</v>
      </c>
      <c r="I95" s="1841">
        <f>'Stock Rawmaterial'!H1121</f>
        <v>0</v>
      </c>
      <c r="J95" s="1841">
        <f>'Stock Rawmaterial'!I1121</f>
        <v>0</v>
      </c>
      <c r="K95" s="1841">
        <f>'Stock Rawmaterial'!J1121</f>
        <v>0</v>
      </c>
      <c r="L95" s="1841">
        <f>'Stock Rawmaterial'!K1121</f>
        <v>0</v>
      </c>
      <c r="M95" s="1841">
        <f>'Stock Rawmaterial'!L1121</f>
        <v>0</v>
      </c>
      <c r="N95" s="287"/>
      <c r="O95" s="287"/>
      <c r="P95" s="287"/>
      <c r="Q95" s="287">
        <f>+'Stock Rawmaterial'!K1121</f>
        <v>0</v>
      </c>
      <c r="R95" s="469"/>
      <c r="S95" s="437"/>
      <c r="T95" s="470"/>
    </row>
    <row r="96" spans="1:20" s="265" customFormat="1" ht="30" hidden="1" customHeight="1" x14ac:dyDescent="0.2">
      <c r="A96" s="2271" t="s">
        <v>1353</v>
      </c>
      <c r="B96" s="2039"/>
      <c r="C96" s="2039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3">
        <f>IF(M104=0,"",MAX($A$15:A96)+1)</f>
        <v>6</v>
      </c>
      <c r="B97" s="2256" t="s">
        <v>1345</v>
      </c>
      <c r="C97" s="129">
        <f>+'Stock Rawmaterial'!C1123</f>
        <v>0</v>
      </c>
      <c r="D97" s="881" t="str">
        <f>+'Stock Rawmaterial'!D1123</f>
        <v>Rec.</v>
      </c>
      <c r="E97" s="882">
        <f>+'Stock Rawmaterial'!E1123</f>
        <v>45829</v>
      </c>
      <c r="F97" s="71">
        <f>+'Stock Rawmaterial'!F1123</f>
        <v>432</v>
      </c>
      <c r="G97" s="1687">
        <v>46516</v>
      </c>
      <c r="H97" s="80">
        <f>+'Stock Rawmaterial'!G1123</f>
        <v>0</v>
      </c>
      <c r="I97" s="80">
        <f>+'Stock Rawmaterial'!H1123</f>
        <v>0</v>
      </c>
      <c r="J97" s="80">
        <f>+'Stock Rawmaterial'!I1123</f>
        <v>0</v>
      </c>
      <c r="K97" s="1604">
        <f>+'Stock Rawmaterial'!J1123</f>
        <v>0</v>
      </c>
      <c r="L97" s="1605">
        <f>+'Stock Rawmaterial'!K1123</f>
        <v>0</v>
      </c>
      <c r="M97" s="1672">
        <f>+'Stock Rawmaterial'!L1123</f>
        <v>0</v>
      </c>
      <c r="N97" s="162">
        <f>+'Stock Rawmaterial'!M1123</f>
        <v>0</v>
      </c>
      <c r="O97" s="336">
        <f>+'Stock Rawmaterial'!J1123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4"/>
      <c r="B98" s="2257"/>
      <c r="C98" s="129">
        <f>+'Stock Rawmaterial'!C1124</f>
        <v>0</v>
      </c>
      <c r="D98" s="881" t="str">
        <f>+'Stock Rawmaterial'!D1124</f>
        <v>Rec.</v>
      </c>
      <c r="E98" s="882">
        <f>+'Stock Rawmaterial'!E1124</f>
        <v>46171</v>
      </c>
      <c r="F98" s="71">
        <f>+'Stock Rawmaterial'!F1124</f>
        <v>90</v>
      </c>
      <c r="G98" s="1686">
        <v>46557</v>
      </c>
      <c r="H98" s="80">
        <f>+'Stock Rawmaterial'!G1124</f>
        <v>0</v>
      </c>
      <c r="I98" s="80">
        <f>+'Stock Rawmaterial'!H1124</f>
        <v>0</v>
      </c>
      <c r="J98" s="80">
        <f>+'Stock Rawmaterial'!I1124</f>
        <v>0</v>
      </c>
      <c r="K98" s="1604">
        <f>+'Stock Rawmaterial'!J1124</f>
        <v>0</v>
      </c>
      <c r="L98" s="1605">
        <f>+'Stock Rawmaterial'!K1124</f>
        <v>0</v>
      </c>
      <c r="M98" s="1847">
        <f>+'Stock Rawmaterial'!L1124</f>
        <v>0</v>
      </c>
      <c r="N98" s="162"/>
      <c r="O98" s="1966">
        <f>+'Stock Rawmaterial'!J1124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54"/>
      <c r="B99" s="2257"/>
      <c r="C99" s="129" t="str">
        <f>+'Stock Rawmaterial'!C1125</f>
        <v>E1</v>
      </c>
      <c r="D99" s="881" t="str">
        <f>+'Stock Rawmaterial'!D1125</f>
        <v>Rec.</v>
      </c>
      <c r="E99" s="882">
        <f>+'Stock Rawmaterial'!E1125</f>
        <v>46199</v>
      </c>
      <c r="F99" s="71">
        <f>+'Stock Rawmaterial'!F1125</f>
        <v>62</v>
      </c>
      <c r="G99" s="1954">
        <v>46824</v>
      </c>
      <c r="H99" s="80">
        <f>+'Stock Rawmaterial'!G1125</f>
        <v>300</v>
      </c>
      <c r="I99" s="80">
        <f>+'Stock Rawmaterial'!H1125</f>
        <v>0</v>
      </c>
      <c r="J99" s="80">
        <f>+'Stock Rawmaterial'!I1125</f>
        <v>0</v>
      </c>
      <c r="K99" s="1604">
        <f>+'Stock Rawmaterial'!J1125</f>
        <v>0</v>
      </c>
      <c r="L99" s="1605">
        <f>+'Stock Rawmaterial'!K1125</f>
        <v>80</v>
      </c>
      <c r="M99" s="1576">
        <f>+'Stock Rawmaterial'!L1125</f>
        <v>220</v>
      </c>
      <c r="N99" s="287"/>
      <c r="O99" s="1968">
        <f>+'Stock Rawmaterial'!J1125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54"/>
      <c r="B100" s="2257"/>
      <c r="C100" s="129" t="str">
        <f>+'Stock Rawmaterial'!C1126</f>
        <v>E1</v>
      </c>
      <c r="D100" s="881" t="str">
        <f>+'Stock Rawmaterial'!D1126</f>
        <v>Rec.</v>
      </c>
      <c r="E100" s="882">
        <f>+'Stock Rawmaterial'!E1126</f>
        <v>46247</v>
      </c>
      <c r="F100" s="71">
        <f>+'Stock Rawmaterial'!F1126</f>
        <v>14</v>
      </c>
      <c r="G100" s="1954">
        <v>46824</v>
      </c>
      <c r="H100" s="80">
        <f>+'Stock Rawmaterial'!G1126</f>
        <v>2000</v>
      </c>
      <c r="I100" s="80">
        <f>+'Stock Rawmaterial'!H1126</f>
        <v>0</v>
      </c>
      <c r="J100" s="80">
        <f>+'Stock Rawmaterial'!I1126</f>
        <v>0</v>
      </c>
      <c r="K100" s="1604">
        <f>+'Stock Rawmaterial'!J1126</f>
        <v>0</v>
      </c>
      <c r="L100" s="1605">
        <f>+'Stock Rawmaterial'!K1126</f>
        <v>0</v>
      </c>
      <c r="M100" s="1576">
        <f>+'Stock Rawmaterial'!L1126</f>
        <v>2000</v>
      </c>
      <c r="N100" s="287"/>
      <c r="O100" s="1968">
        <f>+'Stock Rawmaterial'!J1126</f>
        <v>0</v>
      </c>
      <c r="P100" s="287"/>
      <c r="Q100" s="287"/>
      <c r="R100" s="478"/>
      <c r="S100" s="338"/>
      <c r="T100" s="479"/>
    </row>
    <row r="101" spans="1:20" s="409" customFormat="1" ht="30" hidden="1" customHeight="1" x14ac:dyDescent="0.2">
      <c r="A101" s="2254"/>
      <c r="B101" s="2257"/>
      <c r="C101" s="129" t="str">
        <f>+'Stock Rawmaterial'!C1127</f>
        <v>E1</v>
      </c>
      <c r="D101" s="881" t="str">
        <f>+'Stock Rawmaterial'!D1127</f>
        <v>Rec.</v>
      </c>
      <c r="E101" s="882">
        <f>+'Stock Rawmaterial'!E1127</f>
        <v>46254</v>
      </c>
      <c r="F101" s="71">
        <f>+'Stock Rawmaterial'!F1127</f>
        <v>7</v>
      </c>
      <c r="G101" s="1954">
        <v>46880</v>
      </c>
      <c r="H101" s="80">
        <f>+'Stock Rawmaterial'!G1127</f>
        <v>1000</v>
      </c>
      <c r="I101" s="80">
        <f>+'Stock Rawmaterial'!H1127</f>
        <v>0</v>
      </c>
      <c r="J101" s="80">
        <f>+'Stock Rawmaterial'!I1127</f>
        <v>0</v>
      </c>
      <c r="K101" s="1604">
        <f>+'Stock Rawmaterial'!J1127</f>
        <v>0</v>
      </c>
      <c r="L101" s="1605">
        <f>+'Stock Rawmaterial'!K1127</f>
        <v>0</v>
      </c>
      <c r="M101" s="1576">
        <f>+'Stock Rawmaterial'!L1127</f>
        <v>1000</v>
      </c>
      <c r="N101" s="1273"/>
      <c r="O101" s="1967">
        <f>+'Stock Rawmaterial'!J1127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54"/>
      <c r="B102" s="2292"/>
      <c r="C102" s="129">
        <f>+'Stock Rawmaterial'!C1128</f>
        <v>0</v>
      </c>
      <c r="D102" s="881" t="str">
        <f>+'Stock Rawmaterial'!D1128</f>
        <v>Rec.</v>
      </c>
      <c r="E102" s="882">
        <f>+'Stock Rawmaterial'!E1128</f>
        <v>46192</v>
      </c>
      <c r="F102" s="71">
        <f>+'Stock Rawmaterial'!F1128</f>
        <v>69</v>
      </c>
      <c r="G102" s="1954">
        <v>46771</v>
      </c>
      <c r="H102" s="80">
        <f>+'Stock Rawmaterial'!G1128</f>
        <v>0</v>
      </c>
      <c r="I102" s="80">
        <f>+'Stock Rawmaterial'!H1128</f>
        <v>0</v>
      </c>
      <c r="J102" s="80">
        <f>+'Stock Rawmaterial'!I1128</f>
        <v>0</v>
      </c>
      <c r="K102" s="1604">
        <f>+'Stock Rawmaterial'!J1128</f>
        <v>0</v>
      </c>
      <c r="L102" s="1605">
        <f>+'Stock Rawmaterial'!K1128</f>
        <v>0</v>
      </c>
      <c r="M102" s="1576">
        <f>+'Stock Rawmaterial'!L1128</f>
        <v>0</v>
      </c>
      <c r="N102" s="1273"/>
      <c r="O102" s="333">
        <f>+'Stock Rawmaterial'!J1128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55"/>
      <c r="B103" s="2258"/>
      <c r="C103" s="1836" t="str">
        <f>+'Stock Rawmaterial'!C1129</f>
        <v>Feedmill</v>
      </c>
      <c r="D103" s="1691" t="str">
        <f>+'Stock Rawmaterial'!D1129</f>
        <v>Rec.</v>
      </c>
      <c r="E103" s="1696">
        <f>+'Stock Rawmaterial'!E1129</f>
        <v>46199</v>
      </c>
      <c r="F103" s="938">
        <f>+'Stock Rawmaterial'!F1129</f>
        <v>62</v>
      </c>
      <c r="G103" s="1955">
        <v>46824</v>
      </c>
      <c r="H103" s="80">
        <f>+'Stock Rawmaterial'!G1129</f>
        <v>73.430000000000007</v>
      </c>
      <c r="I103" s="80">
        <f>+'Stock Rawmaterial'!H1129</f>
        <v>0</v>
      </c>
      <c r="J103" s="80">
        <f>+'Stock Rawmaterial'!I1129</f>
        <v>80</v>
      </c>
      <c r="K103" s="1604">
        <f>+'Stock Rawmaterial'!J1129</f>
        <v>77.55</v>
      </c>
      <c r="L103" s="1605">
        <f>+'Stock Rawmaterial'!K1129</f>
        <v>0</v>
      </c>
      <c r="M103" s="1576">
        <f>+'Stock Rawmaterial'!L1129</f>
        <v>75.88000000000001</v>
      </c>
      <c r="N103" s="1274"/>
      <c r="O103" s="1274"/>
      <c r="P103" s="287"/>
      <c r="Q103" s="287">
        <f>+'Stock Rawmaterial'!K1129</f>
        <v>0</v>
      </c>
      <c r="R103" s="469"/>
      <c r="S103" s="437"/>
      <c r="T103" s="470"/>
    </row>
    <row r="104" spans="1:20" s="265" customFormat="1" ht="30" customHeight="1" x14ac:dyDescent="0.2">
      <c r="A104" s="2022" t="s">
        <v>75</v>
      </c>
      <c r="B104" s="2023"/>
      <c r="C104" s="88"/>
      <c r="D104" s="864"/>
      <c r="E104" s="864">
        <f>+'Stock Rawmaterial'!E1130</f>
        <v>0</v>
      </c>
      <c r="F104" s="865"/>
      <c r="G104" s="1825"/>
      <c r="H104" s="231">
        <f>SUM(H97:H103)</f>
        <v>3373.43</v>
      </c>
      <c r="I104" s="231">
        <f t="shared" ref="I104:M104" si="12">SUM(I97:I103)</f>
        <v>0</v>
      </c>
      <c r="J104" s="231">
        <f t="shared" si="12"/>
        <v>80</v>
      </c>
      <c r="K104" s="231">
        <f t="shared" si="12"/>
        <v>77.55</v>
      </c>
      <c r="L104" s="231">
        <f t="shared" si="12"/>
        <v>80</v>
      </c>
      <c r="M104" s="231">
        <f t="shared" si="12"/>
        <v>3295.88</v>
      </c>
      <c r="N104" s="133">
        <f>'Stock Rawmaterial'!M1130</f>
        <v>115.35000000000001</v>
      </c>
      <c r="O104" s="133">
        <f>'Stock Rawmaterial'!N1130</f>
        <v>28.5728651928912</v>
      </c>
      <c r="P104" s="133">
        <f>'Stock Rawmaterial'!O1130</f>
        <v>135</v>
      </c>
      <c r="Q104" s="133">
        <f>'Stock Rawmaterial'!P1130</f>
        <v>24.413925925925927</v>
      </c>
      <c r="R104" s="466"/>
      <c r="S104" s="264"/>
      <c r="T104" s="467"/>
    </row>
    <row r="105" spans="1:20" s="409" customFormat="1" ht="30" hidden="1" customHeight="1" x14ac:dyDescent="0.2">
      <c r="A105" s="2253" t="str">
        <f>IF(M109=0,"",MAX($A$15:A104)+1)</f>
        <v/>
      </c>
      <c r="B105" s="2256" t="s">
        <v>1575</v>
      </c>
      <c r="C105" s="129">
        <f>+'Stock Rawmaterial'!C1131</f>
        <v>0</v>
      </c>
      <c r="D105" s="881" t="str">
        <f>+'Stock Rawmaterial'!D1131</f>
        <v>Rec.</v>
      </c>
      <c r="E105" s="882">
        <f>+'Stock Rawmaterial'!E1131</f>
        <v>46132</v>
      </c>
      <c r="F105" s="71">
        <f>+'Stock Rawmaterial'!F1131</f>
        <v>129</v>
      </c>
      <c r="G105" s="1830">
        <v>46861</v>
      </c>
      <c r="H105" s="80">
        <f>+'Stock Rawmaterial'!G1131</f>
        <v>0</v>
      </c>
      <c r="I105" s="80">
        <f>+'Stock Rawmaterial'!H1131</f>
        <v>0</v>
      </c>
      <c r="J105" s="80">
        <f>+'Stock Rawmaterial'!I1131</f>
        <v>0</v>
      </c>
      <c r="K105" s="1604">
        <f>+'Stock Rawmaterial'!J1131</f>
        <v>0</v>
      </c>
      <c r="L105" s="1605">
        <f>+'Stock Rawmaterial'!K1131</f>
        <v>0</v>
      </c>
      <c r="M105" s="1672">
        <f>+'Stock Rawmaterial'!L1131</f>
        <v>0</v>
      </c>
      <c r="N105" s="162">
        <f>+'Stock Rawmaterial'!M1131</f>
        <v>0</v>
      </c>
      <c r="O105" s="336">
        <f>+'Stock Rawmaterial'!J1131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4"/>
      <c r="B106" s="2257"/>
      <c r="C106" s="129">
        <f>+'Stock Rawmaterial'!C1132</f>
        <v>0</v>
      </c>
      <c r="D106" s="881" t="str">
        <f>+'Stock Rawmaterial'!D1132</f>
        <v>Rec.</v>
      </c>
      <c r="E106" s="882">
        <f>+'Stock Rawmaterial'!E1132</f>
        <v>45268</v>
      </c>
      <c r="F106" s="71">
        <f>+'Stock Rawmaterial'!F1132</f>
        <v>993</v>
      </c>
      <c r="G106" s="71"/>
      <c r="H106" s="80">
        <f>+'Stock Rawmaterial'!G1132</f>
        <v>0</v>
      </c>
      <c r="I106" s="80">
        <f>+'Stock Rawmaterial'!H1132</f>
        <v>0</v>
      </c>
      <c r="J106" s="80">
        <f>+'Stock Rawmaterial'!I1132</f>
        <v>0</v>
      </c>
      <c r="K106" s="1604">
        <f>+'Stock Rawmaterial'!J1132</f>
        <v>0</v>
      </c>
      <c r="L106" s="1605">
        <f>+'Stock Rawmaterial'!K1132</f>
        <v>0</v>
      </c>
      <c r="M106" s="1576">
        <f>+'Stock Rawmaterial'!L1132</f>
        <v>0</v>
      </c>
      <c r="N106" s="162"/>
      <c r="O106" s="336">
        <f>+'Stock Rawmaterial'!J1132</f>
        <v>0</v>
      </c>
      <c r="P106" s="287"/>
      <c r="Q106" s="287">
        <f>+'Stock Rawmaterial'!K1132</f>
        <v>0</v>
      </c>
      <c r="R106" s="478"/>
      <c r="S106" s="338"/>
      <c r="T106" s="479"/>
    </row>
    <row r="107" spans="1:20" s="409" customFormat="1" ht="30" hidden="1" customHeight="1" x14ac:dyDescent="0.2">
      <c r="A107" s="2254"/>
      <c r="B107" s="2257"/>
      <c r="C107" s="129">
        <f>+'Stock Rawmaterial'!C1133</f>
        <v>0</v>
      </c>
      <c r="D107" s="881" t="str">
        <f>+'Stock Rawmaterial'!D1133</f>
        <v>Rec.</v>
      </c>
      <c r="E107" s="882">
        <f>+'Stock Rawmaterial'!E1133</f>
        <v>43021</v>
      </c>
      <c r="F107" s="71">
        <f>+'Stock Rawmaterial'!F1133</f>
        <v>3240</v>
      </c>
      <c r="G107" s="71"/>
      <c r="H107" s="80">
        <f>+'Stock Rawmaterial'!G1133</f>
        <v>0</v>
      </c>
      <c r="I107" s="80">
        <f>+'Stock Rawmaterial'!H1133</f>
        <v>0</v>
      </c>
      <c r="J107" s="80">
        <f>+'Stock Rawmaterial'!I1133</f>
        <v>0</v>
      </c>
      <c r="K107" s="1604">
        <f>+'Stock Rawmaterial'!J1133</f>
        <v>0</v>
      </c>
      <c r="L107" s="1605">
        <f>+'Stock Rawmaterial'!K1133</f>
        <v>0</v>
      </c>
      <c r="M107" s="1576">
        <f>+'Stock Rawmaterial'!L1133</f>
        <v>0</v>
      </c>
      <c r="N107" s="287"/>
      <c r="O107" s="336">
        <f>+'Stock Rawmaterial'!J1133</f>
        <v>0</v>
      </c>
      <c r="P107" s="287"/>
      <c r="Q107" s="287">
        <f>+'Stock Rawmaterial'!K1133</f>
        <v>0</v>
      </c>
      <c r="R107" s="478"/>
      <c r="S107" s="338"/>
      <c r="T107" s="479"/>
    </row>
    <row r="108" spans="1:20" s="401" customFormat="1" ht="30" hidden="1" customHeight="1" x14ac:dyDescent="0.2">
      <c r="A108" s="2255"/>
      <c r="B108" s="2258"/>
      <c r="C108" s="1153" t="str">
        <f>+'Stock Rawmaterial'!C1134</f>
        <v>Feedmill</v>
      </c>
      <c r="D108" s="1691" t="str">
        <f>+'Stock Rawmaterial'!D1134</f>
        <v>Rec.</v>
      </c>
      <c r="E108" s="1696">
        <f>+'Stock Rawmaterial'!E1134</f>
        <v>46132</v>
      </c>
      <c r="F108" s="71">
        <f>+'Stock Rawmaterial'!F1134</f>
        <v>129</v>
      </c>
      <c r="G108" s="1830">
        <v>46861</v>
      </c>
      <c r="H108" s="80">
        <f>+'Stock Rawmaterial'!G1134</f>
        <v>0</v>
      </c>
      <c r="I108" s="80">
        <f>+'Stock Rawmaterial'!H1134</f>
        <v>0</v>
      </c>
      <c r="J108" s="80">
        <f>+'Stock Rawmaterial'!I1134</f>
        <v>0</v>
      </c>
      <c r="K108" s="1604">
        <f>+'Stock Rawmaterial'!J1134</f>
        <v>0</v>
      </c>
      <c r="L108" s="1605">
        <f>+'Stock Rawmaterial'!K1134</f>
        <v>0</v>
      </c>
      <c r="M108" s="1576">
        <f>+'Stock Rawmaterial'!L1134</f>
        <v>0</v>
      </c>
      <c r="N108" s="1274"/>
      <c r="O108" s="1274"/>
      <c r="P108" s="287"/>
      <c r="Q108" s="287">
        <f>+'Stock Rawmaterial'!K1134</f>
        <v>0</v>
      </c>
      <c r="R108" s="469"/>
      <c r="S108" s="437"/>
      <c r="T108" s="470"/>
    </row>
    <row r="109" spans="1:20" s="265" customFormat="1" ht="30" hidden="1" customHeight="1" x14ac:dyDescent="0.2">
      <c r="A109" s="2022" t="s">
        <v>1576</v>
      </c>
      <c r="B109" s="2023"/>
      <c r="C109" s="88"/>
      <c r="D109" s="864"/>
      <c r="E109" s="864">
        <f>+'Stock Rawmaterial'!E1135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Rawmaterial'!M1135</f>
        <v/>
      </c>
      <c r="O109" s="133">
        <f>'Stock Rawmaterial'!N1135</f>
        <v>0</v>
      </c>
      <c r="P109" s="133">
        <f>'Stock Rawmaterial'!O1135</f>
        <v>84.833333333333329</v>
      </c>
      <c r="Q109" s="133">
        <f>'Stock Rawmaterial'!P1135</f>
        <v>0</v>
      </c>
      <c r="R109" s="466"/>
      <c r="S109" s="264"/>
      <c r="T109" s="467"/>
    </row>
    <row r="110" spans="1:20" s="265" customFormat="1" ht="30" hidden="1" customHeight="1" x14ac:dyDescent="0.2">
      <c r="A110" s="2030" t="str">
        <f>IF(M115=0,"",MAX($A$15:A104)+1)</f>
        <v/>
      </c>
      <c r="B110" s="2156" t="s">
        <v>408</v>
      </c>
      <c r="C110" s="139">
        <f>+'Stock Rawmaterial'!C1153</f>
        <v>0</v>
      </c>
      <c r="D110" s="881" t="s">
        <v>10</v>
      </c>
      <c r="E110" s="882">
        <f>+'Stock Rawmaterial'!E1153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Rawmaterial'!H1153</f>
        <v>0</v>
      </c>
      <c r="M110" s="80">
        <f>+'Stock Rawmaterial'!I1153</f>
        <v>0</v>
      </c>
      <c r="N110" s="287"/>
      <c r="O110" s="1636"/>
      <c r="P110" s="287"/>
      <c r="Q110" s="287">
        <f>+'Stock Rawmaterial'!K1153</f>
        <v>0</v>
      </c>
      <c r="R110" s="466"/>
      <c r="S110" s="264"/>
      <c r="T110" s="467"/>
    </row>
    <row r="111" spans="1:20" s="265" customFormat="1" ht="30" hidden="1" customHeight="1" x14ac:dyDescent="0.2">
      <c r="A111" s="2031"/>
      <c r="B111" s="2158"/>
      <c r="C111" s="127" t="str">
        <f>+'Stock Rawmaterial'!C1154</f>
        <v>V5.1</v>
      </c>
      <c r="D111" s="881" t="s">
        <v>10</v>
      </c>
      <c r="E111" s="882">
        <f>+'Stock Rawmaterial'!E1154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Rawmaterial'!H1154</f>
        <v>0</v>
      </c>
      <c r="M111" s="80">
        <f>+'Stock Rawmaterial'!I1154</f>
        <v>0</v>
      </c>
      <c r="N111" s="287"/>
      <c r="O111" s="1636"/>
      <c r="P111" s="287"/>
      <c r="Q111" s="287">
        <f>+'Stock Rawmaterial'!K1154</f>
        <v>0</v>
      </c>
      <c r="R111" s="466"/>
      <c r="S111" s="264"/>
      <c r="T111" s="467"/>
    </row>
    <row r="112" spans="1:20" s="265" customFormat="1" ht="30" hidden="1" customHeight="1" x14ac:dyDescent="0.2">
      <c r="A112" s="2031"/>
      <c r="B112" s="2158"/>
      <c r="C112" s="127"/>
      <c r="D112" s="881" t="s">
        <v>10</v>
      </c>
      <c r="E112" s="882">
        <f>+'Stock Rawmaterial'!E1155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Rawmaterial'!H1155</f>
        <v>0</v>
      </c>
      <c r="M112" s="80">
        <f>+'Stock Rawmaterial'!I1155</f>
        <v>0</v>
      </c>
      <c r="N112" s="287"/>
      <c r="O112" s="1636"/>
      <c r="P112" s="287"/>
      <c r="Q112" s="287">
        <f>+'Stock Rawmaterial'!K1155</f>
        <v>0</v>
      </c>
      <c r="R112" s="466"/>
      <c r="S112" s="264"/>
      <c r="T112" s="467"/>
    </row>
    <row r="113" spans="1:20" s="265" customFormat="1" ht="30" hidden="1" customHeight="1" x14ac:dyDescent="0.2">
      <c r="A113" s="2031"/>
      <c r="B113" s="2158"/>
      <c r="C113" s="127">
        <f>+'Stock Rawmaterial'!C1156</f>
        <v>0</v>
      </c>
      <c r="D113" s="881" t="s">
        <v>10</v>
      </c>
      <c r="E113" s="882">
        <f>+'Stock Rawmaterial'!E1156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Rawmaterial'!H1156</f>
        <v>0</v>
      </c>
      <c r="M113" s="80">
        <f>+'Stock Rawmaterial'!I1156</f>
        <v>0</v>
      </c>
      <c r="N113" s="287"/>
      <c r="O113" s="1636"/>
      <c r="P113" s="287"/>
      <c r="Q113" s="287">
        <f>+'Stock Rawmaterial'!K1156</f>
        <v>0</v>
      </c>
      <c r="R113" s="466"/>
      <c r="S113" s="264"/>
      <c r="T113" s="467"/>
    </row>
    <row r="114" spans="1:20" s="418" customFormat="1" ht="30" hidden="1" customHeight="1" x14ac:dyDescent="0.2">
      <c r="A114" s="2032"/>
      <c r="B114" s="2160"/>
      <c r="C114" s="61" t="str">
        <f>+'Stock Rawmaterial'!C1157</f>
        <v>Feedmil</v>
      </c>
      <c r="D114" s="863" t="s">
        <v>10</v>
      </c>
      <c r="E114" s="886">
        <f>+'Stock Rawmaterial'!E1157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Rawmaterial'!H1157</f>
        <v>0</v>
      </c>
      <c r="M114" s="1584">
        <f>+'Stock Rawmaterial'!I1157</f>
        <v>0</v>
      </c>
      <c r="N114" s="329"/>
      <c r="O114" s="282">
        <f>+usage!I114</f>
        <v>0</v>
      </c>
      <c r="P114" s="329"/>
      <c r="Q114" s="287">
        <f>+'Stock Rawmaterial'!K1157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0">
        <f>IF(M122=0,"",MAX($A$15:A115)+1)</f>
        <v>7</v>
      </c>
      <c r="B116" s="2272" t="s">
        <v>277</v>
      </c>
      <c r="C116" s="127" t="str">
        <f>'Stock Rawmaterial'!C1159</f>
        <v>E3</v>
      </c>
      <c r="D116" s="866" t="str">
        <f>'Stock Rawmaterial'!D1159</f>
        <v>Rec.</v>
      </c>
      <c r="E116" s="867">
        <f>'Stock Rawmaterial'!E1159</f>
        <v>46225</v>
      </c>
      <c r="F116" s="75">
        <f>'Stock Rawmaterial'!F1159</f>
        <v>36</v>
      </c>
      <c r="G116" s="1689">
        <v>46609</v>
      </c>
      <c r="H116" s="80">
        <f>'Stock Rawmaterial'!G1159</f>
        <v>25</v>
      </c>
      <c r="I116" s="80">
        <f>'Stock Rawmaterial'!H1159</f>
        <v>0</v>
      </c>
      <c r="J116" s="80">
        <f>'Stock Rawmaterial'!I1159</f>
        <v>0</v>
      </c>
      <c r="K116" s="1575">
        <f>'Stock Rawmaterial'!J1159</f>
        <v>0</v>
      </c>
      <c r="L116" s="1605">
        <f>'Stock Rawmaterial'!K1159</f>
        <v>0</v>
      </c>
      <c r="M116" s="1672">
        <f>'Stock Rawmaterial'!L1159</f>
        <v>25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1"/>
      <c r="B117" s="2272"/>
      <c r="C117" s="127">
        <f>'Stock Rawmaterial'!C1160</f>
        <v>0</v>
      </c>
      <c r="D117" s="866" t="str">
        <f>'Stock Rawmaterial'!D1160</f>
        <v>Rec.</v>
      </c>
      <c r="E117" s="867">
        <f>'Stock Rawmaterial'!E1160</f>
        <v>45758</v>
      </c>
      <c r="F117" s="75">
        <f>'Stock Rawmaterial'!F1160</f>
        <v>503</v>
      </c>
      <c r="G117" s="1688">
        <v>46385</v>
      </c>
      <c r="H117" s="80">
        <f>'Stock Rawmaterial'!G1160</f>
        <v>0</v>
      </c>
      <c r="I117" s="80">
        <f>'Stock Rawmaterial'!H1160</f>
        <v>0</v>
      </c>
      <c r="J117" s="80">
        <f>'Stock Rawmaterial'!I1160</f>
        <v>0</v>
      </c>
      <c r="K117" s="1575">
        <f>'Stock Rawmaterial'!J1160</f>
        <v>0</v>
      </c>
      <c r="L117" s="1605">
        <f>'Stock Rawmaterial'!K1160</f>
        <v>0</v>
      </c>
      <c r="M117" s="1672">
        <f>'Stock Rawmaterial'!L1160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1"/>
      <c r="B118" s="2272"/>
      <c r="C118" s="127">
        <f>'Stock Rawmaterial'!C1161</f>
        <v>0</v>
      </c>
      <c r="D118" s="866" t="str">
        <f>'Stock Rawmaterial'!D1161</f>
        <v>Rec.</v>
      </c>
      <c r="E118" s="867">
        <f>'Stock Rawmaterial'!E1161</f>
        <v>45660</v>
      </c>
      <c r="F118" s="75">
        <f>'Stock Rawmaterial'!F1161</f>
        <v>601</v>
      </c>
      <c r="G118" s="1688">
        <v>46121</v>
      </c>
      <c r="H118" s="80">
        <f>'Stock Rawmaterial'!G1161</f>
        <v>0</v>
      </c>
      <c r="I118" s="80">
        <f>'Stock Rawmaterial'!H1161</f>
        <v>0</v>
      </c>
      <c r="J118" s="80">
        <f>'Stock Rawmaterial'!I1161</f>
        <v>0</v>
      </c>
      <c r="K118" s="1575">
        <f>'Stock Rawmaterial'!J1161</f>
        <v>0</v>
      </c>
      <c r="L118" s="1605">
        <f>'Stock Rawmaterial'!K1161</f>
        <v>0</v>
      </c>
      <c r="M118" s="1672">
        <f>'Stock Rawmaterial'!L1161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1"/>
      <c r="B119" s="2272"/>
      <c r="C119" s="127">
        <f>'Stock Rawmaterial'!C1162</f>
        <v>0</v>
      </c>
      <c r="D119" s="866" t="str">
        <f>'Stock Rawmaterial'!D1162</f>
        <v>Rec.</v>
      </c>
      <c r="E119" s="867">
        <f>'Stock Rawmaterial'!E1162</f>
        <v>45638</v>
      </c>
      <c r="F119" s="75">
        <f>'Stock Rawmaterial'!F1162</f>
        <v>623</v>
      </c>
      <c r="G119" s="1688">
        <v>46121</v>
      </c>
      <c r="H119" s="80">
        <f>'Stock Rawmaterial'!G1162</f>
        <v>0</v>
      </c>
      <c r="I119" s="80">
        <f>'Stock Rawmaterial'!H1162</f>
        <v>0</v>
      </c>
      <c r="J119" s="80">
        <f>'Stock Rawmaterial'!I1162</f>
        <v>0</v>
      </c>
      <c r="K119" s="1575">
        <f>'Stock Rawmaterial'!J1162</f>
        <v>0</v>
      </c>
      <c r="L119" s="1605">
        <f>'Stock Rawmaterial'!K1162</f>
        <v>0</v>
      </c>
      <c r="M119" s="1672">
        <f>'Stock Rawmaterial'!L1162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1"/>
      <c r="B120" s="2272"/>
      <c r="C120" s="127">
        <f>'Stock Rawmaterial'!C1163</f>
        <v>0</v>
      </c>
      <c r="D120" s="866" t="str">
        <f>'Stock Rawmaterial'!D1163</f>
        <v>Rec.</v>
      </c>
      <c r="E120" s="867">
        <f>'Stock Rawmaterial'!E1163</f>
        <v>43412</v>
      </c>
      <c r="F120" s="75">
        <f>'Stock Rawmaterial'!F1163</f>
        <v>2849</v>
      </c>
      <c r="G120" s="1682"/>
      <c r="H120" s="80">
        <f>'Stock Rawmaterial'!G1163</f>
        <v>0</v>
      </c>
      <c r="I120" s="80">
        <f>'Stock Rawmaterial'!H1163</f>
        <v>0</v>
      </c>
      <c r="J120" s="80">
        <f>'Stock Rawmaterial'!I1163</f>
        <v>0</v>
      </c>
      <c r="K120" s="1575">
        <f>'Stock Rawmaterial'!J1163</f>
        <v>0</v>
      </c>
      <c r="L120" s="1605">
        <f>'Stock Rawmaterial'!K1163</f>
        <v>0</v>
      </c>
      <c r="M120" s="1672">
        <f>'Stock Rawmaterial'!L1163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2"/>
      <c r="B121" s="2272"/>
      <c r="C121" s="1748" t="str">
        <f>'Stock Rawmaterial'!C1164</f>
        <v>Feedmill</v>
      </c>
      <c r="D121" s="1154" t="str">
        <f>'Stock Rawmaterial'!D1164</f>
        <v>Rec.</v>
      </c>
      <c r="E121" s="1155">
        <f>'Stock Rawmaterial'!E1164</f>
        <v>46225</v>
      </c>
      <c r="F121" s="566">
        <f>'Stock Rawmaterial'!F1164</f>
        <v>36</v>
      </c>
      <c r="G121" s="1704">
        <v>46609</v>
      </c>
      <c r="H121" s="567">
        <f>'Stock Rawmaterial'!G1164</f>
        <v>2.3200000000000029</v>
      </c>
      <c r="I121" s="567">
        <f>'Stock Rawmaterial'!H1164</f>
        <v>0</v>
      </c>
      <c r="J121" s="567">
        <f>'Stock Rawmaterial'!I1164</f>
        <v>0</v>
      </c>
      <c r="K121" s="1694">
        <f>'Stock Rawmaterial'!J1164</f>
        <v>0</v>
      </c>
      <c r="L121" s="1698">
        <f>'Stock Rawmaterial'!K1164</f>
        <v>0</v>
      </c>
      <c r="M121" s="1695">
        <f>'Stock Rawmaterial'!L1164</f>
        <v>2.3200000000000029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27.320000000000004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27.320000000000004</v>
      </c>
      <c r="N122" s="133">
        <f>'Stock Rawmaterial'!M1165</f>
        <v>1.26</v>
      </c>
      <c r="O122" s="133">
        <f>'Stock Rawmaterial'!N1165</f>
        <v>21.682539682539684</v>
      </c>
      <c r="P122" s="133">
        <f>'Stock Rawmaterial'!O1165</f>
        <v>0</v>
      </c>
      <c r="Q122" s="133">
        <f>'Stock Rawmaterial'!P1165</f>
        <v>0</v>
      </c>
      <c r="R122" s="466"/>
      <c r="S122" s="264"/>
      <c r="T122" s="467"/>
    </row>
    <row r="123" spans="1:20" s="265" customFormat="1" ht="30" hidden="1" customHeight="1" x14ac:dyDescent="0.2">
      <c r="A123" s="2030" t="str">
        <f>IF(M131=0,"",MAX($A$15:A122)+1)</f>
        <v/>
      </c>
      <c r="B123" s="2272" t="s">
        <v>459</v>
      </c>
      <c r="C123" s="1751" t="str">
        <f>+'Stock Rawmaterial'!C1174</f>
        <v>V7.2</v>
      </c>
      <c r="D123" s="1743" t="s">
        <v>10</v>
      </c>
      <c r="E123" s="888">
        <f>+'Stock Rawmaterial'!E1174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Rawmaterial'!G1174</f>
        <v>0</v>
      </c>
      <c r="L123" s="80">
        <f>+'Stock Rawmaterial'!H1174</f>
        <v>0</v>
      </c>
      <c r="M123" s="80">
        <f>+'Stock Rawmaterial'!I1174</f>
        <v>0</v>
      </c>
      <c r="N123" s="287"/>
      <c r="O123" s="1636"/>
      <c r="P123" s="287"/>
      <c r="Q123" s="287">
        <f>+'Stock Rawmaterial'!K1174</f>
        <v>0</v>
      </c>
      <c r="R123" s="466"/>
      <c r="S123" s="264"/>
      <c r="T123" s="467"/>
    </row>
    <row r="124" spans="1:20" s="265" customFormat="1" ht="30" hidden="1" customHeight="1" x14ac:dyDescent="0.2">
      <c r="A124" s="2031"/>
      <c r="B124" s="2272"/>
      <c r="C124" s="1751" t="str">
        <f>+'Stock Rawmaterial'!C1175</f>
        <v>V7.2</v>
      </c>
      <c r="D124" s="1743" t="s">
        <v>10</v>
      </c>
      <c r="E124" s="888">
        <f>+'Stock Rawmaterial'!E1175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Rawmaterial'!G1175</f>
        <v>0</v>
      </c>
      <c r="L124" s="80">
        <f>+'Stock Rawmaterial'!H1175</f>
        <v>0</v>
      </c>
      <c r="M124" s="80">
        <f>+'Stock Rawmaterial'!I1175</f>
        <v>0</v>
      </c>
      <c r="N124" s="287"/>
      <c r="O124" s="1636"/>
      <c r="P124" s="287"/>
      <c r="Q124" s="287">
        <f>+'Stock Rawmaterial'!K1175</f>
        <v>0</v>
      </c>
      <c r="R124" s="466"/>
      <c r="S124" s="264"/>
      <c r="T124" s="467"/>
    </row>
    <row r="125" spans="1:20" s="265" customFormat="1" ht="30" hidden="1" customHeight="1" x14ac:dyDescent="0.2">
      <c r="A125" s="2031"/>
      <c r="B125" s="2272"/>
      <c r="C125" s="1751" t="str">
        <f>+'Stock Rawmaterial'!C1176</f>
        <v>V7.2</v>
      </c>
      <c r="D125" s="1743" t="s">
        <v>10</v>
      </c>
      <c r="E125" s="888">
        <f>+'Stock Rawmaterial'!E1176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Rawmaterial'!G1176</f>
        <v>0</v>
      </c>
      <c r="L125" s="80">
        <f>+'Stock Rawmaterial'!H1176</f>
        <v>0</v>
      </c>
      <c r="M125" s="80">
        <f>+'Stock Rawmaterial'!I1176</f>
        <v>0</v>
      </c>
      <c r="N125" s="287"/>
      <c r="O125" s="1636"/>
      <c r="P125" s="287"/>
      <c r="Q125" s="287">
        <f>+'Stock Rawmaterial'!K1176</f>
        <v>0</v>
      </c>
      <c r="R125" s="466"/>
      <c r="S125" s="264"/>
      <c r="T125" s="467"/>
    </row>
    <row r="126" spans="1:20" s="265" customFormat="1" ht="30" hidden="1" customHeight="1" x14ac:dyDescent="0.2">
      <c r="A126" s="2031"/>
      <c r="B126" s="2272"/>
      <c r="C126" s="1751" t="str">
        <f>+'Stock Rawmaterial'!C1177</f>
        <v>Z5.1</v>
      </c>
      <c r="D126" s="1743" t="s">
        <v>10</v>
      </c>
      <c r="E126" s="888">
        <f>+'Stock Rawmaterial'!E1177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Rawmaterial'!G1177</f>
        <v>0</v>
      </c>
      <c r="L126" s="80">
        <f>+'Stock Rawmaterial'!H1177</f>
        <v>0</v>
      </c>
      <c r="M126" s="80">
        <f>+'Stock Rawmaterial'!I1177</f>
        <v>0</v>
      </c>
      <c r="N126" s="287"/>
      <c r="O126" s="1636"/>
      <c r="P126" s="287"/>
      <c r="Q126" s="287">
        <f>+'Stock Rawmaterial'!K1177</f>
        <v>0</v>
      </c>
      <c r="R126" s="466"/>
      <c r="S126" s="264"/>
      <c r="T126" s="467"/>
    </row>
    <row r="127" spans="1:20" s="265" customFormat="1" ht="30" hidden="1" customHeight="1" x14ac:dyDescent="0.2">
      <c r="A127" s="2031"/>
      <c r="B127" s="2272"/>
      <c r="C127" s="1751" t="str">
        <f>+'Stock Rawmaterial'!C1178</f>
        <v>Z5.1</v>
      </c>
      <c r="D127" s="1743" t="s">
        <v>10</v>
      </c>
      <c r="E127" s="888">
        <f>+'Stock Rawmaterial'!E1178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Rawmaterial'!G1178</f>
        <v>0</v>
      </c>
      <c r="L127" s="80">
        <f>+'Stock Rawmaterial'!H1178</f>
        <v>0</v>
      </c>
      <c r="M127" s="80">
        <f>+'Stock Rawmaterial'!I1178</f>
        <v>0</v>
      </c>
      <c r="N127" s="287"/>
      <c r="O127" s="1636"/>
      <c r="P127" s="287"/>
      <c r="Q127" s="287">
        <f>+'Stock Rawmaterial'!K1178</f>
        <v>0</v>
      </c>
      <c r="R127" s="466"/>
      <c r="S127" s="264"/>
      <c r="T127" s="467"/>
    </row>
    <row r="128" spans="1:20" s="265" customFormat="1" ht="30" hidden="1" customHeight="1" x14ac:dyDescent="0.2">
      <c r="A128" s="2031"/>
      <c r="B128" s="2272"/>
      <c r="C128" s="1751" t="str">
        <f>+'Stock Rawmaterial'!C1179</f>
        <v>Z5.1</v>
      </c>
      <c r="D128" s="1743" t="s">
        <v>10</v>
      </c>
      <c r="E128" s="888">
        <f>+'Stock Rawmaterial'!E1179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Rawmaterial'!G1179</f>
        <v>0</v>
      </c>
      <c r="L128" s="80">
        <f>+'Stock Rawmaterial'!H1179</f>
        <v>0</v>
      </c>
      <c r="M128" s="80">
        <f>+'Stock Rawmaterial'!I1179</f>
        <v>0</v>
      </c>
      <c r="N128" s="287"/>
      <c r="O128" s="1636"/>
      <c r="P128" s="287"/>
      <c r="Q128" s="287">
        <f>+'Stock Rawmaterial'!K1179</f>
        <v>0</v>
      </c>
      <c r="R128" s="466"/>
      <c r="S128" s="264"/>
      <c r="T128" s="467"/>
    </row>
    <row r="129" spans="1:20" s="265" customFormat="1" ht="30" hidden="1" customHeight="1" x14ac:dyDescent="0.2">
      <c r="A129" s="2031"/>
      <c r="B129" s="2272"/>
      <c r="C129" s="1752" t="str">
        <f>+'Stock Rawmaterial'!C1180</f>
        <v>Feedmil</v>
      </c>
      <c r="D129" s="1744" t="s">
        <v>10</v>
      </c>
      <c r="E129" s="1004">
        <f>+'Stock Rawmaterial'!E1180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Rawmaterial'!G1180</f>
        <v>0</v>
      </c>
      <c r="L129" s="80">
        <f>+'Stock Rawmaterial'!H1180</f>
        <v>0</v>
      </c>
      <c r="M129" s="1584">
        <f>+'Stock Rawmaterial'!I1180</f>
        <v>0</v>
      </c>
      <c r="N129" s="283"/>
      <c r="O129" s="281">
        <f>+'Stock Rawmaterial'!J1180</f>
        <v>0</v>
      </c>
      <c r="P129" s="287"/>
      <c r="Q129" s="287">
        <f>+'Stock Rawmaterial'!K1180</f>
        <v>0</v>
      </c>
      <c r="R129" s="466"/>
      <c r="S129" s="264"/>
      <c r="T129" s="467"/>
    </row>
    <row r="130" spans="1:20" s="418" customFormat="1" ht="30" hidden="1" customHeight="1" x14ac:dyDescent="0.2">
      <c r="A130" s="2032"/>
      <c r="B130" s="2272"/>
      <c r="C130" s="1751" t="str">
        <f>+'Stock Rawmaterial'!C1181</f>
        <v>Feedmil</v>
      </c>
      <c r="D130" s="1745" t="s">
        <v>10</v>
      </c>
      <c r="E130" s="888">
        <f>+'Stock Rawmaterial'!E1180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Rawmaterial'!H1181</f>
        <v>0</v>
      </c>
      <c r="M130" s="1584">
        <f>+'Stock Rawmaterial'!I1181</f>
        <v>0</v>
      </c>
      <c r="N130" s="329"/>
      <c r="O130" s="282"/>
      <c r="P130" s="329"/>
      <c r="Q130" s="287">
        <f>+'Stock Rawmaterial'!K1181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0" t="str">
        <f>IF(M139=0,"",MAX($A$15:A131)+1)</f>
        <v/>
      </c>
      <c r="B132" s="2272" t="s">
        <v>237</v>
      </c>
      <c r="C132" s="1754" t="str">
        <f>+'Stock Rawmaterial'!C1183</f>
        <v>Y3.3</v>
      </c>
      <c r="D132" s="1747" t="s">
        <v>10</v>
      </c>
      <c r="E132" s="888">
        <f>+'Stock Rawmaterial'!E1183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Rawmaterial'!G1183</f>
        <v>0</v>
      </c>
      <c r="L132" s="80">
        <f>+'Stock Rawmaterial'!H1183</f>
        <v>0</v>
      </c>
      <c r="M132" s="80">
        <f>+'Stock Rawmaterial'!I1183</f>
        <v>0</v>
      </c>
      <c r="N132" s="287"/>
      <c r="O132" s="1636"/>
      <c r="P132" s="287"/>
      <c r="Q132" s="287">
        <f>+'Stock Rawmaterial'!K1183</f>
        <v>0</v>
      </c>
      <c r="R132" s="466"/>
      <c r="S132" s="264"/>
      <c r="T132" s="467"/>
    </row>
    <row r="133" spans="1:20" s="265" customFormat="1" ht="30" hidden="1" customHeight="1" x14ac:dyDescent="0.2">
      <c r="A133" s="2031"/>
      <c r="B133" s="2272"/>
      <c r="C133" s="1754" t="str">
        <f>+'Stock Rawmaterial'!C1184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Rawmaterial'!G1184</f>
        <v>0</v>
      </c>
      <c r="L133" s="80">
        <f>+'Stock Rawmaterial'!H1184</f>
        <v>0</v>
      </c>
      <c r="M133" s="80">
        <f>+'Stock Rawmaterial'!I1184</f>
        <v>0</v>
      </c>
      <c r="N133" s="287"/>
      <c r="O133" s="1636"/>
      <c r="P133" s="287"/>
      <c r="Q133" s="287">
        <f>+'Stock Rawmaterial'!K1184</f>
        <v>0</v>
      </c>
      <c r="R133" s="466"/>
      <c r="S133" s="264"/>
      <c r="T133" s="467"/>
    </row>
    <row r="134" spans="1:20" s="265" customFormat="1" ht="30" hidden="1" customHeight="1" x14ac:dyDescent="0.2">
      <c r="A134" s="2031"/>
      <c r="B134" s="2272"/>
      <c r="C134" s="1754" t="str">
        <f>+'Stock Rawmaterial'!C1185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Rawmaterial'!G1185</f>
        <v>0</v>
      </c>
      <c r="L134" s="80">
        <f>+'Stock Rawmaterial'!H1185</f>
        <v>0</v>
      </c>
      <c r="M134" s="80">
        <f>+'Stock Rawmaterial'!I1185</f>
        <v>0</v>
      </c>
      <c r="N134" s="287"/>
      <c r="O134" s="1636"/>
      <c r="P134" s="287"/>
      <c r="Q134" s="287">
        <f>+'Stock Rawmaterial'!K1185</f>
        <v>0</v>
      </c>
      <c r="R134" s="466"/>
      <c r="S134" s="264"/>
      <c r="T134" s="467"/>
    </row>
    <row r="135" spans="1:20" s="265" customFormat="1" ht="30" hidden="1" customHeight="1" x14ac:dyDescent="0.2">
      <c r="A135" s="2031"/>
      <c r="B135" s="2272"/>
      <c r="C135" s="1754" t="str">
        <f>+'Stock Rawmaterial'!C1186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Rawmaterial'!G1186</f>
        <v>0</v>
      </c>
      <c r="L135" s="80">
        <f>+'Stock Rawmaterial'!H1186</f>
        <v>0</v>
      </c>
      <c r="M135" s="80">
        <f>+'Stock Rawmaterial'!I1186</f>
        <v>0</v>
      </c>
      <c r="N135" s="287"/>
      <c r="O135" s="1636"/>
      <c r="P135" s="287"/>
      <c r="Q135" s="287">
        <f>+'Stock Rawmaterial'!K1186</f>
        <v>0</v>
      </c>
      <c r="R135" s="466"/>
      <c r="S135" s="264"/>
      <c r="T135" s="467"/>
    </row>
    <row r="136" spans="1:20" s="265" customFormat="1" ht="30" hidden="1" customHeight="1" x14ac:dyDescent="0.2">
      <c r="A136" s="2031"/>
      <c r="B136" s="2272"/>
      <c r="C136" s="1754" t="str">
        <f>+'Stock Rawmaterial'!C1187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Rawmaterial'!G1187</f>
        <v>0</v>
      </c>
      <c r="L136" s="80">
        <f>+'Stock Rawmaterial'!H1187</f>
        <v>0</v>
      </c>
      <c r="M136" s="80">
        <f>+'Stock Rawmaterial'!I1187</f>
        <v>0</v>
      </c>
      <c r="N136" s="332"/>
      <c r="O136" s="286"/>
      <c r="P136" s="332"/>
      <c r="Q136" s="287">
        <f>+'Stock Rawmaterial'!K1187</f>
        <v>0</v>
      </c>
      <c r="R136" s="466"/>
      <c r="S136" s="264"/>
      <c r="T136" s="467"/>
    </row>
    <row r="137" spans="1:20" s="265" customFormat="1" ht="30" hidden="1" customHeight="1" x14ac:dyDescent="0.2">
      <c r="A137" s="2031"/>
      <c r="B137" s="2272"/>
      <c r="C137" s="1754" t="str">
        <f>+'Stock Rawmaterial'!C1188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Rawmaterial'!G1188</f>
        <v>0</v>
      </c>
      <c r="L137" s="80">
        <f>+'Stock Rawmaterial'!H1188</f>
        <v>0</v>
      </c>
      <c r="M137" s="80">
        <f>+'Stock Rawmaterial'!I1188</f>
        <v>0</v>
      </c>
      <c r="N137" s="332"/>
      <c r="O137" s="286"/>
      <c r="P137" s="332"/>
      <c r="Q137" s="287">
        <f>+'Stock Rawmaterial'!K1188</f>
        <v>0</v>
      </c>
      <c r="R137" s="466"/>
      <c r="S137" s="264"/>
      <c r="T137" s="467"/>
    </row>
    <row r="138" spans="1:20" s="418" customFormat="1" ht="30" hidden="1" customHeight="1" x14ac:dyDescent="0.2">
      <c r="A138" s="2031"/>
      <c r="B138" s="2272"/>
      <c r="C138" s="1755" t="s">
        <v>76</v>
      </c>
      <c r="D138" s="1745" t="s">
        <v>10</v>
      </c>
      <c r="E138" s="886">
        <f>+'Stock Rawmaterial'!E1189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Rawmaterial'!G1189</f>
        <v>0</v>
      </c>
      <c r="L138" s="80">
        <f>+'Stock Rawmaterial'!H1189</f>
        <v>0</v>
      </c>
      <c r="M138" s="80">
        <f>+'Stock Rawmaterial'!I1189</f>
        <v>0</v>
      </c>
      <c r="N138" s="329"/>
      <c r="O138" s="282">
        <f>+'Stock Rawmaterial'!J1189</f>
        <v>0</v>
      </c>
      <c r="P138" s="329"/>
      <c r="Q138" s="287">
        <f>+'Stock Rawmaterial'!K1189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0">
        <f>IF(M145=0,"",MAX($A$15:A139)+1)</f>
        <v>8</v>
      </c>
      <c r="B140" s="2266" t="s">
        <v>462</v>
      </c>
      <c r="C140" s="1756" t="str">
        <f>+'Stock Rawmaterial'!C1198</f>
        <v>E3</v>
      </c>
      <c r="D140" s="1743" t="str">
        <f>+'Stock Rawmaterial'!D1198</f>
        <v>Rec.</v>
      </c>
      <c r="E140" s="882">
        <f>+'Stock Rawmaterial'!E1198</f>
        <v>46254</v>
      </c>
      <c r="F140" s="71">
        <f>+'Stock Rawmaterial'!F1198</f>
        <v>7</v>
      </c>
      <c r="G140" s="1689">
        <v>46630</v>
      </c>
      <c r="H140" s="77">
        <f>+'Stock Rawmaterial'!G1198</f>
        <v>275</v>
      </c>
      <c r="I140" s="77">
        <f>+'Stock Rawmaterial'!H1198</f>
        <v>0</v>
      </c>
      <c r="J140" s="77">
        <f>+'Stock Rawmaterial'!I1198</f>
        <v>0</v>
      </c>
      <c r="K140" s="1617">
        <f>+'Stock Rawmaterial'!J1198</f>
        <v>0</v>
      </c>
      <c r="L140" s="77">
        <f>+'Stock Rawmaterial'!K1198</f>
        <v>50</v>
      </c>
      <c r="M140" s="1576">
        <f>+'Stock Rawmaterial'!L1198</f>
        <v>225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1"/>
      <c r="B141" s="2266"/>
      <c r="C141" s="1756">
        <f>+'Stock Rawmaterial'!C1199</f>
        <v>0</v>
      </c>
      <c r="D141" s="1743" t="str">
        <f>+'Stock Rawmaterial'!D1199</f>
        <v>Rec.</v>
      </c>
      <c r="E141" s="882">
        <f>+'Stock Rawmaterial'!E1199</f>
        <v>46254</v>
      </c>
      <c r="F141" s="71">
        <f>+'Stock Rawmaterial'!F1199</f>
        <v>7</v>
      </c>
      <c r="G141" s="1688">
        <v>46630</v>
      </c>
      <c r="H141" s="77">
        <f>+'Stock Rawmaterial'!G1199</f>
        <v>0</v>
      </c>
      <c r="I141" s="77">
        <f>+'Stock Rawmaterial'!H1199</f>
        <v>0</v>
      </c>
      <c r="J141" s="77">
        <f>+'Stock Rawmaterial'!I1199</f>
        <v>0</v>
      </c>
      <c r="K141" s="1617">
        <f>+'Stock Rawmaterial'!J1199</f>
        <v>0</v>
      </c>
      <c r="L141" s="77">
        <f>+'Stock Rawmaterial'!K1199</f>
        <v>0</v>
      </c>
      <c r="M141" s="1672">
        <f>+'Stock Rawmaterial'!L1199</f>
        <v>0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customHeight="1" x14ac:dyDescent="0.2">
      <c r="A142" s="2031"/>
      <c r="B142" s="2266"/>
      <c r="C142" s="1756">
        <f>+'Stock Rawmaterial'!C1200</f>
        <v>0</v>
      </c>
      <c r="D142" s="1743" t="str">
        <f>+'Stock Rawmaterial'!D1200</f>
        <v>Rec.</v>
      </c>
      <c r="E142" s="882">
        <f>+'Stock Rawmaterial'!E1200</f>
        <v>46254</v>
      </c>
      <c r="F142" s="71">
        <f>+'Stock Rawmaterial'!F1200</f>
        <v>7</v>
      </c>
      <c r="G142" s="1688">
        <v>46630</v>
      </c>
      <c r="H142" s="77">
        <f>+'Stock Rawmaterial'!G1200</f>
        <v>0</v>
      </c>
      <c r="I142" s="77">
        <f>+'Stock Rawmaterial'!H1200</f>
        <v>0</v>
      </c>
      <c r="J142" s="77">
        <f>+'Stock Rawmaterial'!I1200</f>
        <v>0</v>
      </c>
      <c r="K142" s="1617">
        <f>+'Stock Rawmaterial'!J1200</f>
        <v>0</v>
      </c>
      <c r="L142" s="77">
        <f>+'Stock Rawmaterial'!K1200</f>
        <v>0</v>
      </c>
      <c r="M142" s="1672">
        <f>+'Stock Rawmaterial'!L1200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1"/>
      <c r="B143" s="2266"/>
      <c r="C143" s="1894">
        <f>+'Stock Rawmaterial'!C1201</f>
        <v>0</v>
      </c>
      <c r="D143" s="1743" t="str">
        <f>+'Stock Rawmaterial'!D1201</f>
        <v>Rec.</v>
      </c>
      <c r="E143" s="882">
        <f>+'Stock Rawmaterial'!E1201</f>
        <v>46247</v>
      </c>
      <c r="F143" s="71">
        <f>+'Stock Rawmaterial'!F1201</f>
        <v>14</v>
      </c>
      <c r="G143" s="1991">
        <v>46630</v>
      </c>
      <c r="H143" s="77">
        <f>+'Stock Rawmaterial'!G1201</f>
        <v>0</v>
      </c>
      <c r="I143" s="77">
        <f>+'Stock Rawmaterial'!H1201</f>
        <v>0</v>
      </c>
      <c r="J143" s="77">
        <f>+'Stock Rawmaterial'!I1201</f>
        <v>0</v>
      </c>
      <c r="K143" s="1617">
        <f>+'Stock Rawmaterial'!J1201</f>
        <v>0</v>
      </c>
      <c r="L143" s="77">
        <f>+'Stock Rawmaterial'!K1201</f>
        <v>0</v>
      </c>
      <c r="M143" s="1576">
        <f>+'Stock Rawmaterial'!L1201</f>
        <v>0</v>
      </c>
      <c r="N143" s="332"/>
      <c r="O143" s="286"/>
      <c r="P143" s="332"/>
      <c r="Q143" s="287">
        <f>+'Stock Rawmaterial'!K1201</f>
        <v>0</v>
      </c>
      <c r="R143" s="466"/>
      <c r="S143" s="264"/>
      <c r="T143" s="467"/>
    </row>
    <row r="144" spans="1:20" s="418" customFormat="1" ht="30" customHeight="1" x14ac:dyDescent="0.2">
      <c r="A144" s="2032"/>
      <c r="B144" s="2267"/>
      <c r="C144" s="1895" t="str">
        <f>+'Stock Rawmaterial'!C1202</f>
        <v>Feedmill</v>
      </c>
      <c r="D144" s="1743" t="str">
        <f>+'Stock Rawmaterial'!D1202</f>
        <v>Rec.</v>
      </c>
      <c r="E144" s="882">
        <f>+'Stock Rawmaterial'!E1202</f>
        <v>46254</v>
      </c>
      <c r="F144" s="71">
        <f>+'Stock Rawmaterial'!F1202</f>
        <v>7</v>
      </c>
      <c r="G144" s="1955">
        <v>46630</v>
      </c>
      <c r="H144" s="77">
        <f>+'Stock Rawmaterial'!G1202</f>
        <v>23.260000000000005</v>
      </c>
      <c r="I144" s="77">
        <f>+'Stock Rawmaterial'!H1202</f>
        <v>0</v>
      </c>
      <c r="J144" s="77">
        <f>+'Stock Rawmaterial'!I1202</f>
        <v>50</v>
      </c>
      <c r="K144" s="1617">
        <f>+'Stock Rawmaterial'!J1202</f>
        <v>60.48</v>
      </c>
      <c r="L144" s="77">
        <f>+'Stock Rawmaterial'!K1202</f>
        <v>0</v>
      </c>
      <c r="M144" s="1576">
        <f>+'Stock Rawmaterial'!L1202</f>
        <v>12.780000000000008</v>
      </c>
      <c r="N144" s="329"/>
      <c r="O144" s="282"/>
      <c r="P144" s="329"/>
      <c r="Q144" s="287">
        <f>+'Stock Rawmaterial'!K1202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298.26</v>
      </c>
      <c r="I145" s="230">
        <f t="shared" si="19"/>
        <v>0</v>
      </c>
      <c r="J145" s="230">
        <f t="shared" si="19"/>
        <v>50</v>
      </c>
      <c r="K145" s="230">
        <f t="shared" si="19"/>
        <v>60.48</v>
      </c>
      <c r="L145" s="230">
        <f t="shared" si="19"/>
        <v>50</v>
      </c>
      <c r="M145" s="230">
        <f>SUM(M140:M144)</f>
        <v>237.78</v>
      </c>
      <c r="N145" s="133">
        <f>'Stock Rawmaterial'!M1203</f>
        <v>20</v>
      </c>
      <c r="O145" s="133">
        <f>'Stock Rawmaterial'!N1203</f>
        <v>11.888999999999999</v>
      </c>
      <c r="P145" s="133">
        <f>'Stock Rawmaterial'!O1203</f>
        <v>5.9999999999999991</v>
      </c>
      <c r="Q145" s="133">
        <f>'Stock Rawmaterial'!P1203</f>
        <v>39.630000000000003</v>
      </c>
      <c r="R145" s="466"/>
      <c r="S145" s="264"/>
      <c r="T145" s="467"/>
    </row>
    <row r="146" spans="1:20" s="265" customFormat="1" ht="30" hidden="1" customHeight="1" x14ac:dyDescent="0.2">
      <c r="A146" s="2030">
        <f>IF(M153=0,"",MAX($A$15:A145)+1)</f>
        <v>9</v>
      </c>
      <c r="B146" s="2156" t="s">
        <v>401</v>
      </c>
      <c r="C146" s="1200">
        <f>+'Stock Rawmaterial'!C1244</f>
        <v>0</v>
      </c>
      <c r="D146" s="881" t="str">
        <f>+'Stock Rawmaterial'!D1244</f>
        <v>Rec.</v>
      </c>
      <c r="E146" s="882">
        <f>+'Stock Rawmaterial'!E1244</f>
        <v>44764</v>
      </c>
      <c r="F146" s="71">
        <f>+'Stock Rawmaterial'!F1244</f>
        <v>1497</v>
      </c>
      <c r="G146" s="1674"/>
      <c r="H146" s="77">
        <f>+'Stock Rawmaterial'!G1244</f>
        <v>0</v>
      </c>
      <c r="I146" s="77">
        <f>+'Stock Rawmaterial'!H1244</f>
        <v>0</v>
      </c>
      <c r="J146" s="77">
        <f>+'Stock Rawmaterial'!I1244</f>
        <v>0</v>
      </c>
      <c r="K146" s="1617">
        <f>+'Stock Rawmaterial'!J1244</f>
        <v>0</v>
      </c>
      <c r="L146" s="77">
        <f>+'Stock Rawmaterial'!K1244</f>
        <v>0</v>
      </c>
      <c r="M146" s="1672">
        <f>+'Stock Rawmaterial'!L1244</f>
        <v>0</v>
      </c>
      <c r="N146" s="287"/>
      <c r="O146" s="1636"/>
      <c r="P146" s="287"/>
      <c r="Q146" s="287">
        <f>+'Stock Rawmaterial'!K1244</f>
        <v>0</v>
      </c>
      <c r="R146" s="466"/>
      <c r="S146" s="264"/>
      <c r="T146" s="467"/>
    </row>
    <row r="147" spans="1:20" s="265" customFormat="1" ht="30" hidden="1" customHeight="1" x14ac:dyDescent="0.2">
      <c r="A147" s="2031"/>
      <c r="B147" s="2158"/>
      <c r="C147" s="1200">
        <f>+'Stock Rawmaterial'!C1245</f>
        <v>0</v>
      </c>
      <c r="D147" s="881" t="str">
        <f>+'Stock Rawmaterial'!D1245</f>
        <v>Rec.</v>
      </c>
      <c r="E147" s="882">
        <f>+'Stock Rawmaterial'!E1245</f>
        <v>44837</v>
      </c>
      <c r="F147" s="71">
        <f>+'Stock Rawmaterial'!F1245</f>
        <v>1424</v>
      </c>
      <c r="G147" s="1674"/>
      <c r="H147" s="77">
        <f>+'Stock Rawmaterial'!G1245</f>
        <v>0</v>
      </c>
      <c r="I147" s="77">
        <f>+'Stock Rawmaterial'!H1245</f>
        <v>0</v>
      </c>
      <c r="J147" s="77">
        <f>+'Stock Rawmaterial'!I1245</f>
        <v>0</v>
      </c>
      <c r="K147" s="1617">
        <f>+'Stock Rawmaterial'!J1245</f>
        <v>0</v>
      </c>
      <c r="L147" s="77">
        <f>+'Stock Rawmaterial'!K1245</f>
        <v>0</v>
      </c>
      <c r="M147" s="1672">
        <f>+'Stock Rawmaterial'!L1245</f>
        <v>0</v>
      </c>
      <c r="N147" s="287"/>
      <c r="O147" s="1636"/>
      <c r="P147" s="287"/>
      <c r="Q147" s="287">
        <f>+'Stock Rawmaterial'!K1245</f>
        <v>0</v>
      </c>
      <c r="R147" s="466"/>
      <c r="S147" s="264"/>
      <c r="T147" s="467"/>
    </row>
    <row r="148" spans="1:20" s="265" customFormat="1" ht="30" hidden="1" customHeight="1" x14ac:dyDescent="0.2">
      <c r="A148" s="2031"/>
      <c r="B148" s="2158"/>
      <c r="C148" s="1200">
        <f>+'Stock Rawmaterial'!C1246</f>
        <v>0</v>
      </c>
      <c r="D148" s="881" t="str">
        <f>+'Stock Rawmaterial'!D1246</f>
        <v>Rec.</v>
      </c>
      <c r="E148" s="882">
        <f>+'Stock Rawmaterial'!E1246</f>
        <v>45444</v>
      </c>
      <c r="F148" s="71">
        <f>+'Stock Rawmaterial'!F1246</f>
        <v>817</v>
      </c>
      <c r="G148" s="1674"/>
      <c r="H148" s="77">
        <f>+'Stock Rawmaterial'!G1246</f>
        <v>0</v>
      </c>
      <c r="I148" s="77">
        <f>+'Stock Rawmaterial'!H1246</f>
        <v>0</v>
      </c>
      <c r="J148" s="77">
        <f>+'Stock Rawmaterial'!I1246</f>
        <v>0</v>
      </c>
      <c r="K148" s="1617">
        <f>+'Stock Rawmaterial'!J1246</f>
        <v>0</v>
      </c>
      <c r="L148" s="77">
        <f>+'Stock Rawmaterial'!K1246</f>
        <v>0</v>
      </c>
      <c r="M148" s="1672">
        <f>+'Stock Rawmaterial'!L1246</f>
        <v>0</v>
      </c>
      <c r="N148" s="287"/>
      <c r="O148" s="1636"/>
      <c r="P148" s="287"/>
      <c r="Q148" s="287">
        <f>+'Stock Rawmaterial'!K1246</f>
        <v>0</v>
      </c>
      <c r="R148" s="466"/>
      <c r="S148" s="264"/>
      <c r="T148" s="467"/>
    </row>
    <row r="149" spans="1:20" s="265" customFormat="1" ht="30" hidden="1" customHeight="1" x14ac:dyDescent="0.2">
      <c r="A149" s="2031"/>
      <c r="B149" s="2158"/>
      <c r="C149" s="1200">
        <f>+'Stock Rawmaterial'!C1247</f>
        <v>0</v>
      </c>
      <c r="D149" s="881" t="str">
        <f>+'Stock Rawmaterial'!D1247</f>
        <v>Rec.</v>
      </c>
      <c r="E149" s="882">
        <f>+'Stock Rawmaterial'!E1247</f>
        <v>45801</v>
      </c>
      <c r="F149" s="71">
        <f>+'Stock Rawmaterial'!F1247</f>
        <v>460</v>
      </c>
      <c r="G149" s="1686">
        <v>46331</v>
      </c>
      <c r="H149" s="77">
        <f>+'Stock Rawmaterial'!G1247</f>
        <v>0</v>
      </c>
      <c r="I149" s="77">
        <f>+'Stock Rawmaterial'!H1247</f>
        <v>0</v>
      </c>
      <c r="J149" s="77">
        <f>+'Stock Rawmaterial'!I1247</f>
        <v>0</v>
      </c>
      <c r="K149" s="1617">
        <f>+'Stock Rawmaterial'!J1247</f>
        <v>0</v>
      </c>
      <c r="L149" s="77">
        <f>+'Stock Rawmaterial'!K1247</f>
        <v>0</v>
      </c>
      <c r="M149" s="1672">
        <f>+'Stock Rawmaterial'!L1247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1"/>
      <c r="B150" s="2158"/>
      <c r="C150" s="1200" t="str">
        <f>+'Stock Rawmaterial'!C1248</f>
        <v>E2</v>
      </c>
      <c r="D150" s="881" t="str">
        <f>+'Stock Rawmaterial'!D1248</f>
        <v>Rec.</v>
      </c>
      <c r="E150" s="882">
        <f>+'Stock Rawmaterial'!E1248</f>
        <v>46127</v>
      </c>
      <c r="F150" s="71">
        <f>+'Stock Rawmaterial'!F1248</f>
        <v>134</v>
      </c>
      <c r="G150" s="1954">
        <v>46856</v>
      </c>
      <c r="H150" s="77">
        <f>+'Stock Rawmaterial'!G1248</f>
        <v>125</v>
      </c>
      <c r="I150" s="77">
        <f>+'Stock Rawmaterial'!H1248</f>
        <v>0</v>
      </c>
      <c r="J150" s="77">
        <f>+'Stock Rawmaterial'!I1248</f>
        <v>0</v>
      </c>
      <c r="K150" s="1617">
        <f>+'Stock Rawmaterial'!J1248</f>
        <v>0</v>
      </c>
      <c r="L150" s="77">
        <f>+'Stock Rawmaterial'!K1248</f>
        <v>0</v>
      </c>
      <c r="M150" s="1672">
        <f>+'Stock Rawmaterial'!L1248</f>
        <v>125</v>
      </c>
      <c r="N150" s="287"/>
      <c r="O150" s="1636"/>
      <c r="P150" s="287"/>
      <c r="Q150" s="287">
        <f>+'Stock Rawmaterial'!K1248</f>
        <v>0</v>
      </c>
      <c r="R150" s="466"/>
      <c r="S150" s="264"/>
      <c r="T150" s="467"/>
    </row>
    <row r="151" spans="1:20" s="265" customFormat="1" ht="30" hidden="1" customHeight="1" x14ac:dyDescent="0.2">
      <c r="A151" s="2031"/>
      <c r="B151" s="2158"/>
      <c r="C151" s="1200">
        <f>+'Stock Rawmaterial'!C1249</f>
        <v>0</v>
      </c>
      <c r="D151" s="881" t="str">
        <f>+'Stock Rawmaterial'!D1249</f>
        <v>Rec.</v>
      </c>
      <c r="E151" s="882">
        <f>+'Stock Rawmaterial'!E1249</f>
        <v>46127</v>
      </c>
      <c r="F151" s="71">
        <f>+'Stock Rawmaterial'!F1249</f>
        <v>134</v>
      </c>
      <c r="G151" s="1954">
        <v>46331</v>
      </c>
      <c r="H151" s="77">
        <f>+'Stock Rawmaterial'!G1249</f>
        <v>0</v>
      </c>
      <c r="I151" s="77">
        <f>+'Stock Rawmaterial'!H1249</f>
        <v>0</v>
      </c>
      <c r="J151" s="77">
        <f>+'Stock Rawmaterial'!I1249</f>
        <v>0</v>
      </c>
      <c r="K151" s="1617">
        <f>+'Stock Rawmaterial'!J1249</f>
        <v>0</v>
      </c>
      <c r="L151" s="77">
        <f>+'Stock Rawmaterial'!K1249</f>
        <v>0</v>
      </c>
      <c r="M151" s="1672">
        <f>+'Stock Rawmaterial'!L1249</f>
        <v>0</v>
      </c>
      <c r="N151" s="287"/>
      <c r="O151" s="1636"/>
      <c r="P151" s="287"/>
      <c r="Q151" s="287">
        <f>+'Stock Rawmaterial'!K1249</f>
        <v>0</v>
      </c>
      <c r="R151" s="466"/>
      <c r="S151" s="264"/>
      <c r="T151" s="467"/>
    </row>
    <row r="152" spans="1:20" s="265" customFormat="1" ht="30" customHeight="1" x14ac:dyDescent="0.2">
      <c r="A152" s="2032"/>
      <c r="B152" s="2160"/>
      <c r="C152" s="1699" t="str">
        <f>+'Stock Rawmaterial'!C1250</f>
        <v>Feedmill</v>
      </c>
      <c r="D152" s="1154" t="str">
        <f>+'Stock Rawmaterial'!D1250</f>
        <v>Rec.</v>
      </c>
      <c r="E152" s="1155">
        <f>+'Stock Rawmaterial'!E1250</f>
        <v>46127</v>
      </c>
      <c r="F152" s="566">
        <f>+'Stock Rawmaterial'!F1250</f>
        <v>134</v>
      </c>
      <c r="G152" s="1955">
        <v>46856</v>
      </c>
      <c r="H152" s="1697">
        <f>+'Stock Rawmaterial'!G1250</f>
        <v>18.3</v>
      </c>
      <c r="I152" s="1697">
        <f>+'Stock Rawmaterial'!H1250</f>
        <v>0</v>
      </c>
      <c r="J152" s="1697">
        <f>+'Stock Rawmaterial'!I1250</f>
        <v>0</v>
      </c>
      <c r="K152" s="1700">
        <f>+'Stock Rawmaterial'!J1250</f>
        <v>0</v>
      </c>
      <c r="L152" s="1697">
        <f>+'Stock Rawmaterial'!K1250</f>
        <v>0</v>
      </c>
      <c r="M152" s="1695">
        <f>+'Stock Rawmaterial'!L1250</f>
        <v>18.3</v>
      </c>
      <c r="N152" s="329"/>
      <c r="O152" s="282"/>
      <c r="P152" s="329"/>
      <c r="Q152" s="287">
        <f>+'Stock Rawmaterial'!K1250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143.30000000000001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143.30000000000001</v>
      </c>
      <c r="N153" s="928">
        <f>'Stock Rawmaterial'!M1251</f>
        <v>0</v>
      </c>
      <c r="O153" s="928">
        <f>'Stock Rawmaterial'!N1251</f>
        <v>0</v>
      </c>
      <c r="P153" s="928">
        <f>'Stock Rawmaterial'!O1251</f>
        <v>0</v>
      </c>
      <c r="Q153" s="928">
        <f>'Stock Rawmaterial'!P1251</f>
        <v>0</v>
      </c>
      <c r="R153" s="466"/>
      <c r="S153" s="264"/>
      <c r="T153" s="467"/>
    </row>
    <row r="154" spans="1:20" s="265" customFormat="1" ht="30" hidden="1" customHeight="1" x14ac:dyDescent="0.2">
      <c r="A154" s="2086" t="str">
        <f>IF(M161=0,"",MAX($A$15:A153)+1)</f>
        <v/>
      </c>
      <c r="B154" s="2272" t="s">
        <v>1218</v>
      </c>
      <c r="C154" s="574">
        <f>+'Stock Rawmaterial'!C1275</f>
        <v>0</v>
      </c>
      <c r="D154" s="881" t="s">
        <v>10</v>
      </c>
      <c r="E154" s="882">
        <f>+'Stock Rawmaterial'!E1275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Rawmaterial'!G1275</f>
        <v>0</v>
      </c>
      <c r="L154" s="253">
        <f>+'Stock Rawmaterial'!H1275</f>
        <v>0</v>
      </c>
      <c r="M154" s="253">
        <f>+'Stock Rawmaterial'!I1275</f>
        <v>0</v>
      </c>
      <c r="N154" s="336"/>
      <c r="O154" s="1638"/>
      <c r="P154" s="336"/>
      <c r="Q154" s="336">
        <f>+'Stock Rawmaterial'!K1275</f>
        <v>0</v>
      </c>
      <c r="R154" s="466"/>
      <c r="S154" s="264"/>
      <c r="T154" s="467"/>
    </row>
    <row r="155" spans="1:20" s="265" customFormat="1" ht="30" hidden="1" customHeight="1" x14ac:dyDescent="0.2">
      <c r="A155" s="2087"/>
      <c r="B155" s="2272"/>
      <c r="C155" s="574" t="str">
        <f>+'Stock Rawmaterial'!C1276</f>
        <v>A19.3</v>
      </c>
      <c r="D155" s="881" t="s">
        <v>10</v>
      </c>
      <c r="E155" s="882">
        <f>+'Stock Rawmaterial'!E1276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Rawmaterial'!G1276</f>
        <v>0</v>
      </c>
      <c r="L155" s="80">
        <f>+'Stock Rawmaterial'!H1276</f>
        <v>0</v>
      </c>
      <c r="M155" s="80">
        <f>+'Stock Rawmaterial'!I1276</f>
        <v>0</v>
      </c>
      <c r="N155" s="287"/>
      <c r="O155" s="1636"/>
      <c r="P155" s="287"/>
      <c r="Q155" s="287">
        <f>+'Stock Rawmaterial'!K1276</f>
        <v>0</v>
      </c>
      <c r="R155" s="466"/>
      <c r="S155" s="264"/>
      <c r="T155" s="467"/>
    </row>
    <row r="156" spans="1:20" s="265" customFormat="1" ht="30" hidden="1" customHeight="1" x14ac:dyDescent="0.2">
      <c r="A156" s="2087"/>
      <c r="B156" s="2272"/>
      <c r="C156" s="574">
        <f>+'Stock Rawmaterial'!C1277</f>
        <v>0</v>
      </c>
      <c r="D156" s="881" t="s">
        <v>10</v>
      </c>
      <c r="E156" s="882">
        <f>+'Stock Rawmaterial'!E1277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Rawmaterial'!G1277</f>
        <v>0</v>
      </c>
      <c r="L156" s="80">
        <f>+'Stock Rawmaterial'!H1277</f>
        <v>0</v>
      </c>
      <c r="M156" s="80">
        <f>+'Stock Rawmaterial'!I1277</f>
        <v>0</v>
      </c>
      <c r="N156" s="287"/>
      <c r="O156" s="1636"/>
      <c r="P156" s="287"/>
      <c r="Q156" s="287">
        <f>+'Stock Rawmaterial'!K1277</f>
        <v>0</v>
      </c>
      <c r="R156" s="466"/>
      <c r="S156" s="264"/>
      <c r="T156" s="467"/>
    </row>
    <row r="157" spans="1:20" s="265" customFormat="1" ht="30" hidden="1" customHeight="1" x14ac:dyDescent="0.2">
      <c r="A157" s="2087"/>
      <c r="B157" s="2272"/>
      <c r="C157" s="574">
        <f>'Stock Rawmaterial'!C1278</f>
        <v>0</v>
      </c>
      <c r="D157" s="881" t="s">
        <v>10</v>
      </c>
      <c r="E157" s="882">
        <f>'Stock Rawmaterial'!E1278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Rawmaterial'!G1278</f>
        <v>0</v>
      </c>
      <c r="L157" s="80">
        <f>+'Stock Rawmaterial'!H1278</f>
        <v>0</v>
      </c>
      <c r="M157" s="80">
        <f>+'Stock Rawmaterial'!I1278</f>
        <v>0</v>
      </c>
      <c r="N157" s="287"/>
      <c r="O157" s="1636"/>
      <c r="P157" s="287"/>
      <c r="Q157" s="287">
        <f>+'Stock Rawmaterial'!K1278</f>
        <v>0</v>
      </c>
      <c r="R157" s="466"/>
      <c r="S157" s="264"/>
      <c r="T157" s="467"/>
    </row>
    <row r="158" spans="1:20" s="265" customFormat="1" ht="30" hidden="1" customHeight="1" x14ac:dyDescent="0.2">
      <c r="A158" s="2087"/>
      <c r="B158" s="2272"/>
      <c r="C158" s="574">
        <f>+'Stock Rawmaterial'!C1279</f>
        <v>0</v>
      </c>
      <c r="D158" s="881" t="s">
        <v>10</v>
      </c>
      <c r="E158" s="882">
        <f>+'Stock Rawmaterial'!E1279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Rawmaterial'!G1279</f>
        <v>0</v>
      </c>
      <c r="L158" s="80">
        <f>+'Stock Rawmaterial'!H1279</f>
        <v>0</v>
      </c>
      <c r="M158" s="80">
        <f>+'Stock Rawmaterial'!I1279</f>
        <v>0</v>
      </c>
      <c r="N158" s="287"/>
      <c r="O158" s="1636"/>
      <c r="P158" s="287"/>
      <c r="Q158" s="287">
        <f>+'Stock Rawmaterial'!K1279</f>
        <v>0</v>
      </c>
      <c r="R158" s="466"/>
      <c r="S158" s="264"/>
      <c r="T158" s="467"/>
    </row>
    <row r="159" spans="1:20" s="265" customFormat="1" ht="30" hidden="1" customHeight="1" x14ac:dyDescent="0.2">
      <c r="A159" s="2087"/>
      <c r="B159" s="2272"/>
      <c r="C159" s="1153" t="str">
        <f>+'Stock Rawmaterial'!C1280</f>
        <v>Feedmil</v>
      </c>
      <c r="D159" s="1154" t="s">
        <v>10</v>
      </c>
      <c r="E159" s="1155">
        <f>+'Stock Rawmaterial'!E1280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Rawmaterial'!G1280</f>
        <v>0</v>
      </c>
      <c r="L159" s="77">
        <f>+'Stock Rawmaterial'!H1280</f>
        <v>0</v>
      </c>
      <c r="M159" s="1584">
        <f>+'Stock Rawmaterial'!I1280</f>
        <v>0</v>
      </c>
      <c r="N159" s="283"/>
      <c r="O159" s="281">
        <f>'Stock Rawmaterial'!J1280</f>
        <v>0</v>
      </c>
      <c r="P159" s="283"/>
      <c r="Q159" s="332">
        <f>+'Stock Rawmaterial'!K1280</f>
        <v>0</v>
      </c>
      <c r="R159" s="466"/>
      <c r="S159" s="264"/>
      <c r="T159" s="467"/>
    </row>
    <row r="160" spans="1:20" s="265" customFormat="1" ht="30" hidden="1" customHeight="1" x14ac:dyDescent="0.2">
      <c r="A160" s="2088"/>
      <c r="B160" s="2288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86">
        <f>IF(M168=0,"",MAX($A$15:A161)+1)</f>
        <v>10</v>
      </c>
      <c r="B162" s="2284" t="s">
        <v>210</v>
      </c>
      <c r="C162" s="127">
        <f>'Stock Rawmaterial'!C1191</f>
        <v>0</v>
      </c>
      <c r="D162" s="881" t="s">
        <v>10</v>
      </c>
      <c r="E162" s="867">
        <f>'Stock Rawmaterial'!E1191</f>
        <v>46038</v>
      </c>
      <c r="F162" s="358">
        <f>'Stock Rawmaterial'!F1191</f>
        <v>223</v>
      </c>
      <c r="G162" s="1686">
        <v>46446</v>
      </c>
      <c r="H162" s="1740">
        <f>'Stock Rawmaterial'!G1191</f>
        <v>0</v>
      </c>
      <c r="I162" s="1740">
        <f>'Stock Rawmaterial'!H1191</f>
        <v>0</v>
      </c>
      <c r="J162" s="1740">
        <f>'Stock Rawmaterial'!I1191</f>
        <v>0</v>
      </c>
      <c r="K162" s="1740">
        <f>'Stock Rawmaterial'!J1191</f>
        <v>0</v>
      </c>
      <c r="L162" s="1740">
        <f>'Stock Rawmaterial'!K1191</f>
        <v>0</v>
      </c>
      <c r="M162" s="1672">
        <f>'Stock Rawmaterial'!L1191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87"/>
      <c r="B163" s="2285"/>
      <c r="C163" s="127" t="str">
        <f>'Stock Rawmaterial'!C1192</f>
        <v>E3</v>
      </c>
      <c r="D163" s="881" t="s">
        <v>10</v>
      </c>
      <c r="E163" s="867">
        <f>'Stock Rawmaterial'!E1192</f>
        <v>46233</v>
      </c>
      <c r="F163" s="358">
        <f>'Stock Rawmaterial'!F1192</f>
        <v>28</v>
      </c>
      <c r="G163" s="1954">
        <v>46446</v>
      </c>
      <c r="H163" s="1740">
        <f>'Stock Rawmaterial'!G1192</f>
        <v>25</v>
      </c>
      <c r="I163" s="1740">
        <f>'Stock Rawmaterial'!H1192</f>
        <v>0</v>
      </c>
      <c r="J163" s="1740">
        <f>'Stock Rawmaterial'!I1192</f>
        <v>0</v>
      </c>
      <c r="K163" s="1740">
        <f>'Stock Rawmaterial'!J1192</f>
        <v>0</v>
      </c>
      <c r="L163" s="1740">
        <f>'Stock Rawmaterial'!K1192</f>
        <v>0</v>
      </c>
      <c r="M163" s="1672">
        <f>'Stock Rawmaterial'!L1192</f>
        <v>25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87"/>
      <c r="B164" s="2285"/>
      <c r="C164" s="127" t="str">
        <f>'Stock Rawmaterial'!C1193</f>
        <v>E3</v>
      </c>
      <c r="D164" s="881" t="s">
        <v>10</v>
      </c>
      <c r="E164" s="867">
        <f>'Stock Rawmaterial'!E1193</f>
        <v>46247</v>
      </c>
      <c r="F164" s="358">
        <f>'Stock Rawmaterial'!F1193</f>
        <v>14</v>
      </c>
      <c r="G164" s="1954">
        <v>46446</v>
      </c>
      <c r="H164" s="1740">
        <f>'Stock Rawmaterial'!G1193</f>
        <v>50</v>
      </c>
      <c r="I164" s="1740">
        <f>'Stock Rawmaterial'!H1193</f>
        <v>0</v>
      </c>
      <c r="J164" s="1740">
        <f>'Stock Rawmaterial'!I1193</f>
        <v>0</v>
      </c>
      <c r="K164" s="1740">
        <f>'Stock Rawmaterial'!J1193</f>
        <v>0</v>
      </c>
      <c r="L164" s="1740">
        <f>'Stock Rawmaterial'!K1193</f>
        <v>0</v>
      </c>
      <c r="M164" s="1672">
        <f>'Stock Rawmaterial'!L1193</f>
        <v>50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4"/>
      <c r="B165" s="2286"/>
      <c r="C165" s="127">
        <f>'Stock Rawmaterial'!C1194</f>
        <v>0</v>
      </c>
      <c r="D165" s="881" t="s">
        <v>10</v>
      </c>
      <c r="E165" s="867">
        <f>'Stock Rawmaterial'!E1194</f>
        <v>46247</v>
      </c>
      <c r="F165" s="358">
        <f>'Stock Rawmaterial'!F1194</f>
        <v>14</v>
      </c>
      <c r="G165" s="1954">
        <v>46446</v>
      </c>
      <c r="H165" s="1740">
        <f>'Stock Rawmaterial'!G1194</f>
        <v>0</v>
      </c>
      <c r="I165" s="1740">
        <f>'Stock Rawmaterial'!H1194</f>
        <v>0</v>
      </c>
      <c r="J165" s="1740">
        <f>'Stock Rawmaterial'!I1194</f>
        <v>0</v>
      </c>
      <c r="K165" s="1740">
        <f>'Stock Rawmaterial'!J1194</f>
        <v>0</v>
      </c>
      <c r="L165" s="1740">
        <f>'Stock Rawmaterial'!K1194</f>
        <v>0</v>
      </c>
      <c r="M165" s="1672">
        <f>'Stock Rawmaterial'!L1194</f>
        <v>0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87"/>
      <c r="B166" s="2285"/>
      <c r="C166" s="127">
        <f>'Stock Rawmaterial'!C1195</f>
        <v>0</v>
      </c>
      <c r="D166" s="881" t="s">
        <v>10</v>
      </c>
      <c r="E166" s="867">
        <f>'Stock Rawmaterial'!E1195</f>
        <v>46233</v>
      </c>
      <c r="F166" s="358">
        <f>'Stock Rawmaterial'!F1195</f>
        <v>28</v>
      </c>
      <c r="G166" s="1954">
        <v>46446</v>
      </c>
      <c r="H166" s="1740">
        <f>'Stock Rawmaterial'!G1195</f>
        <v>0</v>
      </c>
      <c r="I166" s="1740">
        <f>'Stock Rawmaterial'!H1195</f>
        <v>0</v>
      </c>
      <c r="J166" s="1740">
        <f>'Stock Rawmaterial'!I1195</f>
        <v>0</v>
      </c>
      <c r="K166" s="1740">
        <f>'Stock Rawmaterial'!J1195</f>
        <v>0</v>
      </c>
      <c r="L166" s="1740">
        <f>'Stock Rawmaterial'!K1195</f>
        <v>0</v>
      </c>
      <c r="M166" s="1672">
        <f>'Stock Rawmaterial'!L1195</f>
        <v>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88"/>
      <c r="B167" s="2285"/>
      <c r="C167" s="1156" t="str">
        <f>'Stock Rawmaterial'!C1196</f>
        <v>Feedmil</v>
      </c>
      <c r="D167" s="1154" t="s">
        <v>10</v>
      </c>
      <c r="E167" s="1155">
        <f>'Stock Rawmaterial'!E1196</f>
        <v>46233</v>
      </c>
      <c r="F167" s="358">
        <f>'Stock Rawmaterial'!F1196</f>
        <v>28</v>
      </c>
      <c r="G167" s="1955">
        <v>46446</v>
      </c>
      <c r="H167" s="1740">
        <f>'Stock Rawmaterial'!G1196</f>
        <v>33.06</v>
      </c>
      <c r="I167" s="1740">
        <f>'Stock Rawmaterial'!H1196</f>
        <v>0</v>
      </c>
      <c r="J167" s="1740">
        <f>'Stock Rawmaterial'!I1196</f>
        <v>0</v>
      </c>
      <c r="K167" s="1740">
        <f>'Stock Rawmaterial'!J1196</f>
        <v>0</v>
      </c>
      <c r="L167" s="1740">
        <f>'Stock Rawmaterial'!K1196</f>
        <v>0</v>
      </c>
      <c r="M167" s="1672">
        <f>'Stock Rawmaterial'!L1196</f>
        <v>33.06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108.06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108.06</v>
      </c>
      <c r="N168" s="928">
        <f>'Stock Rawmaterial'!M1197</f>
        <v>1.5750000000000002</v>
      </c>
      <c r="O168" s="928">
        <f>'Stock Rawmaterial'!N1197</f>
        <v>68.609523809523807</v>
      </c>
      <c r="P168" s="928">
        <f>'Stock Rawmaterial'!O1197</f>
        <v>3.3333333333333335</v>
      </c>
      <c r="Q168" s="928">
        <f>'Stock Rawmaterial'!P1197</f>
        <v>32.417999999999999</v>
      </c>
      <c r="R168" s="466"/>
      <c r="S168" s="264"/>
      <c r="T168" s="467"/>
    </row>
    <row r="169" spans="1:20" s="265" customFormat="1" ht="30" hidden="1" customHeight="1" x14ac:dyDescent="0.2">
      <c r="A169" s="2086" t="str">
        <f>IF(M174=0,"",MAX($A$15:A168)+1)</f>
        <v/>
      </c>
      <c r="B169" s="2156" t="s">
        <v>563</v>
      </c>
      <c r="C169" s="574">
        <f>'Stock Rawmaterial'!C1327</f>
        <v>0</v>
      </c>
      <c r="D169" s="881" t="str">
        <f>'Stock Rawmaterial'!D1327</f>
        <v>Rec.</v>
      </c>
      <c r="E169" s="882">
        <f>'Stock Rawmaterial'!E1327</f>
        <v>46129</v>
      </c>
      <c r="F169" s="71">
        <f>'Stock Rawmaterial'!F1327</f>
        <v>132</v>
      </c>
      <c r="G169" s="1954">
        <v>46234</v>
      </c>
      <c r="H169" s="80">
        <f>'Stock Rawmaterial'!G1327</f>
        <v>0</v>
      </c>
      <c r="I169" s="80">
        <f>'Stock Rawmaterial'!H1327</f>
        <v>0</v>
      </c>
      <c r="J169" s="80">
        <f>'Stock Rawmaterial'!I1327</f>
        <v>0</v>
      </c>
      <c r="K169" s="1575">
        <f>'Stock Rawmaterial'!J1327</f>
        <v>0</v>
      </c>
      <c r="L169" s="80">
        <f>'Stock Rawmaterial'!K1327</f>
        <v>0</v>
      </c>
      <c r="M169" s="1672">
        <f>'Stock Rawmaterial'!L1327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87"/>
      <c r="B170" s="2158"/>
      <c r="C170" s="574">
        <f>'Stock Rawmaterial'!C1328</f>
        <v>0</v>
      </c>
      <c r="D170" s="881" t="str">
        <f>'Stock Rawmaterial'!D1328</f>
        <v>Rec.</v>
      </c>
      <c r="E170" s="882">
        <f>'Stock Rawmaterial'!E1328</f>
        <v>46162</v>
      </c>
      <c r="F170" s="71">
        <f>'Stock Rawmaterial'!F1328</f>
        <v>99</v>
      </c>
      <c r="G170" s="1954">
        <v>46599</v>
      </c>
      <c r="H170" s="80">
        <f>'Stock Rawmaterial'!G1328</f>
        <v>0</v>
      </c>
      <c r="I170" s="80">
        <f>'Stock Rawmaterial'!H1328</f>
        <v>0</v>
      </c>
      <c r="J170" s="80">
        <f>'Stock Rawmaterial'!I1328</f>
        <v>0</v>
      </c>
      <c r="K170" s="1575">
        <f>'Stock Rawmaterial'!J1328</f>
        <v>0</v>
      </c>
      <c r="L170" s="80">
        <f>'Stock Rawmaterial'!K1328</f>
        <v>0</v>
      </c>
      <c r="M170" s="1672">
        <f>'Stock Rawmaterial'!L1328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87"/>
      <c r="B171" s="2158"/>
      <c r="C171" s="574" t="str">
        <f>'Stock Rawmaterial'!C1329</f>
        <v>E1</v>
      </c>
      <c r="D171" s="881" t="str">
        <f>'Stock Rawmaterial'!D1329</f>
        <v>Rec.</v>
      </c>
      <c r="E171" s="882">
        <f>'Stock Rawmaterial'!E1329</f>
        <v>46185</v>
      </c>
      <c r="F171" s="71">
        <f>'Stock Rawmaterial'!F1329</f>
        <v>76</v>
      </c>
      <c r="G171" s="1954">
        <v>46234</v>
      </c>
      <c r="H171" s="80">
        <f>'Stock Rawmaterial'!G1329</f>
        <v>0</v>
      </c>
      <c r="I171" s="80">
        <f>'Stock Rawmaterial'!H1329</f>
        <v>0</v>
      </c>
      <c r="J171" s="80">
        <f>'Stock Rawmaterial'!I1329</f>
        <v>0</v>
      </c>
      <c r="K171" s="1575">
        <f>'Stock Rawmaterial'!J1329</f>
        <v>0</v>
      </c>
      <c r="L171" s="80">
        <f>'Stock Rawmaterial'!K1329</f>
        <v>0</v>
      </c>
      <c r="M171" s="1576">
        <f>'Stock Rawmaterial'!L1329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4"/>
      <c r="B172" s="2159"/>
      <c r="C172" s="574">
        <f>'Stock Rawmaterial'!C1330</f>
        <v>0</v>
      </c>
      <c r="D172" s="881" t="str">
        <f>'Stock Rawmaterial'!D1330</f>
        <v>Rec.</v>
      </c>
      <c r="E172" s="882">
        <f>'Stock Rawmaterial'!E1330</f>
        <v>46185</v>
      </c>
      <c r="F172" s="71">
        <f>'Stock Rawmaterial'!F1330</f>
        <v>76</v>
      </c>
      <c r="G172" s="1954">
        <v>46599</v>
      </c>
      <c r="H172" s="80">
        <f>'Stock Rawmaterial'!G1330</f>
        <v>0</v>
      </c>
      <c r="I172" s="80">
        <f>'Stock Rawmaterial'!H1330</f>
        <v>0</v>
      </c>
      <c r="J172" s="80">
        <f>'Stock Rawmaterial'!I1330</f>
        <v>0</v>
      </c>
      <c r="K172" s="1575">
        <f>'Stock Rawmaterial'!J1330</f>
        <v>0</v>
      </c>
      <c r="L172" s="80">
        <f>'Stock Rawmaterial'!K1330</f>
        <v>0</v>
      </c>
      <c r="M172" s="1576">
        <f>'Stock Rawmaterial'!L1330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87"/>
      <c r="B173" s="2158"/>
      <c r="C173" s="1153" t="str">
        <f>'Stock Rawmaterial'!C1331</f>
        <v>Feedmill</v>
      </c>
      <c r="D173" s="1154" t="str">
        <f>'Stock Rawmaterial'!D1331</f>
        <v>Rec.</v>
      </c>
      <c r="E173" s="1155">
        <f>'Stock Rawmaterial'!E1331</f>
        <v>46185</v>
      </c>
      <c r="F173" s="566">
        <f>'Stock Rawmaterial'!F1331</f>
        <v>76</v>
      </c>
      <c r="G173" s="1955">
        <v>46234</v>
      </c>
      <c r="H173" s="567">
        <f>'Stock Rawmaterial'!G1331</f>
        <v>0</v>
      </c>
      <c r="I173" s="567">
        <f>'Stock Rawmaterial'!H1331</f>
        <v>0</v>
      </c>
      <c r="J173" s="567">
        <f>'Stock Rawmaterial'!I1331</f>
        <v>0</v>
      </c>
      <c r="K173" s="1694">
        <f>'Stock Rawmaterial'!J1331</f>
        <v>0</v>
      </c>
      <c r="L173" s="567">
        <f>'Stock Rawmaterial'!K1331</f>
        <v>0</v>
      </c>
      <c r="M173" s="1695">
        <f>'Stock Rawmaterial'!L1331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Rawmaterial'!M1332</f>
        <v/>
      </c>
      <c r="O174" s="928">
        <f>'Stock Rawmaterial'!N1332</f>
        <v>0</v>
      </c>
      <c r="P174" s="928">
        <f>'Stock Rawmaterial'!O1332</f>
        <v>0</v>
      </c>
      <c r="Q174" s="928">
        <f>'Stock Rawmaterial'!P1332</f>
        <v>0</v>
      </c>
      <c r="R174" s="466"/>
      <c r="S174" s="264"/>
      <c r="T174" s="467"/>
    </row>
    <row r="175" spans="1:20" s="265" customFormat="1" ht="30" hidden="1" customHeight="1" x14ac:dyDescent="0.2">
      <c r="A175" s="2086" t="str">
        <f>IF(M180=0,"",MAX($A$15:A174)+1)</f>
        <v/>
      </c>
      <c r="B175" s="2284" t="s">
        <v>580</v>
      </c>
      <c r="C175" s="574" t="str">
        <f>'Stock Rawmaterial'!C1136</f>
        <v>V2.1</v>
      </c>
      <c r="D175" s="881" t="s">
        <v>10</v>
      </c>
      <c r="E175" s="882">
        <f>'Stock Rawmaterial'!E1136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Rawmaterial'!G1136</f>
        <v>0</v>
      </c>
      <c r="L175" s="80">
        <f>'Stock Rawmaterial'!H1136</f>
        <v>0</v>
      </c>
      <c r="M175" s="80">
        <f>'Stock Rawmaterial'!I1136</f>
        <v>0</v>
      </c>
      <c r="N175" s="287"/>
      <c r="O175" s="1636">
        <f>'Stock Rawmaterial'!J1136</f>
        <v>0</v>
      </c>
      <c r="P175" s="287"/>
      <c r="Q175" s="287">
        <f>'Stock Rawmaterial'!K1136</f>
        <v>0</v>
      </c>
      <c r="R175" s="466"/>
      <c r="S175" s="264"/>
      <c r="T175" s="467"/>
    </row>
    <row r="176" spans="1:20" s="265" customFormat="1" ht="30" hidden="1" customHeight="1" x14ac:dyDescent="0.2">
      <c r="A176" s="2087"/>
      <c r="B176" s="2285"/>
      <c r="C176" s="574" t="str">
        <f>'Stock Rawmaterial'!C1137</f>
        <v>V6.1</v>
      </c>
      <c r="D176" s="881" t="s">
        <v>10</v>
      </c>
      <c r="E176" s="882">
        <f>'Stock Rawmaterial'!E1137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Rawmaterial'!G1137</f>
        <v>0</v>
      </c>
      <c r="L176" s="80">
        <f>'Stock Rawmaterial'!H1137</f>
        <v>0</v>
      </c>
      <c r="M176" s="80">
        <f>'Stock Rawmaterial'!I1137</f>
        <v>0</v>
      </c>
      <c r="N176" s="287"/>
      <c r="O176" s="1636">
        <f>'Stock Rawmaterial'!J1137</f>
        <v>0</v>
      </c>
      <c r="P176" s="287"/>
      <c r="Q176" s="287">
        <f>'Stock Rawmaterial'!K1137</f>
        <v>0</v>
      </c>
      <c r="R176" s="466"/>
      <c r="S176" s="264"/>
      <c r="T176" s="467"/>
    </row>
    <row r="177" spans="1:44" s="265" customFormat="1" ht="30" hidden="1" customHeight="1" x14ac:dyDescent="0.2">
      <c r="A177" s="2087"/>
      <c r="B177" s="2285"/>
      <c r="C177" s="574">
        <f>'Stock Rawmaterial'!C1138</f>
        <v>0</v>
      </c>
      <c r="D177" s="881" t="s">
        <v>10</v>
      </c>
      <c r="E177" s="882">
        <f>'Stock Rawmaterial'!E1138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Rawmaterial'!G1138</f>
        <v>0</v>
      </c>
      <c r="L177" s="80">
        <f>'Stock Rawmaterial'!H1138</f>
        <v>0</v>
      </c>
      <c r="M177" s="80">
        <f>'Stock Rawmaterial'!I1138</f>
        <v>0</v>
      </c>
      <c r="N177" s="287"/>
      <c r="O177" s="1636">
        <f>'Stock Rawmaterial'!J1138</f>
        <v>0</v>
      </c>
      <c r="P177" s="287"/>
      <c r="Q177" s="287">
        <f>'Stock Rawmaterial'!K1138</f>
        <v>0</v>
      </c>
      <c r="R177" s="466"/>
      <c r="S177" s="264"/>
      <c r="T177" s="467"/>
    </row>
    <row r="178" spans="1:44" s="265" customFormat="1" ht="30" hidden="1" customHeight="1" x14ac:dyDescent="0.2">
      <c r="A178" s="2087"/>
      <c r="B178" s="2285"/>
      <c r="C178" s="1143">
        <f>'Stock Rawmaterial'!C1139</f>
        <v>0</v>
      </c>
      <c r="D178" s="881" t="s">
        <v>10</v>
      </c>
      <c r="E178" s="882">
        <f>'Stock Rawmaterial'!E1139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Rawmaterial'!G1139</f>
        <v>0</v>
      </c>
      <c r="L178" s="80">
        <f>'Stock Rawmaterial'!H1139</f>
        <v>0</v>
      </c>
      <c r="M178" s="80">
        <f>'Stock Rawmaterial'!I1139</f>
        <v>0</v>
      </c>
      <c r="N178" s="287"/>
      <c r="O178" s="1636">
        <f>'Stock Rawmaterial'!J1139</f>
        <v>0</v>
      </c>
      <c r="P178" s="287"/>
      <c r="Q178" s="287">
        <f>'Stock Rawmaterial'!K1139</f>
        <v>0</v>
      </c>
      <c r="R178" s="466"/>
      <c r="S178" s="264"/>
      <c r="T178" s="467"/>
    </row>
    <row r="179" spans="1:44" s="265" customFormat="1" ht="30" hidden="1" customHeight="1" x14ac:dyDescent="0.2">
      <c r="A179" s="2088"/>
      <c r="B179" s="2285"/>
      <c r="C179" s="138" t="str">
        <f>'Stock Rawmaterial'!C1140</f>
        <v>Feedmill</v>
      </c>
      <c r="D179" s="884" t="str">
        <f>'Stock Rawmaterial'!D1140</f>
        <v>Rec.</v>
      </c>
      <c r="E179" s="885">
        <f>'Stock Rawmaterial'!E1140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Rawmaterial'!G1140</f>
        <v>0</v>
      </c>
      <c r="L179" s="567">
        <f>'Stock Rawmaterial'!H1140</f>
        <v>0</v>
      </c>
      <c r="M179" s="567">
        <f>'Stock Rawmaterial'!I1140</f>
        <v>0</v>
      </c>
      <c r="N179" s="568"/>
      <c r="O179" s="1642">
        <f>'Stock Rawmaterial'!J1140</f>
        <v>0</v>
      </c>
      <c r="P179" s="568"/>
      <c r="Q179" s="568">
        <f>'Stock Rawmaterial'!K1140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86">
        <f>IF(M188=0,"",MAX($A$15:A180)+1)</f>
        <v>11</v>
      </c>
      <c r="B181" s="2284" t="s">
        <v>583</v>
      </c>
      <c r="C181" s="574">
        <f>'Stock Rawmaterial'!C646</f>
        <v>0</v>
      </c>
      <c r="D181" s="881" t="s">
        <v>10</v>
      </c>
      <c r="E181" s="882">
        <f>'Stock Rawmaterial'!E646</f>
        <v>45807</v>
      </c>
      <c r="F181" s="1831">
        <f>'Stock Rawmaterial'!F646</f>
        <v>454</v>
      </c>
      <c r="G181" s="1686">
        <v>46737</v>
      </c>
      <c r="H181" s="1822">
        <f>'Stock Rawmaterial'!G646</f>
        <v>0</v>
      </c>
      <c r="I181" s="1822">
        <f>'Stock Rawmaterial'!H646</f>
        <v>0</v>
      </c>
      <c r="J181" s="1822">
        <f>'Stock Rawmaterial'!I646</f>
        <v>0</v>
      </c>
      <c r="K181" s="1822">
        <f>'Stock Rawmaterial'!J646</f>
        <v>0</v>
      </c>
      <c r="L181" s="1822">
        <f>'Stock Rawmaterial'!K646</f>
        <v>0</v>
      </c>
      <c r="M181" s="1822">
        <f>'Stock Rawmaterial'!L646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87"/>
      <c r="B182" s="2285"/>
      <c r="C182" s="574">
        <f>'Stock Rawmaterial'!C647</f>
        <v>0</v>
      </c>
      <c r="D182" s="881" t="s">
        <v>10</v>
      </c>
      <c r="E182" s="882">
        <f>'Stock Rawmaterial'!E647</f>
        <v>45868</v>
      </c>
      <c r="F182" s="1831">
        <f>'Stock Rawmaterial'!F647</f>
        <v>393</v>
      </c>
      <c r="G182" s="882"/>
      <c r="H182" s="882">
        <f>'Stock Rawmaterial'!G647</f>
        <v>0</v>
      </c>
      <c r="I182" s="1822">
        <f>'Stock Rawmaterial'!H647</f>
        <v>0</v>
      </c>
      <c r="J182" s="1822">
        <f>'Stock Rawmaterial'!I647</f>
        <v>0</v>
      </c>
      <c r="K182" s="1822">
        <f>'Stock Rawmaterial'!J647</f>
        <v>0</v>
      </c>
      <c r="L182" s="1822">
        <f>'Stock Rawmaterial'!K647</f>
        <v>0</v>
      </c>
      <c r="M182" s="1822">
        <f>'Stock Rawmaterial'!L647</f>
        <v>0</v>
      </c>
      <c r="N182" s="287"/>
      <c r="O182" s="287"/>
      <c r="P182" s="287"/>
      <c r="Q182" s="287">
        <f>'Stock Rawmaterial'!K647</f>
        <v>0</v>
      </c>
      <c r="R182" s="466"/>
      <c r="S182" s="264"/>
      <c r="T182" s="467"/>
    </row>
    <row r="183" spans="1:44" s="265" customFormat="1" ht="30" hidden="1" customHeight="1" x14ac:dyDescent="0.2">
      <c r="A183" s="2124"/>
      <c r="B183" s="2286"/>
      <c r="C183" s="574">
        <f>'Stock Rawmaterial'!C648</f>
        <v>0</v>
      </c>
      <c r="D183" s="881" t="s">
        <v>10</v>
      </c>
      <c r="E183" s="882">
        <f>'Stock Rawmaterial'!E648</f>
        <v>45908</v>
      </c>
      <c r="F183" s="1831">
        <f>'Stock Rawmaterial'!F648</f>
        <v>353</v>
      </c>
      <c r="G183" s="882"/>
      <c r="H183" s="882">
        <f>'Stock Rawmaterial'!G648</f>
        <v>0</v>
      </c>
      <c r="I183" s="1822">
        <f>'Stock Rawmaterial'!H648</f>
        <v>0</v>
      </c>
      <c r="J183" s="1822">
        <f>'Stock Rawmaterial'!I648</f>
        <v>0</v>
      </c>
      <c r="K183" s="1822">
        <f>'Stock Rawmaterial'!J648</f>
        <v>0</v>
      </c>
      <c r="L183" s="1822">
        <f>'Stock Rawmaterial'!K648</f>
        <v>0</v>
      </c>
      <c r="M183" s="1822">
        <f>'Stock Rawmaterial'!L648</f>
        <v>0</v>
      </c>
      <c r="N183" s="287"/>
      <c r="O183" s="287"/>
      <c r="P183" s="287"/>
      <c r="Q183" s="287">
        <f>'Stock Rawmaterial'!K648</f>
        <v>0</v>
      </c>
      <c r="R183" s="1166"/>
      <c r="S183" s="264"/>
      <c r="T183" s="1167"/>
    </row>
    <row r="184" spans="1:44" s="265" customFormat="1" ht="30" hidden="1" customHeight="1" x14ac:dyDescent="0.2">
      <c r="A184" s="2124"/>
      <c r="B184" s="2286"/>
      <c r="C184" s="574">
        <f>'Stock Rawmaterial'!C649</f>
        <v>0</v>
      </c>
      <c r="D184" s="881" t="s">
        <v>10</v>
      </c>
      <c r="E184" s="882">
        <f>'Stock Rawmaterial'!E649</f>
        <v>45996</v>
      </c>
      <c r="F184" s="1831">
        <f>'Stock Rawmaterial'!F649</f>
        <v>265</v>
      </c>
      <c r="G184" s="1686">
        <v>46299</v>
      </c>
      <c r="H184" s="1822">
        <f>'Stock Rawmaterial'!G649</f>
        <v>0</v>
      </c>
      <c r="I184" s="1822">
        <f>'Stock Rawmaterial'!H649</f>
        <v>0</v>
      </c>
      <c r="J184" s="1822">
        <f>'Stock Rawmaterial'!I649</f>
        <v>0</v>
      </c>
      <c r="K184" s="1822">
        <f>'Stock Rawmaterial'!J649</f>
        <v>0</v>
      </c>
      <c r="L184" s="1822">
        <f>'Stock Rawmaterial'!K649</f>
        <v>0</v>
      </c>
      <c r="M184" s="1822">
        <f>'Stock Rawmaterial'!L649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4"/>
      <c r="B185" s="2286"/>
      <c r="C185" s="574" t="str">
        <f>'Stock Rawmaterial'!C650</f>
        <v>E3</v>
      </c>
      <c r="D185" s="881" t="s">
        <v>10</v>
      </c>
      <c r="E185" s="882">
        <f>'Stock Rawmaterial'!E650</f>
        <v>46216</v>
      </c>
      <c r="F185" s="1831">
        <f>'Stock Rawmaterial'!F650</f>
        <v>45</v>
      </c>
      <c r="G185" s="1954">
        <v>46613</v>
      </c>
      <c r="H185" s="80">
        <f>'Stock Rawmaterial'!G650</f>
        <v>125</v>
      </c>
      <c r="I185" s="1822">
        <f>'Stock Rawmaterial'!H650</f>
        <v>0</v>
      </c>
      <c r="J185" s="1822">
        <f>'Stock Rawmaterial'!I650</f>
        <v>0</v>
      </c>
      <c r="K185" s="1822">
        <f>'Stock Rawmaterial'!J650</f>
        <v>0</v>
      </c>
      <c r="L185" s="1822">
        <f>'Stock Rawmaterial'!K650</f>
        <v>0</v>
      </c>
      <c r="M185" s="1822">
        <f>'Stock Rawmaterial'!L650</f>
        <v>125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4"/>
      <c r="B186" s="2286"/>
      <c r="C186" s="574">
        <f>'Stock Rawmaterial'!C651</f>
        <v>0</v>
      </c>
      <c r="D186" s="881" t="s">
        <v>10</v>
      </c>
      <c r="E186" s="882">
        <f>'Stock Rawmaterial'!E651</f>
        <v>46216</v>
      </c>
      <c r="F186" s="1831">
        <f>'Stock Rawmaterial'!F651</f>
        <v>45</v>
      </c>
      <c r="G186" s="1954">
        <v>46612</v>
      </c>
      <c r="H186" s="1822">
        <f>'Stock Rawmaterial'!G651</f>
        <v>0</v>
      </c>
      <c r="I186" s="1822">
        <f>'Stock Rawmaterial'!H651</f>
        <v>0</v>
      </c>
      <c r="J186" s="1822">
        <f>'Stock Rawmaterial'!I651</f>
        <v>0</v>
      </c>
      <c r="K186" s="1822">
        <f>'Stock Rawmaterial'!J651</f>
        <v>0</v>
      </c>
      <c r="L186" s="1822">
        <f>'Stock Rawmaterial'!K651</f>
        <v>0</v>
      </c>
      <c r="M186" s="1822">
        <f>'Stock Rawmaterial'!L651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88"/>
      <c r="B187" s="2287"/>
      <c r="C187" s="1153" t="str">
        <f>'Stock Rawmaterial'!C652</f>
        <v>Feedmill</v>
      </c>
      <c r="D187" s="1154" t="s">
        <v>10</v>
      </c>
      <c r="E187" s="1155">
        <f>'Stock Rawmaterial'!E652</f>
        <v>46216</v>
      </c>
      <c r="F187" s="1831">
        <f>'Stock Rawmaterial'!F652</f>
        <v>45</v>
      </c>
      <c r="G187" s="1954">
        <v>46613</v>
      </c>
      <c r="H187" s="1822">
        <f>'Stock Rawmaterial'!G652</f>
        <v>6.279999999999994</v>
      </c>
      <c r="I187" s="1822">
        <f>'Stock Rawmaterial'!H652</f>
        <v>0</v>
      </c>
      <c r="J187" s="1822">
        <f>'Stock Rawmaterial'!I652</f>
        <v>0</v>
      </c>
      <c r="K187" s="1822">
        <f>'Stock Rawmaterial'!J652</f>
        <v>0</v>
      </c>
      <c r="L187" s="1822">
        <f>'Stock Rawmaterial'!K652</f>
        <v>0</v>
      </c>
      <c r="M187" s="1822">
        <f>'Stock Rawmaterial'!L652</f>
        <v>6.279999999999994</v>
      </c>
      <c r="N187" s="1822">
        <f>'Stock Rawmaterial'!M652</f>
        <v>0</v>
      </c>
      <c r="O187" s="1822">
        <f>'Stock Rawmaterial'!N652</f>
        <v>0</v>
      </c>
      <c r="P187" s="1822">
        <f>'Stock Rawmaterial'!O652</f>
        <v>0</v>
      </c>
      <c r="Q187" s="1822">
        <f>'Stock Rawmaterial'!P652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131.28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131.28</v>
      </c>
      <c r="N188" s="928">
        <f>'Stock Rawmaterial'!M653</f>
        <v>6.3933333333333335</v>
      </c>
      <c r="O188" s="928">
        <f>'Stock Rawmaterial'!N653</f>
        <v>20.533889468196037</v>
      </c>
      <c r="P188" s="928">
        <f>'Stock Rawmaterial'!O653</f>
        <v>0</v>
      </c>
      <c r="Q188" s="928">
        <f>'Stock Rawmaterial'!P653</f>
        <v>0</v>
      </c>
      <c r="R188" s="466"/>
      <c r="S188" s="264"/>
      <c r="T188" s="467"/>
    </row>
    <row r="189" spans="1:44" s="6" customFormat="1" ht="30" hidden="1" customHeight="1" x14ac:dyDescent="0.3">
      <c r="A189" s="2013" t="str">
        <f>IF(M194=0,"",MAX($A$15:A188)+1)</f>
        <v/>
      </c>
      <c r="B189" s="1161" t="s">
        <v>585</v>
      </c>
      <c r="C189" s="150" t="str">
        <f>'Stock Rawmaterial'!C1212</f>
        <v>Z4.1</v>
      </c>
      <c r="D189" s="881" t="s">
        <v>10</v>
      </c>
      <c r="E189" s="882">
        <f>'Stock Rawmaterial'!E1212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Rawmaterial'!H1212</f>
        <v>0</v>
      </c>
      <c r="M189" s="82">
        <f>'Stock Rawmaterial'!I1212</f>
        <v>0</v>
      </c>
      <c r="N189" s="330"/>
      <c r="O189" s="1645">
        <f>'Stock Rawmaterial'!J1212</f>
        <v>0</v>
      </c>
      <c r="P189" s="330"/>
      <c r="Q189" s="330">
        <f>'Stock Rawmaterial'!K1212</f>
        <v>0</v>
      </c>
      <c r="R189" s="498"/>
      <c r="T189" s="10"/>
      <c r="AR189" s="180"/>
    </row>
    <row r="190" spans="1:44" s="6" customFormat="1" ht="30" hidden="1" customHeight="1" x14ac:dyDescent="0.3">
      <c r="A190" s="2005"/>
      <c r="B190" s="1162"/>
      <c r="C190" s="150" t="str">
        <f>'Stock Rawmaterial'!C1213</f>
        <v>A18.5</v>
      </c>
      <c r="D190" s="881" t="s">
        <v>10</v>
      </c>
      <c r="E190" s="882">
        <f>'Stock Rawmaterial'!E1213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Rawmaterial'!H1213</f>
        <v>0</v>
      </c>
      <c r="M190" s="82">
        <f>'Stock Rawmaterial'!I1213</f>
        <v>0</v>
      </c>
      <c r="N190" s="330"/>
      <c r="O190" s="1645">
        <f>'Stock Rawmaterial'!J1213</f>
        <v>0</v>
      </c>
      <c r="P190" s="330"/>
      <c r="Q190" s="330">
        <f>'Stock Rawmaterial'!K1213</f>
        <v>0</v>
      </c>
      <c r="R190" s="498"/>
      <c r="T190" s="10"/>
      <c r="AR190" s="180"/>
    </row>
    <row r="191" spans="1:44" s="6" customFormat="1" ht="30" hidden="1" customHeight="1" x14ac:dyDescent="0.3">
      <c r="A191" s="2005"/>
      <c r="B191" s="1162"/>
      <c r="C191" s="150">
        <f>'Stock Rawmaterial'!C1214</f>
        <v>0</v>
      </c>
      <c r="D191" s="881" t="s">
        <v>10</v>
      </c>
      <c r="E191" s="882">
        <f>'Stock Rawmaterial'!E1214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Rawmaterial'!H1214</f>
        <v>0</v>
      </c>
      <c r="M191" s="82">
        <f>'Stock Rawmaterial'!I1214</f>
        <v>0</v>
      </c>
      <c r="N191" s="330"/>
      <c r="O191" s="1645">
        <f>'Stock Rawmaterial'!J1214</f>
        <v>0</v>
      </c>
      <c r="P191" s="330"/>
      <c r="Q191" s="330">
        <f>'Stock Rawmaterial'!K1214</f>
        <v>0</v>
      </c>
      <c r="R191" s="498"/>
      <c r="T191" s="10"/>
      <c r="AR191" s="180"/>
    </row>
    <row r="192" spans="1:44" s="6" customFormat="1" ht="30" hidden="1" customHeight="1" x14ac:dyDescent="0.3">
      <c r="A192" s="2005"/>
      <c r="B192" s="1162"/>
      <c r="C192" s="150">
        <f>'Stock Rawmaterial'!C1215</f>
        <v>0</v>
      </c>
      <c r="D192" s="881" t="s">
        <v>10</v>
      </c>
      <c r="E192" s="882">
        <f>'Stock Rawmaterial'!E1215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Rawmaterial'!H1215</f>
        <v>0</v>
      </c>
      <c r="M192" s="82">
        <f>'Stock Rawmaterial'!I1215</f>
        <v>0</v>
      </c>
      <c r="N192" s="330"/>
      <c r="O192" s="1645">
        <f>'Stock Rawmaterial'!J1215</f>
        <v>0</v>
      </c>
      <c r="P192" s="330"/>
      <c r="Q192" s="330">
        <f>'Stock Rawmaterial'!K1215</f>
        <v>0</v>
      </c>
      <c r="R192" s="498"/>
      <c r="T192" s="10"/>
      <c r="AR192" s="180"/>
    </row>
    <row r="193" spans="1:44" s="6" customFormat="1" ht="30" hidden="1" customHeight="1" x14ac:dyDescent="0.3">
      <c r="A193" s="2005"/>
      <c r="B193" s="1162"/>
      <c r="C193" s="624" t="str">
        <f>'Stock Rawmaterial'!C1216</f>
        <v>Feedmil</v>
      </c>
      <c r="D193" s="1093" t="s">
        <v>10</v>
      </c>
      <c r="E193" s="1158">
        <f>'Stock Rawmaterial'!E1216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Rawmaterial'!H1216</f>
        <v>0</v>
      </c>
      <c r="M193" s="626">
        <f>'Stock Rawmaterial'!I1216</f>
        <v>0</v>
      </c>
      <c r="N193" s="629"/>
      <c r="O193" s="1646">
        <f>'Stock Rawmaterial'!J1216</f>
        <v>0</v>
      </c>
      <c r="P193" s="629"/>
      <c r="Q193" s="629">
        <f>'Stock Rawmaterial'!K1216</f>
        <v>0</v>
      </c>
      <c r="R193" s="498"/>
      <c r="T193" s="10"/>
      <c r="AR193" s="180"/>
    </row>
    <row r="194" spans="1:44" s="420" customFormat="1" ht="30" hidden="1" customHeight="1" x14ac:dyDescent="0.2">
      <c r="A194" s="2006"/>
      <c r="B194" s="2007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3">
        <f>IF(M201=0,"",MAX($A$15:A194)+1)</f>
        <v>12</v>
      </c>
      <c r="B195" s="2156" t="s">
        <v>602</v>
      </c>
      <c r="C195" s="574">
        <f>'Stock Rawmaterial'!C1337</f>
        <v>0</v>
      </c>
      <c r="D195" s="881" t="str">
        <f>'Stock Rawmaterial'!D1337</f>
        <v>Rec.</v>
      </c>
      <c r="E195" s="882">
        <f>'Stock Rawmaterial'!E1337</f>
        <v>45715</v>
      </c>
      <c r="F195" s="71">
        <f>'Stock Rawmaterial'!F1337</f>
        <v>546</v>
      </c>
      <c r="G195" s="1686">
        <v>46377</v>
      </c>
      <c r="H195" s="80">
        <f>'Stock Rawmaterial'!G1337</f>
        <v>0</v>
      </c>
      <c r="I195" s="80">
        <f>'Stock Rawmaterial'!H1337</f>
        <v>0</v>
      </c>
      <c r="J195" s="80">
        <f>'Stock Rawmaterial'!I1337</f>
        <v>0</v>
      </c>
      <c r="K195" s="1575">
        <f>'Stock Rawmaterial'!J1337</f>
        <v>0</v>
      </c>
      <c r="L195" s="80">
        <f>'Stock Rawmaterial'!K1337</f>
        <v>0</v>
      </c>
      <c r="M195" s="1672">
        <f>'Stock Rawmaterial'!L1337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5"/>
      <c r="B196" s="2159"/>
      <c r="C196" s="574">
        <f>'Stock Rawmaterial'!C1338</f>
        <v>0</v>
      </c>
      <c r="D196" s="881" t="str">
        <f>'Stock Rawmaterial'!D1338</f>
        <v>Rec.</v>
      </c>
      <c r="E196" s="882">
        <f>'Stock Rawmaterial'!E1338</f>
        <v>45764</v>
      </c>
      <c r="F196" s="71">
        <f>'Stock Rawmaterial'!F1338</f>
        <v>497</v>
      </c>
      <c r="G196" s="1686">
        <v>46426</v>
      </c>
      <c r="H196" s="80">
        <f>'Stock Rawmaterial'!G1338</f>
        <v>0</v>
      </c>
      <c r="I196" s="80">
        <f>'Stock Rawmaterial'!H1338</f>
        <v>0</v>
      </c>
      <c r="J196" s="80">
        <f>'Stock Rawmaterial'!I1338</f>
        <v>0</v>
      </c>
      <c r="K196" s="1575">
        <f>'Stock Rawmaterial'!J1338</f>
        <v>0</v>
      </c>
      <c r="L196" s="80">
        <f>'Stock Rawmaterial'!K1338</f>
        <v>0</v>
      </c>
      <c r="M196" s="1672">
        <f>'Stock Rawmaterial'!L1338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5"/>
      <c r="B197" s="2159"/>
      <c r="C197" s="574">
        <f>'Stock Rawmaterial'!C1339</f>
        <v>0</v>
      </c>
      <c r="D197" s="881" t="str">
        <f>'Stock Rawmaterial'!D1339</f>
        <v>Rec.</v>
      </c>
      <c r="E197" s="882">
        <f>'Stock Rawmaterial'!E1339</f>
        <v>46114</v>
      </c>
      <c r="F197" s="71">
        <f>'Stock Rawmaterial'!F1339</f>
        <v>147</v>
      </c>
      <c r="G197" s="1954">
        <v>46773</v>
      </c>
      <c r="H197" s="80">
        <f>'Stock Rawmaterial'!G1339</f>
        <v>0</v>
      </c>
      <c r="I197" s="80">
        <f>'Stock Rawmaterial'!H1339</f>
        <v>0</v>
      </c>
      <c r="J197" s="80">
        <f>'Stock Rawmaterial'!I1339</f>
        <v>0</v>
      </c>
      <c r="K197" s="1575">
        <f>'Stock Rawmaterial'!J1339</f>
        <v>0</v>
      </c>
      <c r="L197" s="80">
        <f>'Stock Rawmaterial'!K1339</f>
        <v>0</v>
      </c>
      <c r="M197" s="1672">
        <f>'Stock Rawmaterial'!L1339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5"/>
      <c r="B198" s="2158"/>
      <c r="C198" s="574" t="str">
        <f>'Stock Rawmaterial'!C1340</f>
        <v>E2</v>
      </c>
      <c r="D198" s="881" t="str">
        <f>'Stock Rawmaterial'!D1340</f>
        <v>Rec.</v>
      </c>
      <c r="E198" s="882">
        <f>'Stock Rawmaterial'!E1340</f>
        <v>46206</v>
      </c>
      <c r="F198" s="71">
        <f>'Stock Rawmaterial'!F1340</f>
        <v>55</v>
      </c>
      <c r="G198" s="1954">
        <v>46819</v>
      </c>
      <c r="H198" s="80">
        <f>'Stock Rawmaterial'!G1340</f>
        <v>1000</v>
      </c>
      <c r="I198" s="80">
        <f>'Stock Rawmaterial'!H1340</f>
        <v>0</v>
      </c>
      <c r="J198" s="80">
        <f>'Stock Rawmaterial'!I1340</f>
        <v>0</v>
      </c>
      <c r="K198" s="1575">
        <f>'Stock Rawmaterial'!J1340</f>
        <v>0</v>
      </c>
      <c r="L198" s="80">
        <f>'Stock Rawmaterial'!K1340</f>
        <v>0</v>
      </c>
      <c r="M198" s="1672">
        <f>'Stock Rawmaterial'!L1340</f>
        <v>1000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5"/>
      <c r="B199" s="2159"/>
      <c r="C199" s="574" t="str">
        <f>'Stock Rawmaterial'!C1341</f>
        <v>E2</v>
      </c>
      <c r="D199" s="881" t="str">
        <f>'Stock Rawmaterial'!D1341</f>
        <v>Rec.</v>
      </c>
      <c r="E199" s="882">
        <f>'Stock Rawmaterial'!E1341</f>
        <v>46248</v>
      </c>
      <c r="F199" s="71">
        <f>'Stock Rawmaterial'!F1341</f>
        <v>13</v>
      </c>
      <c r="G199" s="1954">
        <v>46819</v>
      </c>
      <c r="H199" s="80">
        <f>'Stock Rawmaterial'!G1341</f>
        <v>1000</v>
      </c>
      <c r="I199" s="80">
        <f>'Stock Rawmaterial'!H1341</f>
        <v>0</v>
      </c>
      <c r="J199" s="80">
        <f>'Stock Rawmaterial'!I1341</f>
        <v>0</v>
      </c>
      <c r="K199" s="1575">
        <f>'Stock Rawmaterial'!J1341</f>
        <v>0</v>
      </c>
      <c r="L199" s="80">
        <f>'Stock Rawmaterial'!K1341</f>
        <v>0</v>
      </c>
      <c r="M199" s="1672">
        <f>'Stock Rawmaterial'!L1341</f>
        <v>1000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5"/>
      <c r="B200" s="2158"/>
      <c r="C200" s="1153" t="str">
        <f>'Stock Rawmaterial'!C1342</f>
        <v>Feedmill</v>
      </c>
      <c r="D200" s="1154" t="str">
        <f>'Stock Rawmaterial'!D1342</f>
        <v>Rec.</v>
      </c>
      <c r="E200" s="1155">
        <f>'Stock Rawmaterial'!E1342</f>
        <v>46206</v>
      </c>
      <c r="F200" s="566">
        <f>'Stock Rawmaterial'!F1342</f>
        <v>55</v>
      </c>
      <c r="G200" s="1955">
        <v>46819</v>
      </c>
      <c r="H200" s="567">
        <f>'Stock Rawmaterial'!G1342</f>
        <v>48.900000000000006</v>
      </c>
      <c r="I200" s="567">
        <f>'Stock Rawmaterial'!H1342</f>
        <v>0</v>
      </c>
      <c r="J200" s="567">
        <f>'Stock Rawmaterial'!I1342</f>
        <v>0</v>
      </c>
      <c r="K200" s="1694">
        <f>'Stock Rawmaterial'!J1342</f>
        <v>0</v>
      </c>
      <c r="L200" s="567">
        <f>'Stock Rawmaterial'!K1342</f>
        <v>0</v>
      </c>
      <c r="M200" s="1695">
        <f>'Stock Rawmaterial'!L1342</f>
        <v>48.900000000000006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1" t="s">
        <v>1372</v>
      </c>
      <c r="B201" s="2090"/>
      <c r="C201" s="125"/>
      <c r="D201" s="1027"/>
      <c r="E201" s="1160"/>
      <c r="F201" s="896"/>
      <c r="G201" s="896"/>
      <c r="H201" s="234">
        <f t="shared" ref="H201:L201" si="31">+SUM(H195:H200)</f>
        <v>2048.9</v>
      </c>
      <c r="I201" s="234">
        <f t="shared" si="31"/>
        <v>0</v>
      </c>
      <c r="J201" s="234">
        <f t="shared" si="31"/>
        <v>0</v>
      </c>
      <c r="K201" s="234">
        <f t="shared" si="31"/>
        <v>0</v>
      </c>
      <c r="L201" s="234">
        <f t="shared" si="31"/>
        <v>0</v>
      </c>
      <c r="M201" s="234">
        <f t="shared" ref="M201" si="32">+SUM(M195:M200)</f>
        <v>2048.9</v>
      </c>
      <c r="N201" s="1648">
        <f>'Stock Rawmaterial'!M1343</f>
        <v>69.933333333333337</v>
      </c>
      <c r="O201" s="1648">
        <f>'Stock Rawmaterial'!N1343</f>
        <v>29.297902764537653</v>
      </c>
      <c r="P201" s="1648">
        <f>'Stock Rawmaterial'!O1343</f>
        <v>53.333333333333336</v>
      </c>
      <c r="Q201" s="1648">
        <f>'Stock Rawmaterial'!P1343</f>
        <v>38.416874999999997</v>
      </c>
      <c r="R201" s="499"/>
      <c r="T201" s="500"/>
      <c r="AR201" s="181"/>
    </row>
    <row r="202" spans="1:44" s="6" customFormat="1" ht="30" hidden="1" customHeight="1" x14ac:dyDescent="0.2">
      <c r="A202" s="2013" t="str">
        <f>IF(M207=0,"",MAX($A$15:A201)+1)</f>
        <v/>
      </c>
      <c r="B202" s="2289" t="s">
        <v>606</v>
      </c>
      <c r="C202" s="150" t="str">
        <f>'Stock Rawmaterial'!C1344</f>
        <v>Y4.1</v>
      </c>
      <c r="D202" s="881" t="s">
        <v>10</v>
      </c>
      <c r="E202" s="1159">
        <f>'Stock Rawmaterial'!E1344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Rawmaterial'!G1344</f>
        <v>0</v>
      </c>
      <c r="L202" s="82">
        <f>'Stock Rawmaterial'!H1344</f>
        <v>0</v>
      </c>
      <c r="M202" s="82">
        <f>'Stock Rawmaterial'!I1344</f>
        <v>0</v>
      </c>
      <c r="N202" s="330"/>
      <c r="O202" s="1645">
        <f>'Stock Rawmaterial'!J1344</f>
        <v>0</v>
      </c>
      <c r="P202" s="330"/>
      <c r="Q202" s="330">
        <f>'Stock Rawmaterial'!K1344</f>
        <v>0</v>
      </c>
      <c r="R202" s="498"/>
      <c r="T202" s="10"/>
      <c r="AR202" s="180"/>
    </row>
    <row r="203" spans="1:44" s="6" customFormat="1" ht="30" hidden="1" customHeight="1" x14ac:dyDescent="0.2">
      <c r="A203" s="2005"/>
      <c r="B203" s="2290"/>
      <c r="C203" s="150" t="str">
        <f>'Stock Rawmaterial'!C1345</f>
        <v>Y4.1</v>
      </c>
      <c r="D203" s="881" t="s">
        <v>10</v>
      </c>
      <c r="E203" s="1159">
        <f>'Stock Rawmaterial'!E1345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Rawmaterial'!G1345</f>
        <v>0</v>
      </c>
      <c r="L203" s="82">
        <f>'Stock Rawmaterial'!H1345</f>
        <v>0</v>
      </c>
      <c r="M203" s="82">
        <f>'Stock Rawmaterial'!I1345</f>
        <v>0</v>
      </c>
      <c r="N203" s="330"/>
      <c r="O203" s="1645">
        <f>'Stock Rawmaterial'!J1345</f>
        <v>0</v>
      </c>
      <c r="P203" s="330"/>
      <c r="Q203" s="330">
        <f>'Stock Rawmaterial'!K1345</f>
        <v>0</v>
      </c>
      <c r="R203" s="498"/>
      <c r="T203" s="10"/>
      <c r="AR203" s="180"/>
    </row>
    <row r="204" spans="1:44" s="6" customFormat="1" ht="30" hidden="1" customHeight="1" x14ac:dyDescent="0.2">
      <c r="A204" s="2005"/>
      <c r="B204" s="2290"/>
      <c r="C204" s="150" t="str">
        <f>'Stock Rawmaterial'!C1346</f>
        <v>Y4.1</v>
      </c>
      <c r="D204" s="881" t="s">
        <v>10</v>
      </c>
      <c r="E204" s="1159">
        <f>'Stock Rawmaterial'!E1346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Rawmaterial'!G1346</f>
        <v>0</v>
      </c>
      <c r="L204" s="82">
        <f>'Stock Rawmaterial'!H1346</f>
        <v>0</v>
      </c>
      <c r="M204" s="82">
        <f>'Stock Rawmaterial'!I1346</f>
        <v>0</v>
      </c>
      <c r="N204" s="330"/>
      <c r="O204" s="1645">
        <f>'Stock Rawmaterial'!J1346</f>
        <v>0</v>
      </c>
      <c r="P204" s="330"/>
      <c r="Q204" s="330">
        <f>'Stock Rawmaterial'!K1346</f>
        <v>0</v>
      </c>
      <c r="R204" s="498"/>
      <c r="T204" s="10"/>
      <c r="AR204" s="180"/>
    </row>
    <row r="205" spans="1:44" s="6" customFormat="1" ht="30" hidden="1" customHeight="1" x14ac:dyDescent="0.2">
      <c r="A205" s="2005"/>
      <c r="B205" s="2290"/>
      <c r="C205" s="150" t="str">
        <f>'Stock Rawmaterial'!C1347</f>
        <v>Y4.1</v>
      </c>
      <c r="D205" s="881" t="s">
        <v>10</v>
      </c>
      <c r="E205" s="1159">
        <f>'Stock Rawmaterial'!E1347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Rawmaterial'!G1347</f>
        <v>0</v>
      </c>
      <c r="L205" s="82">
        <f>'Stock Rawmaterial'!H1347</f>
        <v>0</v>
      </c>
      <c r="M205" s="82">
        <f>'Stock Rawmaterial'!I1347</f>
        <v>0</v>
      </c>
      <c r="N205" s="330"/>
      <c r="O205" s="1645">
        <f>'Stock Rawmaterial'!J1347</f>
        <v>0</v>
      </c>
      <c r="P205" s="330"/>
      <c r="Q205" s="330">
        <f>'Stock Rawmaterial'!K1347</f>
        <v>0</v>
      </c>
      <c r="R205" s="498"/>
      <c r="T205" s="10"/>
      <c r="AR205" s="180"/>
    </row>
    <row r="206" spans="1:44" s="6" customFormat="1" ht="30" hidden="1" customHeight="1" x14ac:dyDescent="0.2">
      <c r="A206" s="2005"/>
      <c r="B206" s="2290"/>
      <c r="C206" s="635" t="str">
        <f>'Stock Rawmaterial'!C1348</f>
        <v>Feedmil</v>
      </c>
      <c r="D206" s="1154" t="s">
        <v>10</v>
      </c>
      <c r="E206" s="1290">
        <f>'Stock Rawmaterial'!E1348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Rawmaterial'!G1348</f>
        <v>0</v>
      </c>
      <c r="L206" s="82">
        <f>'Stock Rawmaterial'!H1348</f>
        <v>0</v>
      </c>
      <c r="M206" s="82">
        <f>'Stock Rawmaterial'!I1348</f>
        <v>0</v>
      </c>
      <c r="N206" s="330"/>
      <c r="O206" s="1645">
        <f>'Stock Rawmaterial'!J1348</f>
        <v>0</v>
      </c>
      <c r="P206" s="330"/>
      <c r="Q206" s="330">
        <f>'Stock Rawmaterial'!K1348</f>
        <v>0</v>
      </c>
      <c r="R206" s="498"/>
      <c r="T206" s="10"/>
      <c r="AR206" s="180"/>
    </row>
    <row r="207" spans="1:44" s="420" customFormat="1" ht="30" hidden="1" customHeight="1" x14ac:dyDescent="0.2">
      <c r="A207" s="2006"/>
      <c r="B207" s="2007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3" t="str">
        <f>IF(M213=0,"",MAX($A$15:A207)+1)</f>
        <v/>
      </c>
      <c r="B208" s="2289" t="s">
        <v>875</v>
      </c>
      <c r="C208" s="150" t="str">
        <f>'Stock Rawmaterial'!C800</f>
        <v>E2</v>
      </c>
      <c r="D208" s="881" t="s">
        <v>10</v>
      </c>
      <c r="E208" s="1159">
        <f>'Stock Rawmaterial'!E800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Rawmaterial'!K800</f>
        <v>0</v>
      </c>
      <c r="R208" s="498"/>
      <c r="T208" s="10"/>
      <c r="AR208" s="180"/>
    </row>
    <row r="209" spans="1:44" s="6" customFormat="1" ht="30" hidden="1" customHeight="1" x14ac:dyDescent="0.2">
      <c r="A209" s="2005"/>
      <c r="B209" s="2290"/>
      <c r="C209" s="150">
        <f>'Stock Rawmaterial'!C801</f>
        <v>0</v>
      </c>
      <c r="D209" s="881" t="s">
        <v>10</v>
      </c>
      <c r="E209" s="1159">
        <f>'Stock Rawmaterial'!E801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Rawmaterial'!K801</f>
        <v>0</v>
      </c>
      <c r="R209" s="498"/>
      <c r="T209" s="10"/>
      <c r="AR209" s="180"/>
    </row>
    <row r="210" spans="1:44" s="6" customFormat="1" ht="30" hidden="1" customHeight="1" x14ac:dyDescent="0.2">
      <c r="A210" s="2005"/>
      <c r="B210" s="2290"/>
      <c r="C210" s="150">
        <f>'Stock Rawmaterial'!C802</f>
        <v>0</v>
      </c>
      <c r="D210" s="881" t="s">
        <v>10</v>
      </c>
      <c r="E210" s="1159">
        <f>'Stock Rawmaterial'!E802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Rawmaterial'!K802</f>
        <v>0</v>
      </c>
      <c r="R210" s="498"/>
      <c r="T210" s="10"/>
      <c r="AR210" s="180"/>
    </row>
    <row r="211" spans="1:44" s="6" customFormat="1" ht="30" hidden="1" customHeight="1" x14ac:dyDescent="0.2">
      <c r="A211" s="2005"/>
      <c r="B211" s="2290"/>
      <c r="C211" s="150">
        <f>'Stock Rawmaterial'!C803</f>
        <v>0</v>
      </c>
      <c r="D211" s="881" t="s">
        <v>10</v>
      </c>
      <c r="E211" s="1159">
        <f>'Stock Rawmaterial'!E803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Rawmaterial'!K803</f>
        <v>0</v>
      </c>
      <c r="R211" s="498"/>
      <c r="T211" s="10"/>
      <c r="AR211" s="180"/>
    </row>
    <row r="212" spans="1:44" s="6" customFormat="1" ht="30" hidden="1" customHeight="1" x14ac:dyDescent="0.2">
      <c r="A212" s="2005"/>
      <c r="B212" s="2290"/>
      <c r="C212" s="635" t="str">
        <f>'Stock Rawmaterial'!C804</f>
        <v>Feedmill</v>
      </c>
      <c r="D212" s="1154" t="s">
        <v>10</v>
      </c>
      <c r="E212" s="1290">
        <f>'Stock Rawmaterial'!E804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Rawmaterial'!K804</f>
        <v>0</v>
      </c>
      <c r="R212" s="498"/>
      <c r="T212" s="10"/>
      <c r="AR212" s="180"/>
    </row>
    <row r="213" spans="1:44" s="420" customFormat="1" ht="29.25" hidden="1" customHeight="1" x14ac:dyDescent="0.2">
      <c r="A213" s="2006"/>
      <c r="B213" s="2007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3">
        <f>IF(M219=0,"",MAX($A$15:A213)+1)</f>
        <v>13</v>
      </c>
      <c r="B214" s="2156" t="s">
        <v>917</v>
      </c>
      <c r="C214" s="150">
        <f>'Stock Rawmaterial'!C806</f>
        <v>0</v>
      </c>
      <c r="D214" s="881" t="s">
        <v>10</v>
      </c>
      <c r="E214" s="1159">
        <f>'Stock Rawmaterial'!E806</f>
        <v>46192</v>
      </c>
      <c r="F214" s="1859">
        <f>'Stock Rawmaterial'!F806</f>
        <v>69</v>
      </c>
      <c r="G214" s="1954">
        <v>46724</v>
      </c>
      <c r="H214" s="1614">
        <f>'Stock Rawmaterial'!G806</f>
        <v>0</v>
      </c>
      <c r="I214" s="1614">
        <f>'Stock Rawmaterial'!H806</f>
        <v>0</v>
      </c>
      <c r="J214" s="1614">
        <f>'Stock Rawmaterial'!I806</f>
        <v>0</v>
      </c>
      <c r="K214" s="1614">
        <f>'Stock Rawmaterial'!J806</f>
        <v>0</v>
      </c>
      <c r="L214" s="1614">
        <f>'Stock Rawmaterial'!K806</f>
        <v>0</v>
      </c>
      <c r="M214" s="1614">
        <f>'Stock Rawmaterial'!L806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hidden="1" customHeight="1" x14ac:dyDescent="0.2">
      <c r="A215" s="2005"/>
      <c r="B215" s="2159"/>
      <c r="C215" s="150" t="str">
        <f>'Stock Rawmaterial'!C807</f>
        <v>E2</v>
      </c>
      <c r="D215" s="881" t="s">
        <v>10</v>
      </c>
      <c r="E215" s="1159">
        <f>'Stock Rawmaterial'!E807</f>
        <v>46247</v>
      </c>
      <c r="F215" s="1859">
        <f>'Stock Rawmaterial'!F807</f>
        <v>14</v>
      </c>
      <c r="G215" s="1954">
        <v>46727</v>
      </c>
      <c r="H215" s="1614">
        <f>'Stock Rawmaterial'!G807</f>
        <v>1020</v>
      </c>
      <c r="I215" s="1614">
        <f>'Stock Rawmaterial'!H807</f>
        <v>0</v>
      </c>
      <c r="J215" s="1614">
        <f>'Stock Rawmaterial'!I807</f>
        <v>0</v>
      </c>
      <c r="K215" s="1614">
        <f>'Stock Rawmaterial'!J807</f>
        <v>0</v>
      </c>
      <c r="L215" s="1614">
        <f>'Stock Rawmaterial'!K807</f>
        <v>80</v>
      </c>
      <c r="M215" s="1614">
        <f>'Stock Rawmaterial'!L807</f>
        <v>940</v>
      </c>
      <c r="N215" s="1614">
        <f>'Stock Rawmaterial'!M807</f>
        <v>0</v>
      </c>
      <c r="O215" s="1614">
        <f>'Stock Rawmaterial'!N807</f>
        <v>0</v>
      </c>
      <c r="P215" s="1614">
        <f>'Stock Rawmaterial'!O807</f>
        <v>0</v>
      </c>
      <c r="Q215" s="1614">
        <f>'Stock Rawmaterial'!P807</f>
        <v>0</v>
      </c>
      <c r="R215" s="775"/>
      <c r="T215" s="773"/>
      <c r="AR215" s="180"/>
    </row>
    <row r="216" spans="1:44" s="6" customFormat="1" ht="30" customHeight="1" x14ac:dyDescent="0.2">
      <c r="A216" s="2005"/>
      <c r="B216" s="2158"/>
      <c r="C216" s="150">
        <f>'Stock Rawmaterial'!C808</f>
        <v>0</v>
      </c>
      <c r="D216" s="881" t="s">
        <v>10</v>
      </c>
      <c r="E216" s="1159">
        <f>'Stock Rawmaterial'!E808</f>
        <v>46247</v>
      </c>
      <c r="F216" s="1859">
        <f>'Stock Rawmaterial'!F808</f>
        <v>14</v>
      </c>
      <c r="G216" s="1954">
        <v>46797</v>
      </c>
      <c r="H216" s="1614">
        <f>'Stock Rawmaterial'!G808</f>
        <v>0</v>
      </c>
      <c r="I216" s="1614">
        <f>'Stock Rawmaterial'!H808</f>
        <v>0</v>
      </c>
      <c r="J216" s="1614">
        <f>'Stock Rawmaterial'!I808</f>
        <v>0</v>
      </c>
      <c r="K216" s="1614">
        <f>'Stock Rawmaterial'!J808</f>
        <v>0</v>
      </c>
      <c r="L216" s="1614">
        <f>'Stock Rawmaterial'!K808</f>
        <v>0</v>
      </c>
      <c r="M216" s="1614">
        <f>'Stock Rawmaterial'!L808</f>
        <v>0</v>
      </c>
      <c r="N216" s="1614">
        <f>'Stock Rawmaterial'!M808</f>
        <v>0</v>
      </c>
      <c r="O216" s="1614">
        <f>'Stock Rawmaterial'!N808</f>
        <v>0</v>
      </c>
      <c r="P216" s="1614">
        <f>'Stock Rawmaterial'!O808</f>
        <v>0</v>
      </c>
      <c r="Q216" s="1614">
        <f>'Stock Rawmaterial'!P808</f>
        <v>0</v>
      </c>
      <c r="R216" s="498"/>
      <c r="T216" s="10"/>
      <c r="AR216" s="180"/>
    </row>
    <row r="217" spans="1:44" s="6" customFormat="1" ht="30" hidden="1" customHeight="1" x14ac:dyDescent="0.2">
      <c r="A217" s="2005"/>
      <c r="B217" s="2159"/>
      <c r="C217" s="150">
        <f>'Stock Rawmaterial'!C809</f>
        <v>0</v>
      </c>
      <c r="D217" s="881" t="s">
        <v>10</v>
      </c>
      <c r="E217" s="1159">
        <f>'Stock Rawmaterial'!E809</f>
        <v>46213</v>
      </c>
      <c r="F217" s="1859">
        <f>'Stock Rawmaterial'!F809</f>
        <v>48</v>
      </c>
      <c r="G217" s="1954">
        <v>46796</v>
      </c>
      <c r="H217" s="1614">
        <f>'Stock Rawmaterial'!G809</f>
        <v>0</v>
      </c>
      <c r="I217" s="1614">
        <f>'Stock Rawmaterial'!H809</f>
        <v>0</v>
      </c>
      <c r="J217" s="1614">
        <f>'Stock Rawmaterial'!I809</f>
        <v>0</v>
      </c>
      <c r="K217" s="1614">
        <f>'Stock Rawmaterial'!J809</f>
        <v>0</v>
      </c>
      <c r="L217" s="1614">
        <f>'Stock Rawmaterial'!K809</f>
        <v>0</v>
      </c>
      <c r="M217" s="1614">
        <f>'Stock Rawmaterial'!L809</f>
        <v>0</v>
      </c>
      <c r="N217" s="1614">
        <f>'Stock Rawmaterial'!M809</f>
        <v>0</v>
      </c>
      <c r="O217" s="1614">
        <f>'Stock Rawmaterial'!N809</f>
        <v>0</v>
      </c>
      <c r="P217" s="1614">
        <f>'Stock Rawmaterial'!O809</f>
        <v>0</v>
      </c>
      <c r="Q217" s="1614">
        <f>'Stock Rawmaterial'!P809</f>
        <v>0</v>
      </c>
      <c r="R217" s="841"/>
      <c r="T217" s="773"/>
      <c r="AR217" s="180"/>
    </row>
    <row r="218" spans="1:44" s="6" customFormat="1" ht="30" customHeight="1" x14ac:dyDescent="0.2">
      <c r="A218" s="2005"/>
      <c r="B218" s="2158"/>
      <c r="C218" s="150" t="str">
        <f>'Stock Rawmaterial'!C810</f>
        <v>Feedmill</v>
      </c>
      <c r="D218" s="881" t="s">
        <v>10</v>
      </c>
      <c r="E218" s="1159">
        <f>'Stock Rawmaterial'!E810</f>
        <v>46247</v>
      </c>
      <c r="F218" s="1859">
        <f>'Stock Rawmaterial'!F810</f>
        <v>14</v>
      </c>
      <c r="G218" s="1954">
        <v>46797</v>
      </c>
      <c r="H218" s="1614">
        <f>'Stock Rawmaterial'!G810</f>
        <v>82.199999999999989</v>
      </c>
      <c r="I218" s="1614">
        <f>'Stock Rawmaterial'!H810</f>
        <v>0</v>
      </c>
      <c r="J218" s="1614">
        <f>'Stock Rawmaterial'!I810</f>
        <v>80</v>
      </c>
      <c r="K218" s="1614">
        <f>'Stock Rawmaterial'!J810</f>
        <v>58.8</v>
      </c>
      <c r="L218" s="1614">
        <f>'Stock Rawmaterial'!K810</f>
        <v>0</v>
      </c>
      <c r="M218" s="1614">
        <f>'Stock Rawmaterial'!L810</f>
        <v>103.39999999999999</v>
      </c>
      <c r="N218" s="1614">
        <f>'Stock Rawmaterial'!M810</f>
        <v>0</v>
      </c>
      <c r="O218" s="1614">
        <f>'Stock Rawmaterial'!N810</f>
        <v>0</v>
      </c>
      <c r="P218" s="1614">
        <f>'Stock Rawmaterial'!O810</f>
        <v>0</v>
      </c>
      <c r="Q218" s="1614">
        <f>'Stock Rawmaterial'!P810</f>
        <v>0</v>
      </c>
      <c r="R218" s="498"/>
      <c r="T218" s="10"/>
      <c r="AR218" s="180"/>
    </row>
    <row r="219" spans="1:44" s="420" customFormat="1" ht="30" customHeight="1" x14ac:dyDescent="0.2">
      <c r="A219" s="2006"/>
      <c r="B219" s="2007"/>
      <c r="C219" s="125"/>
      <c r="D219" s="1027"/>
      <c r="E219" s="1027"/>
      <c r="F219" s="896"/>
      <c r="G219" s="896"/>
      <c r="H219" s="1632">
        <f>SUM(H214:H218)</f>
        <v>1102.2</v>
      </c>
      <c r="I219" s="1632"/>
      <c r="J219" s="1632"/>
      <c r="K219" s="234">
        <f t="shared" ref="K219:M219" si="35">+SUM(K214:K218)</f>
        <v>58.8</v>
      </c>
      <c r="L219" s="234">
        <f t="shared" si="35"/>
        <v>80</v>
      </c>
      <c r="M219" s="234">
        <f t="shared" si="35"/>
        <v>1043.4000000000001</v>
      </c>
      <c r="N219" s="1648">
        <f>'Stock Rawmaterial'!M811</f>
        <v>64.666666666666671</v>
      </c>
      <c r="O219" s="1648">
        <f>'Stock Rawmaterial'!N811</f>
        <v>16.135051546391754</v>
      </c>
      <c r="P219" s="1648">
        <f>'Stock Rawmaterial'!O811</f>
        <v>84.833333333333329</v>
      </c>
      <c r="Q219" s="1648">
        <f>'Stock Rawmaterial'!P811</f>
        <v>12.299410609037329</v>
      </c>
      <c r="R219" s="499"/>
      <c r="T219" s="500"/>
      <c r="AR219" s="181"/>
    </row>
    <row r="220" spans="1:44" s="6" customFormat="1" ht="30" hidden="1" customHeight="1" x14ac:dyDescent="0.2">
      <c r="A220" s="2013" t="str">
        <f>IF(M225=0,"",MAX($A$15:A219)+1)</f>
        <v/>
      </c>
      <c r="B220" s="2156" t="s">
        <v>915</v>
      </c>
      <c r="C220" s="150" t="str">
        <f>'Stock Rawmaterial'!C786</f>
        <v>E3</v>
      </c>
      <c r="D220" s="881" t="s">
        <v>10</v>
      </c>
      <c r="E220" s="1159">
        <f>'Stock Rawmaterial'!E786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Rawmaterial'!K786</f>
        <v>0</v>
      </c>
      <c r="R220" s="498"/>
      <c r="T220" s="10"/>
      <c r="AR220" s="180"/>
    </row>
    <row r="221" spans="1:44" s="6" customFormat="1" ht="30" hidden="1" customHeight="1" x14ac:dyDescent="0.2">
      <c r="A221" s="2005"/>
      <c r="B221" s="2158"/>
      <c r="C221" s="150">
        <f>'Stock Rawmaterial'!C787</f>
        <v>0</v>
      </c>
      <c r="D221" s="881" t="s">
        <v>10</v>
      </c>
      <c r="E221" s="1159">
        <f>'Stock Rawmaterial'!E787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Rawmaterial'!K787</f>
        <v>0</v>
      </c>
      <c r="R221" s="498"/>
      <c r="T221" s="10"/>
      <c r="AR221" s="180"/>
    </row>
    <row r="222" spans="1:44" s="6" customFormat="1" ht="30" hidden="1" customHeight="1" x14ac:dyDescent="0.2">
      <c r="A222" s="2005"/>
      <c r="B222" s="2157"/>
      <c r="C222" s="150">
        <f>'Stock Rawmaterial'!C788</f>
        <v>0</v>
      </c>
      <c r="D222" s="881" t="s">
        <v>10</v>
      </c>
      <c r="E222" s="1159">
        <f>'Stock Rawmaterial'!E788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Rawmaterial'!K788</f>
        <v>0</v>
      </c>
      <c r="R222" s="772"/>
      <c r="T222" s="773"/>
      <c r="AR222" s="180"/>
    </row>
    <row r="223" spans="1:44" s="6" customFormat="1" ht="30" hidden="1" customHeight="1" x14ac:dyDescent="0.2">
      <c r="A223" s="2005"/>
      <c r="B223" s="2159"/>
      <c r="C223" s="150">
        <f>'Stock Rawmaterial'!C789</f>
        <v>0</v>
      </c>
      <c r="D223" s="881" t="s">
        <v>10</v>
      </c>
      <c r="E223" s="1159">
        <f>'Stock Rawmaterial'!E789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Rawmaterial'!K789</f>
        <v>0</v>
      </c>
      <c r="R223" s="772"/>
      <c r="T223" s="773"/>
      <c r="AR223" s="180"/>
    </row>
    <row r="224" spans="1:44" s="6" customFormat="1" ht="30" hidden="1" customHeight="1" x14ac:dyDescent="0.2">
      <c r="A224" s="2005"/>
      <c r="B224" s="2158"/>
      <c r="C224" s="635" t="str">
        <f>'Stock Rawmaterial'!C790</f>
        <v>Feedmill</v>
      </c>
      <c r="D224" s="1154" t="s">
        <v>10</v>
      </c>
      <c r="E224" s="1290">
        <f>'Stock Rawmaterial'!E790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Rawmaterial'!K790</f>
        <v>0</v>
      </c>
      <c r="R224" s="498"/>
      <c r="T224" s="10"/>
      <c r="AR224" s="180"/>
    </row>
    <row r="225" spans="1:44" s="420" customFormat="1" ht="30" hidden="1" customHeight="1" x14ac:dyDescent="0.2">
      <c r="A225" s="2006" t="s">
        <v>1373</v>
      </c>
      <c r="B225" s="2007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3">
        <f>IF(M231=0,"",MAX($A$15:A225)+1)</f>
        <v>14</v>
      </c>
      <c r="B226" s="2156" t="s">
        <v>1323</v>
      </c>
      <c r="C226" s="114">
        <f>'Stock Rawmaterial'!C812</f>
        <v>0</v>
      </c>
      <c r="D226" s="866" t="str">
        <f>'Stock Rawmaterial'!D812</f>
        <v>Rec.</v>
      </c>
      <c r="E226" s="935">
        <f>'Stock Rawmaterial'!E812</f>
        <v>45638</v>
      </c>
      <c r="F226" s="75">
        <f>'Stock Rawmaterial'!F812</f>
        <v>623</v>
      </c>
      <c r="G226" s="1686">
        <v>46082</v>
      </c>
      <c r="H226" s="77">
        <f>'Stock Rawmaterial'!G812</f>
        <v>0</v>
      </c>
      <c r="I226" s="77">
        <f>'Stock Rawmaterial'!H812</f>
        <v>0</v>
      </c>
      <c r="J226" s="77">
        <f>'Stock Rawmaterial'!I812</f>
        <v>0</v>
      </c>
      <c r="K226" s="1617">
        <f>'Stock Rawmaterial'!J812</f>
        <v>0</v>
      </c>
      <c r="L226" s="80">
        <f>'Stock Rawmaterial'!K812</f>
        <v>0</v>
      </c>
      <c r="M226" s="1672">
        <f>'Stock Rawmaterial'!L812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05"/>
      <c r="B227" s="2158"/>
      <c r="C227" s="114">
        <f>'Stock Rawmaterial'!C813</f>
        <v>0</v>
      </c>
      <c r="D227" s="866" t="str">
        <f>'Stock Rawmaterial'!D813</f>
        <v>Rec.</v>
      </c>
      <c r="E227" s="935">
        <f>'Stock Rawmaterial'!E813</f>
        <v>46132</v>
      </c>
      <c r="F227" s="75">
        <f>'Stock Rawmaterial'!F813</f>
        <v>129</v>
      </c>
      <c r="G227" s="1954">
        <v>46712</v>
      </c>
      <c r="H227" s="77">
        <f>'Stock Rawmaterial'!G813</f>
        <v>0</v>
      </c>
      <c r="I227" s="77">
        <f>'Stock Rawmaterial'!H813</f>
        <v>0</v>
      </c>
      <c r="J227" s="77">
        <f>'Stock Rawmaterial'!I813</f>
        <v>0</v>
      </c>
      <c r="K227" s="1617">
        <f>'Stock Rawmaterial'!J813</f>
        <v>0</v>
      </c>
      <c r="L227" s="80">
        <f>'Stock Rawmaterial'!K813</f>
        <v>0</v>
      </c>
      <c r="M227" s="1672">
        <f>'Stock Rawmaterial'!L813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05"/>
      <c r="B228" s="2157"/>
      <c r="C228" s="114" t="str">
        <f>'Stock Rawmaterial'!C814</f>
        <v>E3</v>
      </c>
      <c r="D228" s="866" t="str">
        <f>'Stock Rawmaterial'!D814</f>
        <v>Rec.</v>
      </c>
      <c r="E228" s="935">
        <f>'Stock Rawmaterial'!E814</f>
        <v>46245</v>
      </c>
      <c r="F228" s="75">
        <f>'Stock Rawmaterial'!F814</f>
        <v>16</v>
      </c>
      <c r="G228" s="1954">
        <v>46732</v>
      </c>
      <c r="H228" s="77">
        <f>'Stock Rawmaterial'!G814</f>
        <v>375</v>
      </c>
      <c r="I228" s="77">
        <f>'Stock Rawmaterial'!H814</f>
        <v>0</v>
      </c>
      <c r="J228" s="77">
        <f>'Stock Rawmaterial'!I814</f>
        <v>0</v>
      </c>
      <c r="K228" s="1617">
        <f>'Stock Rawmaterial'!J814</f>
        <v>0</v>
      </c>
      <c r="L228" s="80">
        <f>'Stock Rawmaterial'!K814</f>
        <v>25</v>
      </c>
      <c r="M228" s="1672">
        <f>'Stock Rawmaterial'!L814</f>
        <v>350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hidden="1" customHeight="1" x14ac:dyDescent="0.2">
      <c r="A229" s="2005"/>
      <c r="B229" s="2159"/>
      <c r="C229" s="114">
        <f>'Stock Rawmaterial'!C815</f>
        <v>0</v>
      </c>
      <c r="D229" s="866" t="str">
        <f>'Stock Rawmaterial'!D815</f>
        <v>Rec.</v>
      </c>
      <c r="E229" s="935">
        <f>'Stock Rawmaterial'!E815</f>
        <v>46244</v>
      </c>
      <c r="F229" s="75">
        <f>'Stock Rawmaterial'!F815</f>
        <v>17</v>
      </c>
      <c r="G229" s="1954">
        <v>46660</v>
      </c>
      <c r="H229" s="77">
        <f>'Stock Rawmaterial'!G815</f>
        <v>0</v>
      </c>
      <c r="I229" s="77">
        <f>'Stock Rawmaterial'!H815</f>
        <v>0</v>
      </c>
      <c r="J229" s="77">
        <f>'Stock Rawmaterial'!I815</f>
        <v>0</v>
      </c>
      <c r="K229" s="1617">
        <f>'Stock Rawmaterial'!J815</f>
        <v>0</v>
      </c>
      <c r="L229" s="80">
        <f>'Stock Rawmaterial'!K815</f>
        <v>0</v>
      </c>
      <c r="M229" s="1672">
        <f>'Stock Rawmaterial'!L815</f>
        <v>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05"/>
      <c r="B230" s="2158"/>
      <c r="C230" s="1701" t="str">
        <f>'Stock Rawmaterial'!C816</f>
        <v>Feedmill</v>
      </c>
      <c r="D230" s="1154" t="str">
        <f>'Stock Rawmaterial'!D816</f>
        <v>Rec.</v>
      </c>
      <c r="E230" s="1692">
        <f>'Stock Rawmaterial'!E816</f>
        <v>46245</v>
      </c>
      <c r="F230" s="566">
        <f>'Stock Rawmaterial'!F816</f>
        <v>16</v>
      </c>
      <c r="G230" s="1955">
        <v>46712</v>
      </c>
      <c r="H230" s="1697">
        <f>'Stock Rawmaterial'!G816</f>
        <v>9.7699626167013776E-15</v>
      </c>
      <c r="I230" s="1697">
        <f>'Stock Rawmaterial'!H816</f>
        <v>0</v>
      </c>
      <c r="J230" s="1697">
        <f>'Stock Rawmaterial'!I816</f>
        <v>25</v>
      </c>
      <c r="K230" s="1700">
        <f>'Stock Rawmaterial'!J816</f>
        <v>9.1</v>
      </c>
      <c r="L230" s="567">
        <f>'Stock Rawmaterial'!K816</f>
        <v>0</v>
      </c>
      <c r="M230" s="1695">
        <f>'Stock Rawmaterial'!L816</f>
        <v>15.900000000000011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2006" t="s">
        <v>1342</v>
      </c>
      <c r="B231" s="2007"/>
      <c r="C231" s="125"/>
      <c r="D231" s="1027"/>
      <c r="E231" s="1027"/>
      <c r="F231" s="896"/>
      <c r="G231" s="896"/>
      <c r="H231" s="234">
        <f t="shared" ref="H231:L231" si="37">+SUM(H226:H230)</f>
        <v>375</v>
      </c>
      <c r="I231" s="234">
        <f t="shared" si="37"/>
        <v>0</v>
      </c>
      <c r="J231" s="234">
        <f t="shared" si="37"/>
        <v>25</v>
      </c>
      <c r="K231" s="234">
        <f t="shared" si="37"/>
        <v>9.1</v>
      </c>
      <c r="L231" s="234">
        <f t="shared" si="37"/>
        <v>25</v>
      </c>
      <c r="M231" s="234">
        <f t="shared" ref="M231" si="38">+SUM(M226:M230)</f>
        <v>365.90000000000003</v>
      </c>
      <c r="N231" s="1648">
        <f>'Stock Rawmaterial'!M817</f>
        <v>6.8250000000000002</v>
      </c>
      <c r="O231" s="1648">
        <f>'Stock Rawmaterial'!N817</f>
        <v>53.611721611721613</v>
      </c>
      <c r="P231" s="1648">
        <f>'Stock Rawmaterial'!O817</f>
        <v>43.500000000000007</v>
      </c>
      <c r="Q231" s="1648">
        <f>'Stock Rawmaterial'!P817</f>
        <v>8.4114942528735632</v>
      </c>
      <c r="R231" s="499"/>
      <c r="T231" s="500"/>
      <c r="AR231" s="181"/>
    </row>
    <row r="232" spans="1:44" s="6" customFormat="1" ht="30" hidden="1" customHeight="1" x14ac:dyDescent="0.2">
      <c r="A232" s="2013">
        <f>IF(M237=0,"",MAX($A$15:A231)+1)</f>
        <v>15</v>
      </c>
      <c r="B232" s="2156" t="s">
        <v>298</v>
      </c>
      <c r="C232" s="114">
        <f>'Stock Rawmaterial'!C1269</f>
        <v>0</v>
      </c>
      <c r="D232" s="866" t="str">
        <f>'Stock Rawmaterial'!D812</f>
        <v>Rec.</v>
      </c>
      <c r="E232" s="935">
        <f>'Stock Rawmaterial'!E1269</f>
        <v>46052</v>
      </c>
      <c r="F232" s="75">
        <f>'Stock Rawmaterial'!F1269</f>
        <v>209</v>
      </c>
      <c r="G232" s="1686">
        <v>46373</v>
      </c>
      <c r="H232" s="77">
        <f>'Stock Rawmaterial'!G1269</f>
        <v>0</v>
      </c>
      <c r="I232" s="77">
        <f>'Stock Rawmaterial'!H1269</f>
        <v>0</v>
      </c>
      <c r="J232" s="77">
        <f>'Stock Rawmaterial'!I1269</f>
        <v>0</v>
      </c>
      <c r="K232" s="77">
        <f>'Stock Rawmaterial'!J1269</f>
        <v>0</v>
      </c>
      <c r="L232" s="77">
        <f>'Stock Rawmaterial'!K1269</f>
        <v>0</v>
      </c>
      <c r="M232" s="77">
        <f>'Stock Rawmaterial'!L1269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05"/>
      <c r="B233" s="2158"/>
      <c r="C233" s="114">
        <f>'Stock Rawmaterial'!C1270</f>
        <v>0</v>
      </c>
      <c r="D233" s="866" t="str">
        <f>'Stock Rawmaterial'!D813</f>
        <v>Rec.</v>
      </c>
      <c r="E233" s="935">
        <f>'Stock Rawmaterial'!E1270</f>
        <v>46141</v>
      </c>
      <c r="F233" s="75">
        <f>'Stock Rawmaterial'!F1270</f>
        <v>120</v>
      </c>
      <c r="G233" s="1954">
        <v>46373</v>
      </c>
      <c r="H233" s="77">
        <f>'Stock Rawmaterial'!G1270</f>
        <v>0</v>
      </c>
      <c r="I233" s="77">
        <f>'Stock Rawmaterial'!H1270</f>
        <v>0</v>
      </c>
      <c r="J233" s="77">
        <f>'Stock Rawmaterial'!I1270</f>
        <v>0</v>
      </c>
      <c r="K233" s="77">
        <f>'Stock Rawmaterial'!J1270</f>
        <v>0</v>
      </c>
      <c r="L233" s="77">
        <f>'Stock Rawmaterial'!K1270</f>
        <v>0</v>
      </c>
      <c r="M233" s="77">
        <f>'Stock Rawmaterial'!L1270</f>
        <v>0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05"/>
      <c r="B234" s="2157"/>
      <c r="C234" s="114">
        <f>'Stock Rawmaterial'!C1271</f>
        <v>0</v>
      </c>
      <c r="D234" s="866" t="str">
        <f>'Stock Rawmaterial'!D814</f>
        <v>Rec.</v>
      </c>
      <c r="E234" s="935">
        <f>'Stock Rawmaterial'!E1271</f>
        <v>46225</v>
      </c>
      <c r="F234" s="75">
        <f>'Stock Rawmaterial'!F1271</f>
        <v>36</v>
      </c>
      <c r="G234" s="1954">
        <v>46373</v>
      </c>
      <c r="H234" s="77">
        <f>'Stock Rawmaterial'!G1271</f>
        <v>0</v>
      </c>
      <c r="I234" s="77">
        <f>'Stock Rawmaterial'!H1271</f>
        <v>0</v>
      </c>
      <c r="J234" s="77">
        <f>'Stock Rawmaterial'!I1271</f>
        <v>0</v>
      </c>
      <c r="K234" s="77">
        <f>'Stock Rawmaterial'!J1271</f>
        <v>0</v>
      </c>
      <c r="L234" s="77">
        <f>'Stock Rawmaterial'!K1271</f>
        <v>0</v>
      </c>
      <c r="M234" s="77">
        <f>'Stock Rawmaterial'!L1271</f>
        <v>0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05"/>
      <c r="B235" s="2159"/>
      <c r="C235" s="114" t="str">
        <f>'Stock Rawmaterial'!C1272</f>
        <v>E3</v>
      </c>
      <c r="D235" s="866" t="str">
        <f>'Stock Rawmaterial'!D815</f>
        <v>Rec.</v>
      </c>
      <c r="E235" s="935">
        <f>'Stock Rawmaterial'!E1272</f>
        <v>46247</v>
      </c>
      <c r="F235" s="75">
        <f>'Stock Rawmaterial'!F1272</f>
        <v>14</v>
      </c>
      <c r="G235" s="1954">
        <v>46373</v>
      </c>
      <c r="H235" s="77">
        <f>'Stock Rawmaterial'!G1272</f>
        <v>100</v>
      </c>
      <c r="I235" s="77">
        <f>'Stock Rawmaterial'!H1272</f>
        <v>0</v>
      </c>
      <c r="J235" s="77">
        <f>'Stock Rawmaterial'!I1272</f>
        <v>0</v>
      </c>
      <c r="K235" s="77">
        <f>'Stock Rawmaterial'!J1272</f>
        <v>0</v>
      </c>
      <c r="L235" s="77">
        <f>'Stock Rawmaterial'!K1272</f>
        <v>0</v>
      </c>
      <c r="M235" s="77">
        <f>'Stock Rawmaterial'!L1272</f>
        <v>100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05"/>
      <c r="B236" s="2158"/>
      <c r="C236" s="1701" t="str">
        <f>'Stock Rawmaterial'!C816</f>
        <v>Feedmill</v>
      </c>
      <c r="D236" s="1154" t="str">
        <f>'Stock Rawmaterial'!D816</f>
        <v>Rec.</v>
      </c>
      <c r="E236" s="1692">
        <f>'Stock Rawmaterial'!E1273</f>
        <v>46225</v>
      </c>
      <c r="F236" s="75">
        <f>'Stock Rawmaterial'!F1273</f>
        <v>36</v>
      </c>
      <c r="G236" s="1955">
        <v>46373</v>
      </c>
      <c r="H236" s="77">
        <f>'Stock Rawmaterial'!G1273</f>
        <v>10.85</v>
      </c>
      <c r="I236" s="77">
        <f>'Stock Rawmaterial'!H1273</f>
        <v>0</v>
      </c>
      <c r="J236" s="77">
        <f>'Stock Rawmaterial'!I1273</f>
        <v>0</v>
      </c>
      <c r="K236" s="77">
        <f>'Stock Rawmaterial'!J1273</f>
        <v>0</v>
      </c>
      <c r="L236" s="77">
        <f>'Stock Rawmaterial'!K1273</f>
        <v>0</v>
      </c>
      <c r="M236" s="77">
        <f>'Stock Rawmaterial'!L1273</f>
        <v>10.85</v>
      </c>
      <c r="N236" s="1650"/>
      <c r="O236" s="1650"/>
      <c r="P236" s="1650"/>
      <c r="Q236" s="1650">
        <f>'Stock Rawmaterial'!K816</f>
        <v>0</v>
      </c>
      <c r="R236" s="498"/>
      <c r="T236" s="10"/>
      <c r="AR236" s="180"/>
    </row>
    <row r="237" spans="1:44" s="420" customFormat="1" ht="30" customHeight="1" x14ac:dyDescent="0.2">
      <c r="A237" s="2006" t="s">
        <v>299</v>
      </c>
      <c r="B237" s="2007"/>
      <c r="C237" s="90"/>
      <c r="D237" s="93"/>
      <c r="E237" s="93"/>
      <c r="F237" s="94"/>
      <c r="G237" s="94"/>
      <c r="H237" s="234">
        <f t="shared" ref="H237:M237" si="39">+SUM(H232:H236)</f>
        <v>110.85</v>
      </c>
      <c r="I237" s="234">
        <f t="shared" si="39"/>
        <v>0</v>
      </c>
      <c r="J237" s="234">
        <f t="shared" si="39"/>
        <v>0</v>
      </c>
      <c r="K237" s="234">
        <f t="shared" si="39"/>
        <v>0</v>
      </c>
      <c r="L237" s="234">
        <f t="shared" si="39"/>
        <v>0</v>
      </c>
      <c r="M237" s="234">
        <f t="shared" si="39"/>
        <v>110.85</v>
      </c>
      <c r="N237" s="1648">
        <f>'Stock Rawmaterial'!M1274</f>
        <v>3.78</v>
      </c>
      <c r="O237" s="1648">
        <f>'Stock Rawmaterial'!N1274</f>
        <v>29.325396825396826</v>
      </c>
      <c r="P237" s="1648">
        <f>'Stock Rawmaterial'!O1274</f>
        <v>4.166666666666667</v>
      </c>
      <c r="Q237" s="1648">
        <f>'Stock Rawmaterial'!P1274</f>
        <v>26.603999999999996</v>
      </c>
      <c r="R237" s="234" t="str">
        <f>'Stock Rawmaterial'!Q817</f>
        <v>SACOX 120 (Bulgaria)</v>
      </c>
      <c r="S237" s="234" t="str">
        <f>'Stock Rawmaterial'!R817</f>
        <v>0</v>
      </c>
      <c r="T237" s="234">
        <f>'Stock Rawmaterial'!S817</f>
        <v>40.950000000000003</v>
      </c>
      <c r="AR237" s="181"/>
    </row>
    <row r="238" spans="1:44" s="6" customFormat="1" ht="30" hidden="1" customHeight="1" x14ac:dyDescent="0.2">
      <c r="A238" s="2013">
        <f>IF(M243=0,"",MAX($A$15:A237)+1)</f>
        <v>16</v>
      </c>
      <c r="B238" s="2156" t="s">
        <v>1370</v>
      </c>
      <c r="C238" s="114">
        <f>'Stock Rawmaterial'!C818</f>
        <v>0</v>
      </c>
      <c r="D238" s="866" t="str">
        <f>'Stock Rawmaterial'!D818</f>
        <v>Rec.</v>
      </c>
      <c r="E238" s="935">
        <f>'Stock Rawmaterial'!E818</f>
        <v>45791</v>
      </c>
      <c r="F238" s="75">
        <f>'Stock Rawmaterial'!F818</f>
        <v>470</v>
      </c>
      <c r="G238" s="1686">
        <v>46363</v>
      </c>
      <c r="H238" s="77">
        <f>'Stock Rawmaterial'!G818</f>
        <v>0</v>
      </c>
      <c r="I238" s="77">
        <f>'Stock Rawmaterial'!H818</f>
        <v>0</v>
      </c>
      <c r="J238" s="77">
        <f>'Stock Rawmaterial'!I818</f>
        <v>0</v>
      </c>
      <c r="K238" s="1617">
        <f>'Stock Rawmaterial'!J818</f>
        <v>0</v>
      </c>
      <c r="L238" s="80">
        <f>'Stock Rawmaterial'!K818</f>
        <v>0</v>
      </c>
      <c r="M238" s="1672">
        <f>'Stock Rawmaterial'!L818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05"/>
      <c r="B239" s="2158"/>
      <c r="C239" s="114">
        <f>'Stock Rawmaterial'!C819</f>
        <v>0</v>
      </c>
      <c r="D239" s="866" t="str">
        <f>'Stock Rawmaterial'!D819</f>
        <v>Rec.</v>
      </c>
      <c r="E239" s="935">
        <f>'Stock Rawmaterial'!E819</f>
        <v>45918</v>
      </c>
      <c r="F239" s="75">
        <f>'Stock Rawmaterial'!F819</f>
        <v>343</v>
      </c>
      <c r="G239" s="1686">
        <v>46643</v>
      </c>
      <c r="H239" s="77">
        <f>'Stock Rawmaterial'!G819</f>
        <v>0</v>
      </c>
      <c r="I239" s="77">
        <f>'Stock Rawmaterial'!H819</f>
        <v>0</v>
      </c>
      <c r="J239" s="77">
        <f>'Stock Rawmaterial'!I819</f>
        <v>0</v>
      </c>
      <c r="K239" s="1617">
        <f>'Stock Rawmaterial'!J819</f>
        <v>0</v>
      </c>
      <c r="L239" s="80">
        <f>'Stock Rawmaterial'!K819</f>
        <v>0</v>
      </c>
      <c r="M239" s="1672">
        <f>'Stock Rawmaterial'!L819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05"/>
      <c r="B240" s="2157"/>
      <c r="C240" s="114" t="str">
        <f>'Stock Rawmaterial'!C820</f>
        <v>E3</v>
      </c>
      <c r="D240" s="866" t="str">
        <f>'Stock Rawmaterial'!D820</f>
        <v>Rec.</v>
      </c>
      <c r="E240" s="935">
        <f>'Stock Rawmaterial'!E820</f>
        <v>46098</v>
      </c>
      <c r="F240" s="75">
        <f>'Stock Rawmaterial'!F820</f>
        <v>163</v>
      </c>
      <c r="G240" s="1954">
        <v>46695</v>
      </c>
      <c r="H240" s="77">
        <f>'Stock Rawmaterial'!G820</f>
        <v>140</v>
      </c>
      <c r="I240" s="77">
        <f>'Stock Rawmaterial'!H820</f>
        <v>0</v>
      </c>
      <c r="J240" s="77">
        <f>'Stock Rawmaterial'!I820</f>
        <v>0</v>
      </c>
      <c r="K240" s="1617">
        <f>'Stock Rawmaterial'!J820</f>
        <v>0</v>
      </c>
      <c r="L240" s="80">
        <f>'Stock Rawmaterial'!K820</f>
        <v>20</v>
      </c>
      <c r="M240" s="1672">
        <f>'Stock Rawmaterial'!L820</f>
        <v>120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05"/>
      <c r="B241" s="2159"/>
      <c r="C241" s="114">
        <f>'Stock Rawmaterial'!C821</f>
        <v>0</v>
      </c>
      <c r="D241" s="866" t="str">
        <f>'Stock Rawmaterial'!D821</f>
        <v>Rec.</v>
      </c>
      <c r="E241" s="935">
        <f>'Stock Rawmaterial'!E821</f>
        <v>46098</v>
      </c>
      <c r="F241" s="75">
        <f>'Stock Rawmaterial'!F821</f>
        <v>163</v>
      </c>
      <c r="G241" s="1956">
        <v>46650</v>
      </c>
      <c r="H241" s="77">
        <f>'Stock Rawmaterial'!G821</f>
        <v>0</v>
      </c>
      <c r="I241" s="77">
        <f>'Stock Rawmaterial'!H821</f>
        <v>0</v>
      </c>
      <c r="J241" s="77">
        <f>'Stock Rawmaterial'!I821</f>
        <v>0</v>
      </c>
      <c r="K241" s="1617">
        <f>'Stock Rawmaterial'!J821</f>
        <v>0</v>
      </c>
      <c r="L241" s="80">
        <f>'Stock Rawmaterial'!K821</f>
        <v>0</v>
      </c>
      <c r="M241" s="1672">
        <f>'Stock Rawmaterial'!L821</f>
        <v>0</v>
      </c>
      <c r="N241" s="1649"/>
      <c r="O241" s="1649"/>
      <c r="P241" s="1649"/>
      <c r="Q241" s="1649">
        <f>'Stock Rawmaterial'!K821</f>
        <v>0</v>
      </c>
      <c r="R241" s="772"/>
      <c r="T241" s="773"/>
      <c r="AR241" s="180"/>
    </row>
    <row r="242" spans="1:44" s="6" customFormat="1" ht="30" customHeight="1" x14ac:dyDescent="0.2">
      <c r="A242" s="2005"/>
      <c r="B242" s="2158"/>
      <c r="C242" s="1701" t="str">
        <f>'Stock Rawmaterial'!C822</f>
        <v>Feedmill</v>
      </c>
      <c r="D242" s="1154" t="str">
        <f>'Stock Rawmaterial'!D822</f>
        <v>Rec.</v>
      </c>
      <c r="E242" s="1692">
        <f>'Stock Rawmaterial'!E822</f>
        <v>46098</v>
      </c>
      <c r="F242" s="566">
        <f>'Stock Rawmaterial'!F822</f>
        <v>163</v>
      </c>
      <c r="G242" s="1955">
        <v>46695</v>
      </c>
      <c r="H242" s="1697">
        <f>'Stock Rawmaterial'!G822</f>
        <v>2.95</v>
      </c>
      <c r="I242" s="1697">
        <f>'Stock Rawmaterial'!H822</f>
        <v>0</v>
      </c>
      <c r="J242" s="1697">
        <f>'Stock Rawmaterial'!I822</f>
        <v>20</v>
      </c>
      <c r="K242" s="1700">
        <f>'Stock Rawmaterial'!J822</f>
        <v>4.2</v>
      </c>
      <c r="L242" s="567">
        <f>'Stock Rawmaterial'!K822</f>
        <v>0</v>
      </c>
      <c r="M242" s="1695">
        <f>'Stock Rawmaterial'!L822</f>
        <v>18.75</v>
      </c>
      <c r="N242" s="1650"/>
      <c r="O242" s="1650"/>
      <c r="P242" s="1650"/>
      <c r="Q242" s="1650">
        <f>'Stock Rawmaterial'!K822</f>
        <v>0</v>
      </c>
      <c r="R242" s="498"/>
      <c r="T242" s="10"/>
      <c r="AR242" s="180"/>
    </row>
    <row r="243" spans="1:44" s="420" customFormat="1" ht="30" customHeight="1" x14ac:dyDescent="0.2">
      <c r="A243" s="2274" t="s">
        <v>1371</v>
      </c>
      <c r="B243" s="2275"/>
      <c r="C243" s="1933"/>
      <c r="D243" s="93"/>
      <c r="E243" s="93"/>
      <c r="F243" s="94"/>
      <c r="G243" s="94"/>
      <c r="H243" s="234">
        <f t="shared" ref="H243:L243" si="40">+SUM(H238:H242)</f>
        <v>142.94999999999999</v>
      </c>
      <c r="I243" s="234">
        <f t="shared" si="40"/>
        <v>0</v>
      </c>
      <c r="J243" s="234">
        <f t="shared" si="40"/>
        <v>20</v>
      </c>
      <c r="K243" s="234">
        <f t="shared" si="40"/>
        <v>4.2</v>
      </c>
      <c r="L243" s="234">
        <f t="shared" si="40"/>
        <v>20</v>
      </c>
      <c r="M243" s="234">
        <f t="shared" ref="M243" si="41">+SUM(M238:M242)</f>
        <v>138.75</v>
      </c>
      <c r="N243" s="1648">
        <f>'Stock Rawmaterial'!M823</f>
        <v>0</v>
      </c>
      <c r="O243" s="1648">
        <f>'Stock Rawmaterial'!N823</f>
        <v>0</v>
      </c>
      <c r="P243" s="1648">
        <f>'Stock Rawmaterial'!O823</f>
        <v>0</v>
      </c>
      <c r="Q243" s="1648">
        <f>'Stock Rawmaterial'!P823</f>
        <v>0</v>
      </c>
      <c r="R243" s="234" t="str">
        <f>'Stock Rawmaterial'!Q823</f>
        <v>APA Enmy P</v>
      </c>
      <c r="S243" s="234">
        <f>'Stock Rawmaterial'!R823</f>
        <v>0</v>
      </c>
      <c r="T243" s="234">
        <f>'Stock Rawmaterial'!S823</f>
        <v>0</v>
      </c>
      <c r="AR243" s="181"/>
    </row>
    <row r="244" spans="1:44" s="6" customFormat="1" ht="30" customHeight="1" x14ac:dyDescent="0.2">
      <c r="A244" s="2281">
        <f>IF(M247=0,"",MAX($A$15:A243)+1)</f>
        <v>17</v>
      </c>
      <c r="B244" s="2278" t="s">
        <v>1759</v>
      </c>
      <c r="C244" s="1935" t="str">
        <f>'Stock Rawmaterial'!C1584</f>
        <v>E3</v>
      </c>
      <c r="D244" s="916" t="str">
        <f>'Stock Rawmaterial'!D824</f>
        <v>Rec.</v>
      </c>
      <c r="E244" s="935">
        <f>'Stock Rawmaterial'!E1584</f>
        <v>46254</v>
      </c>
      <c r="F244" s="75">
        <f>'Stock Rawmaterial'!F1584</f>
        <v>7</v>
      </c>
      <c r="G244" s="1954">
        <v>46938</v>
      </c>
      <c r="H244" s="77">
        <f>'Stock Rawmaterial'!G1584</f>
        <v>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0</v>
      </c>
      <c r="M244" s="77">
        <f>'Stock Rawmaterial'!L1584</f>
        <v>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82"/>
      <c r="B245" s="2279"/>
      <c r="C245" s="114">
        <f>'Stock Rawmaterial'!C1585</f>
        <v>0</v>
      </c>
      <c r="D245" s="916" t="str">
        <f>'Stock Rawmaterial'!D825</f>
        <v>Rec.</v>
      </c>
      <c r="E245" s="935">
        <f>'Stock Rawmaterial'!E1585</f>
        <v>46017</v>
      </c>
      <c r="F245" s="75">
        <f>'Stock Rawmaterial'!F1585</f>
        <v>244</v>
      </c>
      <c r="G245" s="1954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9"/>
      <c r="O245" s="1649"/>
      <c r="P245" s="1649"/>
      <c r="Q245" s="1649">
        <f>'Stock Rawmaterial'!K825</f>
        <v>0</v>
      </c>
      <c r="R245" s="772"/>
      <c r="T245" s="773"/>
      <c r="AR245" s="180"/>
    </row>
    <row r="246" spans="1:44" s="6" customFormat="1" ht="30" customHeight="1" x14ac:dyDescent="0.2">
      <c r="A246" s="2283"/>
      <c r="B246" s="2280"/>
      <c r="C246" s="1701" t="str">
        <f>'Stock Rawmaterial'!C1586</f>
        <v>Feedmil</v>
      </c>
      <c r="D246" s="1932" t="str">
        <f>'Stock Rawmaterial'!D826</f>
        <v>Rec.</v>
      </c>
      <c r="E246" s="935">
        <f>'Stock Rawmaterial'!E1586</f>
        <v>46254</v>
      </c>
      <c r="F246" s="75">
        <f>'Stock Rawmaterial'!F1586</f>
        <v>7</v>
      </c>
      <c r="G246" s="1955">
        <v>46938</v>
      </c>
      <c r="H246" s="77">
        <f>'Stock Rawmaterial'!G1586</f>
        <v>13.650000000000002</v>
      </c>
      <c r="I246" s="77">
        <f>'Stock Rawmaterial'!H1586</f>
        <v>0</v>
      </c>
      <c r="J246" s="77">
        <f>'Stock Rawmaterial'!I1586</f>
        <v>0</v>
      </c>
      <c r="K246" s="77">
        <f>'Stock Rawmaterial'!J1586</f>
        <v>3.2</v>
      </c>
      <c r="L246" s="77">
        <f>'Stock Rawmaterial'!K1586</f>
        <v>0</v>
      </c>
      <c r="M246" s="77">
        <f>'Stock Rawmaterial'!L1586</f>
        <v>10.450000000000003</v>
      </c>
      <c r="N246" s="1650"/>
      <c r="O246" s="1650"/>
      <c r="P246" s="1650"/>
      <c r="Q246" s="1650">
        <f>'Stock Rawmaterial'!K826</f>
        <v>0</v>
      </c>
      <c r="R246" s="498"/>
      <c r="T246" s="10"/>
      <c r="AR246" s="180"/>
    </row>
    <row r="247" spans="1:44" s="420" customFormat="1" ht="30" customHeight="1" x14ac:dyDescent="0.2">
      <c r="A247" s="2276" t="s">
        <v>1765</v>
      </c>
      <c r="B247" s="2277"/>
      <c r="C247" s="1934"/>
      <c r="D247" s="93"/>
      <c r="E247" s="93"/>
      <c r="F247" s="94"/>
      <c r="G247" s="94"/>
      <c r="H247" s="234">
        <f>+H246+H245+H244</f>
        <v>13.650000000000002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3.2</v>
      </c>
      <c r="L247" s="234">
        <f t="shared" si="42"/>
        <v>0</v>
      </c>
      <c r="M247" s="234">
        <f t="shared" si="42"/>
        <v>10.450000000000003</v>
      </c>
      <c r="N247" s="1648">
        <f>'Stock Rawmaterial'!M1587</f>
        <v>2.1333333333333333</v>
      </c>
      <c r="O247" s="1648">
        <f>'Stock Rawmaterial'!N1587</f>
        <v>4.8984375000000018</v>
      </c>
      <c r="P247" s="1648">
        <f>'Stock Rawmaterial'!O1587</f>
        <v>0.5</v>
      </c>
      <c r="Q247" s="1648">
        <f>'Stock Rawmaterial'!P1587</f>
        <v>20.900000000000006</v>
      </c>
      <c r="R247" s="234">
        <f>'Stock Rawmaterial'!Q827</f>
        <v>0</v>
      </c>
      <c r="S247" s="234">
        <f>'Stock Rawmaterial'!R827</f>
        <v>0</v>
      </c>
      <c r="T247" s="234">
        <f>'Stock Rawmaterial'!S827</f>
        <v>0</v>
      </c>
      <c r="AR247" s="181"/>
    </row>
    <row r="248" spans="1:44" s="533" customFormat="1" ht="30" customHeight="1" x14ac:dyDescent="0.25">
      <c r="A248" s="2259" t="s">
        <v>453</v>
      </c>
      <c r="B248" s="2273"/>
      <c r="C248" s="2259"/>
      <c r="D248" s="2260"/>
      <c r="E248" s="2260"/>
      <c r="F248" s="2261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21036.250000000004</v>
      </c>
      <c r="I248" s="534">
        <f t="shared" si="43"/>
        <v>0</v>
      </c>
      <c r="J248" s="534">
        <f t="shared" si="43"/>
        <v>275</v>
      </c>
      <c r="K248" s="534">
        <f t="shared" si="43"/>
        <v>243.16999999999996</v>
      </c>
      <c r="L248" s="534">
        <f t="shared" si="43"/>
        <v>355</v>
      </c>
      <c r="M248" s="534">
        <f t="shared" si="43"/>
        <v>20793.080000000002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Rawmaterial'!L785+'Stock Rawmaterial'!L817+'Stock Rawmaterial'!L823+'Stock Rawmaterial'!L1002+'Stock Rawmaterial'!L1058+'Stock Rawmaterial'!L1130+'Stock Rawmaterial'!L1165+'Stock Rawmaterial'!L1203+'Stock Rawmaterial'!L1251+'Stock Rawmaterial'!L1332+'Stock Rawmaterial'!L1343+'Stock Rawmaterial'!L1197+'Stock Rawmaterial'!L1274+'Stock Rawmaterial'!L1080+'Stock Rawmaterial'!L653+'Stock Rawmaterial'!L1135+'Stock Rawmaterial'!L1115+'Stock Rawmaterial'!L1064+'Stock Rawmaterial'!L811+'Stock Rawmaterial'!L1587</f>
        <v>20793.079999999998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4" t="s">
        <v>332</v>
      </c>
      <c r="B251" s="2184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4" t="s">
        <v>1472</v>
      </c>
      <c r="B252" s="2184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4" t="s">
        <v>1473</v>
      </c>
      <c r="B253" s="2184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4"/>
      <c r="B254" s="2184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4"/>
      <c r="B255" s="2184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4"/>
      <c r="B256" s="2184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14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C104" sqref="C104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1" t="s">
        <v>445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2" t="s">
        <v>446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2152"/>
      <c r="O2" s="2152"/>
      <c r="P2" s="2152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1484</v>
      </c>
      <c r="L3" s="1512"/>
      <c r="M3" s="1516" t="s">
        <v>1482</v>
      </c>
      <c r="N3" s="1458">
        <f>'Stock Rawmaterial'!N3</f>
        <v>46251</v>
      </c>
      <c r="O3" s="323" t="s">
        <v>463</v>
      </c>
      <c r="P3" s="1517">
        <f>'Stock Rawmaterial'!P3</f>
        <v>46256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1485</v>
      </c>
      <c r="L4" s="7"/>
      <c r="M4" s="1516" t="s">
        <v>1482</v>
      </c>
      <c r="N4" s="1458">
        <f>'Stock Rawmaterial'!N4</f>
        <v>46258</v>
      </c>
      <c r="O4" s="323" t="s">
        <v>463</v>
      </c>
      <c r="P4" s="1517">
        <f>'Stock Rawmaterial'!P4</f>
        <v>46263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1479</v>
      </c>
      <c r="B6" s="6" t="s">
        <v>1802</v>
      </c>
      <c r="C6" s="2171" t="s">
        <v>134</v>
      </c>
      <c r="D6" s="2171"/>
      <c r="E6" s="2171"/>
      <c r="F6" s="2171"/>
      <c r="G6" s="2171"/>
      <c r="H6" s="2171"/>
      <c r="I6" s="2171"/>
      <c r="J6" s="2171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1480</v>
      </c>
      <c r="B7" s="6" t="s">
        <v>1803</v>
      </c>
      <c r="C7" s="2171" t="s">
        <v>1449</v>
      </c>
      <c r="D7" s="2171"/>
      <c r="E7" s="2171"/>
      <c r="F7" s="2171"/>
      <c r="G7" s="2171"/>
      <c r="H7" s="2171"/>
      <c r="I7" s="2171"/>
      <c r="J7" s="2171"/>
      <c r="K7" s="1503" t="s">
        <v>1483</v>
      </c>
      <c r="L7" s="386">
        <f>'Stock Rawmaterial'!L7</f>
        <v>46261</v>
      </c>
      <c r="M7" s="2176" t="s">
        <v>1463</v>
      </c>
      <c r="N7" s="2177"/>
      <c r="O7" s="2174" t="s">
        <v>1465</v>
      </c>
      <c r="P7" s="2175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79" t="s">
        <v>1464</v>
      </c>
      <c r="N8" s="2180"/>
      <c r="O8" s="2172" t="s">
        <v>1466</v>
      </c>
      <c r="P8" s="2173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3"/>
      <c r="B10" s="2153"/>
      <c r="C10" s="21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  <c r="O10" s="2153"/>
      <c r="P10" s="2153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4" t="s">
        <v>1450</v>
      </c>
      <c r="B12" s="2139" t="s">
        <v>1</v>
      </c>
      <c r="C12" s="2167" t="s">
        <v>41</v>
      </c>
      <c r="D12" s="2145" t="s">
        <v>1448</v>
      </c>
      <c r="E12" s="2165"/>
      <c r="F12" s="2137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81" t="s">
        <v>1459</v>
      </c>
      <c r="O12" s="1506" t="s">
        <v>314</v>
      </c>
      <c r="P12" s="2134" t="s">
        <v>1459</v>
      </c>
      <c r="Q12" s="432"/>
      <c r="R12" s="433"/>
      <c r="S12" s="434"/>
      <c r="T12" s="2307"/>
      <c r="U12" s="2307"/>
      <c r="V12" s="2307"/>
    </row>
    <row r="13" spans="1:45" s="397" customFormat="1" ht="34.5" customHeight="1" x14ac:dyDescent="0.2">
      <c r="A13" s="2155"/>
      <c r="B13" s="2140"/>
      <c r="C13" s="2168"/>
      <c r="D13" s="2146"/>
      <c r="E13" s="2166"/>
      <c r="F13" s="2138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82"/>
      <c r="O13" s="1523" t="s">
        <v>1461</v>
      </c>
      <c r="P13" s="2135"/>
      <c r="Q13" s="432"/>
      <c r="R13" s="433"/>
      <c r="S13" s="434"/>
    </row>
    <row r="14" spans="1:45" s="397" customFormat="1" ht="34.5" customHeight="1" x14ac:dyDescent="0.2">
      <c r="A14" s="2143" t="s">
        <v>1451</v>
      </c>
      <c r="B14" s="2141" t="s">
        <v>1452</v>
      </c>
      <c r="C14" s="2145" t="s">
        <v>1453</v>
      </c>
      <c r="D14" s="2143" t="s">
        <v>1454</v>
      </c>
      <c r="E14" s="2147"/>
      <c r="F14" s="2149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3" t="s">
        <v>1460</v>
      </c>
      <c r="O14" s="1501" t="s">
        <v>308</v>
      </c>
      <c r="P14" s="2141" t="s">
        <v>1460</v>
      </c>
      <c r="Q14" s="432"/>
      <c r="R14" s="433"/>
      <c r="S14" s="434"/>
    </row>
    <row r="15" spans="1:45" s="397" customFormat="1" ht="34.5" customHeight="1" x14ac:dyDescent="0.2">
      <c r="A15" s="2144"/>
      <c r="B15" s="2142"/>
      <c r="C15" s="2146"/>
      <c r="D15" s="2299"/>
      <c r="E15" s="2300"/>
      <c r="F15" s="2301"/>
      <c r="G15" s="1528" t="s">
        <v>1469</v>
      </c>
      <c r="H15" s="1528" t="s">
        <v>1469</v>
      </c>
      <c r="I15" s="1528" t="s">
        <v>1469</v>
      </c>
      <c r="J15" s="1528" t="s">
        <v>1469</v>
      </c>
      <c r="K15" s="1528" t="s">
        <v>1469</v>
      </c>
      <c r="L15" s="1528" t="s">
        <v>1469</v>
      </c>
      <c r="M15" s="1523" t="s">
        <v>1470</v>
      </c>
      <c r="N15" s="2302"/>
      <c r="O15" s="1529" t="s">
        <v>1470</v>
      </c>
      <c r="P15" s="2303"/>
      <c r="Q15" s="432"/>
      <c r="R15" s="433"/>
      <c r="S15" s="434"/>
    </row>
    <row r="16" spans="1:45" ht="30" customHeight="1" x14ac:dyDescent="0.2">
      <c r="A16" s="2081">
        <v>1</v>
      </c>
      <c r="B16" s="2068" t="s">
        <v>882</v>
      </c>
      <c r="C16" s="109" t="str">
        <f>'Stock Rawmaterial'!C600</f>
        <v>LM2</v>
      </c>
      <c r="D16" s="943" t="s">
        <v>10</v>
      </c>
      <c r="E16" s="1533">
        <f>'Stock Rawmaterial'!E600</f>
        <v>46191</v>
      </c>
      <c r="F16" s="1531">
        <f>'Stock Rawmaterial'!F600</f>
        <v>70</v>
      </c>
      <c r="G16" s="1651">
        <f>'Stock Rawmaterial'!G600</f>
        <v>239509</v>
      </c>
      <c r="H16" s="1652">
        <f>'Stock Rawmaterial'!H600</f>
        <v>0</v>
      </c>
      <c r="I16" s="1652">
        <f>'Stock Rawmaterial'!I600</f>
        <v>0</v>
      </c>
      <c r="J16" s="1652">
        <f>'Stock Rawmaterial'!J600</f>
        <v>5461</v>
      </c>
      <c r="K16" s="1652">
        <f>'Stock Rawmaterial'!K600</f>
        <v>0</v>
      </c>
      <c r="L16" s="1651">
        <f>'Stock Rawmaterial'!L600</f>
        <v>234048</v>
      </c>
      <c r="M16" s="1532">
        <f>'Stock Rawmaterial'!M600</f>
        <v>0</v>
      </c>
      <c r="N16" s="1532">
        <f>'Stock Rawmaterial'!N600</f>
        <v>0</v>
      </c>
      <c r="O16" s="1532">
        <f>'Stock Rawmaterial'!O600</f>
        <v>0</v>
      </c>
      <c r="P16" s="1532">
        <f>'Stock Rawmaterial'!P600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67"/>
      <c r="B17" s="2047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2" t="s">
        <v>116</v>
      </c>
      <c r="B18" s="2023"/>
      <c r="C18" s="88"/>
      <c r="D18" s="864"/>
      <c r="E18" s="864"/>
      <c r="F18" s="865"/>
      <c r="G18" s="1586">
        <f>'Stock Rawmaterial'!G602</f>
        <v>239509</v>
      </c>
      <c r="H18" s="1586">
        <f>'Stock Rawmaterial'!H602</f>
        <v>0</v>
      </c>
      <c r="I18" s="1586">
        <f>'Stock Rawmaterial'!I602</f>
        <v>0</v>
      </c>
      <c r="J18" s="1586">
        <f>'Stock Rawmaterial'!J602</f>
        <v>5461</v>
      </c>
      <c r="K18" s="1586">
        <f>'Stock Rawmaterial'!K602</f>
        <v>0</v>
      </c>
      <c r="L18" s="1586">
        <f>'Stock Rawmaterial'!L602</f>
        <v>234048</v>
      </c>
      <c r="M18" s="1790">
        <f>'Stock Rawmaterial'!M602</f>
        <v>6108.333333333333</v>
      </c>
      <c r="N18" s="1535">
        <f>'Stock Rawmaterial'!N602</f>
        <v>38.316180081855393</v>
      </c>
      <c r="O18" s="1790">
        <f>'Stock Rawmaterial'!O602</f>
        <v>8873.6666666666661</v>
      </c>
      <c r="P18" s="1535">
        <f>'Stock Rawmaterial'!P602</f>
        <v>26.375568160474813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26">
        <v>2</v>
      </c>
      <c r="B19" s="2046" t="s">
        <v>55</v>
      </c>
      <c r="C19" s="197" t="s">
        <v>56</v>
      </c>
      <c r="D19" s="943" t="s">
        <v>10</v>
      </c>
      <c r="E19" s="944">
        <f>'Stock Rawmaterial'!E603</f>
        <v>46133</v>
      </c>
      <c r="F19" s="945">
        <f>'Stock Rawmaterial'!F603</f>
        <v>128</v>
      </c>
      <c r="G19" s="1654">
        <f>'Stock Rawmaterial'!G603</f>
        <v>18000</v>
      </c>
      <c r="H19" s="1654">
        <f>'Stock Rawmaterial'!H603</f>
        <v>0</v>
      </c>
      <c r="I19" s="1654">
        <f>'Stock Rawmaterial'!I603</f>
        <v>0</v>
      </c>
      <c r="J19" s="1654">
        <f>'Stock Rawmaterial'!J603</f>
        <v>158</v>
      </c>
      <c r="K19" s="1654">
        <f>'Stock Rawmaterial'!K603</f>
        <v>0</v>
      </c>
      <c r="L19" s="1654">
        <f>'Stock Rawmaterial'!L603</f>
        <v>17842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27"/>
      <c r="B20" s="2047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2" t="s">
        <v>131</v>
      </c>
      <c r="B21" s="2023"/>
      <c r="C21" s="88"/>
      <c r="D21" s="864"/>
      <c r="E21" s="864"/>
      <c r="F21" s="865"/>
      <c r="G21" s="1586">
        <f>'Stock Rawmaterial'!G605</f>
        <v>18000</v>
      </c>
      <c r="H21" s="1586">
        <f>'Stock Rawmaterial'!H605</f>
        <v>0</v>
      </c>
      <c r="I21" s="1586">
        <f>'Stock Rawmaterial'!I605</f>
        <v>0</v>
      </c>
      <c r="J21" s="1586">
        <f>'Stock Rawmaterial'!J605</f>
        <v>158</v>
      </c>
      <c r="K21" s="1586">
        <f>'Stock Rawmaterial'!K605</f>
        <v>0</v>
      </c>
      <c r="L21" s="1586">
        <f>'Stock Rawmaterial'!L605</f>
        <v>17842</v>
      </c>
      <c r="M21" s="1790">
        <f>'Stock Rawmaterial'!M605</f>
        <v>1501.5</v>
      </c>
      <c r="N21" s="1535">
        <f>'Stock Rawmaterial'!N605</f>
        <v>11.882783882783883</v>
      </c>
      <c r="O21" s="1790">
        <f>'Stock Rawmaterial'!O605</f>
        <v>1526.6666666666665</v>
      </c>
      <c r="P21" s="1535">
        <f>'Stock Rawmaterial'!P605</f>
        <v>11.686899563318779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4">
        <v>3</v>
      </c>
      <c r="B22" s="2069" t="s">
        <v>92</v>
      </c>
      <c r="C22" s="118" t="s">
        <v>77</v>
      </c>
      <c r="D22" s="910" t="s">
        <v>10</v>
      </c>
      <c r="E22" s="890">
        <f>+'Stock Rawmaterial'!E606</f>
        <v>46105</v>
      </c>
      <c r="F22" s="856">
        <f>'Stock Rawmaterial'!F606</f>
        <v>156</v>
      </c>
      <c r="G22" s="304">
        <f>'Stock Rawmaterial'!G606</f>
        <v>234518</v>
      </c>
      <c r="H22" s="304">
        <f>'Stock Rawmaterial'!H606</f>
        <v>0</v>
      </c>
      <c r="I22" s="304">
        <f>'Stock Rawmaterial'!I606</f>
        <v>0</v>
      </c>
      <c r="J22" s="304">
        <f>'Stock Rawmaterial'!J606</f>
        <v>12581</v>
      </c>
      <c r="K22" s="304">
        <f>'Stock Rawmaterial'!K606</f>
        <v>0</v>
      </c>
      <c r="L22" s="304">
        <f>'Stock Rawmaterial'!L606</f>
        <v>221937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5"/>
      <c r="B23" s="2070"/>
      <c r="C23" s="118" t="s">
        <v>78</v>
      </c>
      <c r="D23" s="852" t="s">
        <v>10</v>
      </c>
      <c r="E23" s="890">
        <f>+'Stock Rawmaterial'!E607</f>
        <v>46129</v>
      </c>
      <c r="F23" s="856">
        <f>'Stock Rawmaterial'!F607</f>
        <v>132</v>
      </c>
      <c r="G23" s="304">
        <f>'Stock Rawmaterial'!G607</f>
        <v>2537</v>
      </c>
      <c r="H23" s="304">
        <f>'Stock Rawmaterial'!H607</f>
        <v>0</v>
      </c>
      <c r="I23" s="304">
        <f>'Stock Rawmaterial'!I607</f>
        <v>0</v>
      </c>
      <c r="J23" s="304">
        <f>'Stock Rawmaterial'!J607</f>
        <v>0</v>
      </c>
      <c r="K23" s="304">
        <f>'Stock Rawmaterial'!K607</f>
        <v>0</v>
      </c>
      <c r="L23" s="304">
        <f>'Stock Rawmaterial'!L607</f>
        <v>2537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5"/>
      <c r="B24" s="2070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5"/>
      <c r="B25" s="2070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6"/>
      <c r="B26" s="2071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12581</v>
      </c>
      <c r="K27" s="325">
        <f t="shared" si="0"/>
        <v>0</v>
      </c>
      <c r="L27" s="325">
        <f t="shared" si="0"/>
        <v>224474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2" t="s">
        <v>348</v>
      </c>
      <c r="B29" s="2023"/>
      <c r="C29" s="88"/>
      <c r="D29" s="864"/>
      <c r="E29" s="864"/>
      <c r="F29" s="865"/>
      <c r="G29" s="1586">
        <f>G22+G23</f>
        <v>237055</v>
      </c>
      <c r="H29" s="1586">
        <f t="shared" ref="H29:L29" si="1">H22+H23</f>
        <v>0</v>
      </c>
      <c r="I29" s="1586">
        <f t="shared" si="1"/>
        <v>0</v>
      </c>
      <c r="J29" s="1586">
        <f t="shared" si="1"/>
        <v>12581</v>
      </c>
      <c r="K29" s="1586">
        <f t="shared" si="1"/>
        <v>0</v>
      </c>
      <c r="L29" s="1586">
        <f t="shared" si="1"/>
        <v>224474</v>
      </c>
      <c r="M29" s="133">
        <f>'Stock Rawmaterial'!M611</f>
        <v>16043.833333333334</v>
      </c>
      <c r="N29" s="1546">
        <f>'Stock Rawmaterial'!N611</f>
        <v>13.991294682276679</v>
      </c>
      <c r="O29" s="133">
        <f>'Stock Rawmaterial'!O611</f>
        <v>17060.333333333332</v>
      </c>
      <c r="P29" s="1546">
        <f>'Stock Rawmaterial'!P611</f>
        <v>13.15765616146617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Rawmaterial'!E612</f>
        <v>46228</v>
      </c>
      <c r="F30" s="856">
        <f>'Stock Rawmaterial'!F612</f>
        <v>33</v>
      </c>
      <c r="G30" s="304">
        <f>'Stock Rawmaterial'!G612</f>
        <v>398172.9</v>
      </c>
      <c r="H30" s="304">
        <f>'Stock Rawmaterial'!H612</f>
        <v>32310</v>
      </c>
      <c r="I30" s="304">
        <f>'Stock Rawmaterial'!I612</f>
        <v>0</v>
      </c>
      <c r="J30" s="304">
        <f>'Stock Rawmaterial'!J612</f>
        <v>31138.87</v>
      </c>
      <c r="K30" s="304">
        <f>'Stock Rawmaterial'!K612</f>
        <v>0</v>
      </c>
      <c r="L30" s="304">
        <f>'Stock Rawmaterial'!L612</f>
        <v>399344.03</v>
      </c>
      <c r="M30" s="1796"/>
      <c r="N30" s="1547"/>
      <c r="O30" s="1796">
        <f>+'Stock Rawmaterial'!K612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2" t="s">
        <v>118</v>
      </c>
      <c r="B31" s="2023"/>
      <c r="C31" s="949"/>
      <c r="D31" s="950"/>
      <c r="E31" s="951"/>
      <c r="F31" s="952"/>
      <c r="G31" s="1586">
        <f>G30</f>
        <v>398172.9</v>
      </c>
      <c r="H31" s="1586">
        <f t="shared" ref="H31:L31" si="2">H30</f>
        <v>32310</v>
      </c>
      <c r="I31" s="1586">
        <f t="shared" si="2"/>
        <v>0</v>
      </c>
      <c r="J31" s="1586">
        <f t="shared" si="2"/>
        <v>31138.87</v>
      </c>
      <c r="K31" s="1586">
        <f t="shared" si="2"/>
        <v>0</v>
      </c>
      <c r="L31" s="1586">
        <f t="shared" si="2"/>
        <v>399344.03</v>
      </c>
      <c r="M31" s="133">
        <f>'Stock Rawmaterial'!M613</f>
        <v>29772.166666666668</v>
      </c>
      <c r="N31" s="1546">
        <f>'Stock Rawmaterial'!N613</f>
        <v>13.413334490267756</v>
      </c>
      <c r="O31" s="133">
        <f>'Stock Rawmaterial'!O613</f>
        <v>34496.166666666664</v>
      </c>
      <c r="P31" s="1546">
        <f>'Stock Rawmaterial'!P613</f>
        <v>11.576475550423478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3">
        <v>5</v>
      </c>
      <c r="B32" s="2046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Rawmaterial'!J751</f>
        <v>0</v>
      </c>
      <c r="O32" s="1797">
        <f>+'Stock Rawmaterial'!K751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3"/>
      <c r="B33" s="2068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Rawmaterial'!J752</f>
        <v>0</v>
      </c>
      <c r="O33" s="1797">
        <f>+'Stock Rawmaterial'!K752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3"/>
      <c r="B34" s="2068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Rawmaterial'!J753</f>
        <v>0</v>
      </c>
      <c r="O34" s="1797">
        <f>+'Stock Rawmaterial'!K753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3"/>
      <c r="B35" s="2068"/>
      <c r="C35" s="149">
        <f>+'Stock Rawmaterial'!C754</f>
        <v>0</v>
      </c>
      <c r="D35" s="850" t="s">
        <v>10</v>
      </c>
      <c r="E35" s="960">
        <f>+'Stock Rawmaterial'!E754</f>
        <v>45576</v>
      </c>
      <c r="F35" s="42">
        <f>'Stock Rawmaterial'!F754</f>
        <v>685</v>
      </c>
      <c r="G35" s="1219">
        <f>'Stock Rawmaterial'!G754</f>
        <v>0</v>
      </c>
      <c r="H35" s="1219">
        <f>'Stock Rawmaterial'!H754</f>
        <v>0</v>
      </c>
      <c r="I35" s="1219">
        <f>'Stock Rawmaterial'!I754</f>
        <v>0</v>
      </c>
      <c r="J35" s="1219">
        <f>'Stock Rawmaterial'!J754</f>
        <v>0</v>
      </c>
      <c r="K35" s="1219">
        <f>'Stock Rawmaterial'!K754</f>
        <v>0</v>
      </c>
      <c r="L35" s="1219">
        <f>'Stock Rawmaterial'!L754</f>
        <v>0</v>
      </c>
      <c r="M35" s="1797"/>
      <c r="N35" s="1550">
        <f>+'Stock Rawmaterial'!J754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3"/>
      <c r="B36" s="2068"/>
      <c r="C36" s="149">
        <f>+'Stock Rawmaterial'!C755</f>
        <v>0</v>
      </c>
      <c r="D36" s="850" t="s">
        <v>10</v>
      </c>
      <c r="E36" s="960">
        <f>+'Stock Rawmaterial'!E755</f>
        <v>45668</v>
      </c>
      <c r="F36" s="42">
        <f>'Stock Rawmaterial'!F755</f>
        <v>593</v>
      </c>
      <c r="G36" s="1219">
        <f>'Stock Rawmaterial'!G755</f>
        <v>1.7053025658242404E-13</v>
      </c>
      <c r="H36" s="1219">
        <f>'Stock Rawmaterial'!H755</f>
        <v>0</v>
      </c>
      <c r="I36" s="1219">
        <f>'Stock Rawmaterial'!I755</f>
        <v>0</v>
      </c>
      <c r="J36" s="1219">
        <f>'Stock Rawmaterial'!J755</f>
        <v>0</v>
      </c>
      <c r="K36" s="1219">
        <f>'Stock Rawmaterial'!K755</f>
        <v>0</v>
      </c>
      <c r="L36" s="1219">
        <f>'Stock Rawmaterial'!L755</f>
        <v>1.7053025658242404E-13</v>
      </c>
      <c r="M36" s="1180">
        <f>'Stock Rawmaterial'!M755</f>
        <v>0</v>
      </c>
      <c r="N36" s="1551"/>
      <c r="O36" s="1797">
        <f>+'Stock Rawmaterial'!K755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3"/>
      <c r="B37" s="2068"/>
      <c r="C37" s="1215" t="str">
        <f>+'Stock Rawmaterial'!C756</f>
        <v>LA3</v>
      </c>
      <c r="D37" s="852" t="s">
        <v>10</v>
      </c>
      <c r="E37" s="968">
        <f>+'Stock Rawmaterial'!E756</f>
        <v>46206</v>
      </c>
      <c r="F37" s="1216">
        <f>'Stock Rawmaterial'!F756</f>
        <v>55</v>
      </c>
      <c r="G37" s="304">
        <f>'Stock Rawmaterial'!G756</f>
        <v>25283.759999999998</v>
      </c>
      <c r="H37" s="304">
        <f>'Stock Rawmaterial'!H756</f>
        <v>0</v>
      </c>
      <c r="I37" s="304">
        <f>'Stock Rawmaterial'!I756</f>
        <v>0</v>
      </c>
      <c r="J37" s="304">
        <f>'Stock Rawmaterial'!J756</f>
        <v>1228.07</v>
      </c>
      <c r="K37" s="304">
        <f>'Stock Rawmaterial'!K756</f>
        <v>0</v>
      </c>
      <c r="L37" s="304">
        <f>'Stock Rawmaterial'!L756</f>
        <v>24055.69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3"/>
      <c r="B38" s="2068"/>
      <c r="C38" s="1215" t="str">
        <f>+'Stock Rawmaterial'!C757</f>
        <v>LA7</v>
      </c>
      <c r="D38" s="852" t="s">
        <v>10</v>
      </c>
      <c r="E38" s="968">
        <f>+'Stock Rawmaterial'!E757</f>
        <v>46248</v>
      </c>
      <c r="F38" s="1216">
        <f>'Stock Rawmaterial'!F757</f>
        <v>13</v>
      </c>
      <c r="G38" s="304">
        <f>'Stock Rawmaterial'!G757</f>
        <v>21152.730000000003</v>
      </c>
      <c r="H38" s="304">
        <f>'Stock Rawmaterial'!H757</f>
        <v>0</v>
      </c>
      <c r="I38" s="304">
        <f>'Stock Rawmaterial'!I757</f>
        <v>0</v>
      </c>
      <c r="J38" s="304">
        <f>'Stock Rawmaterial'!J757</f>
        <v>0</v>
      </c>
      <c r="K38" s="304">
        <f>'Stock Rawmaterial'!K757</f>
        <v>0</v>
      </c>
      <c r="L38" s="304">
        <f>'Stock Rawmaterial'!L757</f>
        <v>21152.730000000003</v>
      </c>
      <c r="M38" s="1797"/>
      <c r="N38" s="1550"/>
      <c r="O38" s="1797">
        <f>+'Stock Rawmaterial'!K757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3"/>
      <c r="B39" s="2047"/>
      <c r="C39" s="1212" t="str">
        <f>+'Stock Rawmaterial'!C758</f>
        <v>LA3</v>
      </c>
      <c r="D39" s="884" t="s">
        <v>10</v>
      </c>
      <c r="E39" s="1213">
        <f>+'Stock Rawmaterial'!E758</f>
        <v>45726</v>
      </c>
      <c r="F39" s="1216">
        <f>'Stock Rawmaterial'!F758</f>
        <v>535</v>
      </c>
      <c r="G39" s="304">
        <f>'Stock Rawmaterial'!G758</f>
        <v>0</v>
      </c>
      <c r="H39" s="304">
        <f>'Stock Rawmaterial'!H758</f>
        <v>0</v>
      </c>
      <c r="I39" s="304">
        <f>'Stock Rawmaterial'!I758</f>
        <v>0</v>
      </c>
      <c r="J39" s="304">
        <f>'Stock Rawmaterial'!J758</f>
        <v>0</v>
      </c>
      <c r="K39" s="304">
        <f>'Stock Rawmaterial'!K758</f>
        <v>0</v>
      </c>
      <c r="L39" s="304">
        <f>'Stock Rawmaterial'!L758</f>
        <v>0</v>
      </c>
      <c r="M39" s="1797"/>
      <c r="N39" s="1538">
        <f>+'Stock Rawmaterial'!J758</f>
        <v>0</v>
      </c>
      <c r="O39" s="1797">
        <f>+'Stock Rawmaterial'!K758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2" t="s">
        <v>205</v>
      </c>
      <c r="B40" s="2023"/>
      <c r="C40" s="88"/>
      <c r="D40" s="864"/>
      <c r="E40" s="864"/>
      <c r="F40" s="865"/>
      <c r="G40" s="1586">
        <f>+SUM(G32:G39)</f>
        <v>46436.490000000005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1228.07</v>
      </c>
      <c r="K40" s="1586">
        <f t="shared" si="3"/>
        <v>0</v>
      </c>
      <c r="L40" s="1586">
        <f t="shared" si="3"/>
        <v>45208.42</v>
      </c>
      <c r="M40" s="133">
        <f>'Stock Rawmaterial'!M759</f>
        <v>966.40500000000009</v>
      </c>
      <c r="N40" s="1546">
        <f>'Stock Rawmaterial'!N759</f>
        <v>46.779993894899128</v>
      </c>
      <c r="O40" s="133">
        <f>'Stock Rawmaterial'!O759</f>
        <v>1154.6666666666667</v>
      </c>
      <c r="P40" s="1546">
        <f>'Stock Rawmaterial'!P759</f>
        <v>39.152788683602765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0">
        <v>6</v>
      </c>
      <c r="B41" s="2069" t="s">
        <v>327</v>
      </c>
      <c r="C41" s="226">
        <f>+'Stock Rawmaterial'!C865</f>
        <v>0</v>
      </c>
      <c r="D41" s="875" t="s">
        <v>10</v>
      </c>
      <c r="E41" s="973">
        <f>+'Stock Rawmaterial'!E865</f>
        <v>0</v>
      </c>
      <c r="F41" s="938">
        <f>'Stock Rawmaterial'!F865</f>
        <v>0</v>
      </c>
      <c r="G41" s="1662">
        <f>'Stock Rawmaterial'!G865</f>
        <v>0</v>
      </c>
      <c r="H41" s="1662">
        <f>'Stock Rawmaterial'!H865</f>
        <v>0</v>
      </c>
      <c r="I41" s="1662">
        <f>'Stock Rawmaterial'!I865</f>
        <v>0</v>
      </c>
      <c r="J41" s="1662">
        <f>'Stock Rawmaterial'!J865</f>
        <v>0</v>
      </c>
      <c r="K41" s="1662">
        <f>'Stock Rawmaterial'!K865</f>
        <v>0</v>
      </c>
      <c r="L41" s="1662">
        <f>'Stock Rawmaterial'!L865</f>
        <v>0</v>
      </c>
      <c r="M41" s="1812"/>
      <c r="N41" s="1551">
        <f>'Stock Rawmaterial'!J865</f>
        <v>0</v>
      </c>
      <c r="O41" s="1798">
        <f>'Stock Rawmaterial'!K865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1"/>
      <c r="B42" s="2070"/>
      <c r="C42" s="226" t="str">
        <f>+'Stock Rawmaterial'!C866</f>
        <v>LF7</v>
      </c>
      <c r="D42" s="875" t="s">
        <v>10</v>
      </c>
      <c r="E42" s="973">
        <f>+'Stock Rawmaterial'!E866</f>
        <v>46237</v>
      </c>
      <c r="F42" s="938">
        <f>'Stock Rawmaterial'!F866</f>
        <v>24</v>
      </c>
      <c r="G42" s="1219">
        <f>'Stock Rawmaterial'!G866</f>
        <v>44962.6</v>
      </c>
      <c r="H42" s="1219">
        <f>'Stock Rawmaterial'!H866</f>
        <v>0</v>
      </c>
      <c r="I42" s="1219">
        <f>'Stock Rawmaterial'!I866</f>
        <v>0</v>
      </c>
      <c r="J42" s="1219">
        <f>'Stock Rawmaterial'!J866</f>
        <v>1625.4</v>
      </c>
      <c r="K42" s="1219">
        <f>'Stock Rawmaterial'!K866</f>
        <v>0</v>
      </c>
      <c r="L42" s="1219">
        <f>'Stock Rawmaterial'!L866</f>
        <v>43337.2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1"/>
      <c r="B43" s="2070"/>
      <c r="C43" s="226" t="str">
        <f>+'Stock Rawmaterial'!C867</f>
        <v>LF8</v>
      </c>
      <c r="D43" s="875" t="s">
        <v>10</v>
      </c>
      <c r="E43" s="973">
        <f>+'Stock Rawmaterial'!E867</f>
        <v>46258</v>
      </c>
      <c r="F43" s="938">
        <f>'Stock Rawmaterial'!F867</f>
        <v>3</v>
      </c>
      <c r="G43" s="1219">
        <f>'Stock Rawmaterial'!G867</f>
        <v>25649.999999999993</v>
      </c>
      <c r="H43" s="1219">
        <f>'Stock Rawmaterial'!H867</f>
        <v>0</v>
      </c>
      <c r="I43" s="1219">
        <f>'Stock Rawmaterial'!I867</f>
        <v>0</v>
      </c>
      <c r="J43" s="1219">
        <f>'Stock Rawmaterial'!J867</f>
        <v>0</v>
      </c>
      <c r="K43" s="1219">
        <f>'Stock Rawmaterial'!K867</f>
        <v>0</v>
      </c>
      <c r="L43" s="1219">
        <f>'Stock Rawmaterial'!L867</f>
        <v>25649.999999999993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1"/>
      <c r="B44" s="2070"/>
      <c r="C44" s="226">
        <f>+'Stock Rawmaterial'!C868</f>
        <v>0</v>
      </c>
      <c r="D44" s="875" t="s">
        <v>10</v>
      </c>
      <c r="E44" s="973">
        <f>+'Stock Rawmaterial'!E868</f>
        <v>44673</v>
      </c>
      <c r="F44" s="938" t="e">
        <f>#REF!-E44</f>
        <v>#REF!</v>
      </c>
      <c r="G44" s="1662">
        <f>'Stock Rawmaterial'!G868</f>
        <v>0</v>
      </c>
      <c r="H44" s="1662">
        <f>'Stock Rawmaterial'!H868</f>
        <v>0</v>
      </c>
      <c r="I44" s="1662">
        <f>'Stock Rawmaterial'!I868</f>
        <v>0</v>
      </c>
      <c r="J44" s="1662">
        <f>'Stock Rawmaterial'!J868</f>
        <v>0</v>
      </c>
      <c r="K44" s="1662">
        <f>'Stock Rawmaterial'!K868</f>
        <v>0</v>
      </c>
      <c r="L44" s="1662">
        <f>'Stock Rawmaterial'!L868</f>
        <v>0</v>
      </c>
      <c r="M44" s="1799" t="e">
        <f>+'Stock Rawmaterial'!#REF!</f>
        <v>#REF!</v>
      </c>
      <c r="N44" s="1551">
        <f>'Stock Rawmaterial'!J868</f>
        <v>0</v>
      </c>
      <c r="O44" s="1799">
        <f>+'Stock Rawmaterial'!K868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1"/>
      <c r="B45" s="2070"/>
      <c r="C45" s="226" t="str">
        <f>+'Stock Rawmaterial'!C869</f>
        <v>LA7</v>
      </c>
      <c r="D45" s="875" t="s">
        <v>10</v>
      </c>
      <c r="E45" s="973">
        <f>+'Stock Rawmaterial'!E869</f>
        <v>0</v>
      </c>
      <c r="F45" s="938" t="e">
        <f>#REF!-E45</f>
        <v>#REF!</v>
      </c>
      <c r="G45" s="1662">
        <f>'Stock Rawmaterial'!G869</f>
        <v>0</v>
      </c>
      <c r="H45" s="1662">
        <f>'Stock Rawmaterial'!H869</f>
        <v>0</v>
      </c>
      <c r="I45" s="1662">
        <f>'Stock Rawmaterial'!I869</f>
        <v>0</v>
      </c>
      <c r="J45" s="1662">
        <f>'Stock Rawmaterial'!J869</f>
        <v>0</v>
      </c>
      <c r="K45" s="1662">
        <f>'Stock Rawmaterial'!K869</f>
        <v>0</v>
      </c>
      <c r="L45" s="1662">
        <f>'Stock Rawmaterial'!L869</f>
        <v>0</v>
      </c>
      <c r="M45" s="1799" t="e">
        <f>+'Stock Rawmaterial'!#REF!</f>
        <v>#REF!</v>
      </c>
      <c r="N45" s="1551">
        <f>'Stock Rawmaterial'!J869</f>
        <v>0</v>
      </c>
      <c r="O45" s="1799">
        <f>+'Stock Rawmaterial'!K869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2" t="s">
        <v>224</v>
      </c>
      <c r="B46" s="2023"/>
      <c r="C46" s="88"/>
      <c r="D46" s="864"/>
      <c r="E46" s="864"/>
      <c r="F46" s="865"/>
      <c r="G46" s="1586">
        <f>SUM(G41:G43)</f>
        <v>70612.599999999991</v>
      </c>
      <c r="H46" s="1586">
        <f t="shared" ref="H46:L46" si="4">SUM(H41:H43)</f>
        <v>0</v>
      </c>
      <c r="I46" s="1586">
        <f t="shared" si="4"/>
        <v>0</v>
      </c>
      <c r="J46" s="1586">
        <f t="shared" si="4"/>
        <v>1625.4</v>
      </c>
      <c r="K46" s="1586">
        <f t="shared" si="4"/>
        <v>0</v>
      </c>
      <c r="L46" s="1586">
        <f t="shared" si="4"/>
        <v>68987.199999999983</v>
      </c>
      <c r="M46" s="133">
        <f>'Stock Rawmaterial'!M870</f>
        <v>2237.6333333333337</v>
      </c>
      <c r="N46" s="1546">
        <f>'Stock Rawmaterial'!N870</f>
        <v>30.830430961283486</v>
      </c>
      <c r="O46" s="133">
        <f>'Stock Rawmaterial'!O870</f>
        <v>2740.833333333333</v>
      </c>
      <c r="P46" s="1546">
        <f>'Stock Rawmaterial'!P870</f>
        <v>25.170155062328973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00">
        <v>7</v>
      </c>
      <c r="B47" s="2018" t="s">
        <v>239</v>
      </c>
      <c r="C47" s="143">
        <f>+'Stock Rawmaterial'!C944</f>
        <v>0</v>
      </c>
      <c r="D47" s="881" t="s">
        <v>10</v>
      </c>
      <c r="E47" s="882">
        <f>+'Stock Rawmaterial'!E944</f>
        <v>46158</v>
      </c>
      <c r="F47" s="938">
        <f>+'Stock Rawmaterial'!F944</f>
        <v>103</v>
      </c>
      <c r="G47" s="1705">
        <f>+'Stock Rawmaterial'!G944</f>
        <v>0</v>
      </c>
      <c r="H47" s="1219">
        <f>+'Stock Rawmaterial'!H944</f>
        <v>0</v>
      </c>
      <c r="I47" s="1219">
        <f>+'Stock Rawmaterial'!I944</f>
        <v>0</v>
      </c>
      <c r="J47" s="1219">
        <f>+'Stock Rawmaterial'!J944</f>
        <v>0</v>
      </c>
      <c r="K47" s="1219">
        <f>+'Stock Rawmaterial'!K944</f>
        <v>0</v>
      </c>
      <c r="L47" s="1705">
        <f>+'Stock Rawmaterial'!L944</f>
        <v>0</v>
      </c>
      <c r="M47" s="1800"/>
      <c r="N47" s="1560">
        <f>+'Stock Rawmaterial'!J944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1"/>
      <c r="B48" s="2019"/>
      <c r="C48" s="143" t="str">
        <f>+'Stock Rawmaterial'!C945</f>
        <v>A15.2</v>
      </c>
      <c r="D48" s="881" t="s">
        <v>10</v>
      </c>
      <c r="E48" s="882">
        <f>+'Stock Rawmaterial'!E945</f>
        <v>46175</v>
      </c>
      <c r="F48" s="938">
        <f>+'Stock Rawmaterial'!F945</f>
        <v>86</v>
      </c>
      <c r="G48" s="1705">
        <f>+'Stock Rawmaterial'!G945</f>
        <v>10000</v>
      </c>
      <c r="H48" s="1219">
        <f>+'Stock Rawmaterial'!H945</f>
        <v>0</v>
      </c>
      <c r="I48" s="1714">
        <f>+'Stock Rawmaterial'!I945</f>
        <v>0</v>
      </c>
      <c r="J48" s="1219">
        <f>+'Stock Rawmaterial'!J945</f>
        <v>0</v>
      </c>
      <c r="K48" s="1219">
        <f>+'Stock Rawmaterial'!K945</f>
        <v>0</v>
      </c>
      <c r="L48" s="1705">
        <f>+'Stock Rawmaterial'!L945</f>
        <v>10000</v>
      </c>
      <c r="M48" s="1801"/>
      <c r="N48" s="1554">
        <f>+'Stock Rawmaterial'!J945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1"/>
      <c r="B49" s="2019"/>
      <c r="C49" s="143" t="str">
        <f>+'Stock Rawmaterial'!C946</f>
        <v>A16.2A</v>
      </c>
      <c r="D49" s="881" t="s">
        <v>10</v>
      </c>
      <c r="E49" s="882">
        <f>+'Stock Rawmaterial'!E946</f>
        <v>46186</v>
      </c>
      <c r="F49" s="938">
        <f>+'Stock Rawmaterial'!F946</f>
        <v>75</v>
      </c>
      <c r="G49" s="1705">
        <f>+'Stock Rawmaterial'!G946</f>
        <v>18000</v>
      </c>
      <c r="H49" s="1705">
        <f>+'Stock Rawmaterial'!H946</f>
        <v>0</v>
      </c>
      <c r="I49" s="1705">
        <f>+'Stock Rawmaterial'!I946</f>
        <v>0</v>
      </c>
      <c r="J49" s="1705">
        <f>+'Stock Rawmaterial'!J946</f>
        <v>0</v>
      </c>
      <c r="K49" s="1705">
        <f>+'Stock Rawmaterial'!K946</f>
        <v>0</v>
      </c>
      <c r="L49" s="1705">
        <f>+'Stock Rawmaterial'!L946</f>
        <v>18000</v>
      </c>
      <c r="M49" s="1800"/>
      <c r="N49" s="1555">
        <f>+'Stock Rawmaterial'!J946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1"/>
      <c r="B50" s="2020"/>
      <c r="C50" s="143" t="str">
        <f>+'Stock Rawmaterial'!C947</f>
        <v>A16.2A</v>
      </c>
      <c r="D50" s="881" t="s">
        <v>10</v>
      </c>
      <c r="E50" s="882">
        <f>+'Stock Rawmaterial'!E947</f>
        <v>46191</v>
      </c>
      <c r="F50" s="938">
        <f>+'Stock Rawmaterial'!F947</f>
        <v>70</v>
      </c>
      <c r="G50" s="1705">
        <f>+'Stock Rawmaterial'!G947</f>
        <v>18000</v>
      </c>
      <c r="H50" s="1705">
        <f>+'Stock Rawmaterial'!H947</f>
        <v>0</v>
      </c>
      <c r="I50" s="1705">
        <f>+'Stock Rawmaterial'!I947</f>
        <v>0</v>
      </c>
      <c r="J50" s="1705">
        <f>+'Stock Rawmaterial'!J947</f>
        <v>0</v>
      </c>
      <c r="K50" s="1705">
        <f>+'Stock Rawmaterial'!K947</f>
        <v>0</v>
      </c>
      <c r="L50" s="1705">
        <f>+'Stock Rawmaterial'!L947</f>
        <v>18000</v>
      </c>
      <c r="M50" s="1800"/>
      <c r="N50" s="1555">
        <f>+'Stock Rawmaterial'!J947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1"/>
      <c r="B51" s="2019"/>
      <c r="C51" s="143" t="str">
        <f>+'Stock Rawmaterial'!C948</f>
        <v>A16.2A</v>
      </c>
      <c r="D51" s="881" t="s">
        <v>10</v>
      </c>
      <c r="E51" s="882">
        <f>+'Stock Rawmaterial'!E948</f>
        <v>46213</v>
      </c>
      <c r="F51" s="938">
        <f>+'Stock Rawmaterial'!F948</f>
        <v>48</v>
      </c>
      <c r="G51" s="1705">
        <f>+'Stock Rawmaterial'!G948</f>
        <v>18000</v>
      </c>
      <c r="H51" s="1705">
        <f>+'Stock Rawmaterial'!H948</f>
        <v>0</v>
      </c>
      <c r="I51" s="1705">
        <f>+'Stock Rawmaterial'!I948</f>
        <v>0</v>
      </c>
      <c r="J51" s="1705">
        <f>+'Stock Rawmaterial'!J948</f>
        <v>0</v>
      </c>
      <c r="K51" s="1705">
        <f>+'Stock Rawmaterial'!K948</f>
        <v>0</v>
      </c>
      <c r="L51" s="1705">
        <f>+'Stock Rawmaterial'!L948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1"/>
      <c r="B52" s="2021"/>
      <c r="C52" s="143" t="str">
        <f>+'Stock Rawmaterial'!C949</f>
        <v>A16.1B</v>
      </c>
      <c r="D52" s="881" t="s">
        <v>10</v>
      </c>
      <c r="E52" s="882">
        <f>+'Stock Rawmaterial'!E949</f>
        <v>46233</v>
      </c>
      <c r="F52" s="938">
        <f>+'Stock Rawmaterial'!F949</f>
        <v>28</v>
      </c>
      <c r="G52" s="1705">
        <f>+'Stock Rawmaterial'!G949</f>
        <v>18000</v>
      </c>
      <c r="H52" s="1705">
        <f>+'Stock Rawmaterial'!H949</f>
        <v>0</v>
      </c>
      <c r="I52" s="1705">
        <f>+'Stock Rawmaterial'!I949</f>
        <v>0</v>
      </c>
      <c r="J52" s="1705">
        <f>+'Stock Rawmaterial'!J949</f>
        <v>0</v>
      </c>
      <c r="K52" s="1705">
        <f>+'Stock Rawmaterial'!K949</f>
        <v>0</v>
      </c>
      <c r="L52" s="1705">
        <f>+'Stock Rawmaterial'!L949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1"/>
      <c r="B53" s="2020"/>
      <c r="C53" s="143" t="str">
        <f>+'Stock Rawmaterial'!C950</f>
        <v>A16.1B</v>
      </c>
      <c r="D53" s="881" t="s">
        <v>10</v>
      </c>
      <c r="E53" s="882">
        <f>+'Stock Rawmaterial'!E950</f>
        <v>46239</v>
      </c>
      <c r="F53" s="938">
        <f>+'Stock Rawmaterial'!F950</f>
        <v>22</v>
      </c>
      <c r="G53" s="1705">
        <f>+'Stock Rawmaterial'!G950</f>
        <v>18000</v>
      </c>
      <c r="H53" s="1705">
        <f>+'Stock Rawmaterial'!H950</f>
        <v>0</v>
      </c>
      <c r="I53" s="1705">
        <f>+'Stock Rawmaterial'!I950</f>
        <v>0</v>
      </c>
      <c r="J53" s="1705">
        <f>+'Stock Rawmaterial'!J950</f>
        <v>0</v>
      </c>
      <c r="K53" s="1705">
        <f>+'Stock Rawmaterial'!K950</f>
        <v>0</v>
      </c>
      <c r="L53" s="1705">
        <f>+'Stock Rawmaterial'!L950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1"/>
      <c r="B54" s="2019"/>
      <c r="C54" s="149" t="str">
        <f>+'Stock Rawmaterial'!C951</f>
        <v>Silo</v>
      </c>
      <c r="D54" s="881" t="s">
        <v>10</v>
      </c>
      <c r="E54" s="882">
        <f>+'Stock Rawmaterial'!E951</f>
        <v>46158</v>
      </c>
      <c r="F54" s="938">
        <f>+'Stock Rawmaterial'!F951</f>
        <v>103</v>
      </c>
      <c r="G54" s="1219">
        <f>+'Stock Rawmaterial'!G951</f>
        <v>1993</v>
      </c>
      <c r="H54" s="1219">
        <f>+'Stock Rawmaterial'!H951</f>
        <v>0</v>
      </c>
      <c r="I54" s="1219">
        <f>+'Stock Rawmaterial'!I951</f>
        <v>0</v>
      </c>
      <c r="J54" s="1219">
        <f>+'Stock Rawmaterial'!J951</f>
        <v>0</v>
      </c>
      <c r="K54" s="1219">
        <f>+'Stock Rawmaterial'!K951</f>
        <v>0</v>
      </c>
      <c r="L54" s="1219">
        <f>+'Stock Rawmaterial'!L951</f>
        <v>1993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1"/>
      <c r="B55" s="2019"/>
      <c r="C55" s="149" t="str">
        <f>+'Stock Rawmaterial'!C952</f>
        <v>LA4</v>
      </c>
      <c r="D55" s="881" t="s">
        <v>10</v>
      </c>
      <c r="E55" s="882">
        <f>+'Stock Rawmaterial'!E952</f>
        <v>46214</v>
      </c>
      <c r="F55" s="938">
        <f>+'Stock Rawmaterial'!F952</f>
        <v>47</v>
      </c>
      <c r="G55" s="1219">
        <f>+'Stock Rawmaterial'!G952</f>
        <v>23202.579999999998</v>
      </c>
      <c r="H55" s="1219">
        <f>+'Stock Rawmaterial'!H952</f>
        <v>0</v>
      </c>
      <c r="I55" s="1219">
        <f>+'Stock Rawmaterial'!I952</f>
        <v>0</v>
      </c>
      <c r="J55" s="1219">
        <f>+'Stock Rawmaterial'!J952</f>
        <v>2098.71</v>
      </c>
      <c r="K55" s="1219">
        <f>+'Stock Rawmaterial'!K952</f>
        <v>0</v>
      </c>
      <c r="L55" s="1219">
        <f>+'Stock Rawmaterial'!L952</f>
        <v>21103.87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1"/>
      <c r="B56" s="2019"/>
      <c r="C56" s="149" t="str">
        <f>+'Stock Rawmaterial'!C953</f>
        <v>LA2</v>
      </c>
      <c r="D56" s="881" t="s">
        <v>10</v>
      </c>
      <c r="E56" s="882">
        <f>+'Stock Rawmaterial'!E953</f>
        <v>46255</v>
      </c>
      <c r="F56" s="938">
        <f>+'Stock Rawmaterial'!F953</f>
        <v>6</v>
      </c>
      <c r="G56" s="1219">
        <f>+'Stock Rawmaterial'!G953</f>
        <v>22800</v>
      </c>
      <c r="H56" s="1219">
        <f>+'Stock Rawmaterial'!H953</f>
        <v>0</v>
      </c>
      <c r="I56" s="1219">
        <f>+'Stock Rawmaterial'!I953</f>
        <v>0</v>
      </c>
      <c r="J56" s="1219">
        <f>+'Stock Rawmaterial'!J953</f>
        <v>0</v>
      </c>
      <c r="K56" s="1219">
        <f>+'Stock Rawmaterial'!K953</f>
        <v>0</v>
      </c>
      <c r="L56" s="1219">
        <f>+'Stock Rawmaterial'!L953</f>
        <v>22800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1"/>
      <c r="B57" s="2019"/>
      <c r="C57" s="149" t="str">
        <f>'Stock Rawmaterial'!C954</f>
        <v>Silo</v>
      </c>
      <c r="D57" s="977" t="s">
        <v>10</v>
      </c>
      <c r="E57" s="851">
        <f>'Stock Rawmaterial'!E954</f>
        <v>44818</v>
      </c>
      <c r="F57" s="41" t="e">
        <f>#REF!-E57</f>
        <v>#REF!</v>
      </c>
      <c r="G57" s="1663"/>
      <c r="H57" s="1663"/>
      <c r="I57" s="140">
        <f>'Stock Rawmaterial'!G954</f>
        <v>0</v>
      </c>
      <c r="J57" s="140">
        <f>'Stock Rawmaterial'!H954</f>
        <v>0</v>
      </c>
      <c r="K57" s="140"/>
      <c r="L57" s="140">
        <f>'Stock Rawmaterial'!I954</f>
        <v>0</v>
      </c>
      <c r="M57" s="1803"/>
      <c r="N57" s="1557">
        <f>'Stock Rawmaterial'!J954</f>
        <v>0</v>
      </c>
      <c r="O57" s="1803">
        <f>'Stock Rawmaterial'!K954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1"/>
      <c r="B58" s="2019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2098.71</v>
      </c>
      <c r="K58" s="233">
        <f t="shared" si="5"/>
        <v>0</v>
      </c>
      <c r="L58" s="355">
        <f t="shared" si="5"/>
        <v>145896.87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6"/>
      <c r="B59" s="2199"/>
      <c r="C59" s="2308"/>
      <c r="D59" s="2309"/>
      <c r="E59" s="2310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22" t="s">
        <v>132</v>
      </c>
      <c r="B60" s="2023"/>
      <c r="C60" s="88"/>
      <c r="D60" s="864"/>
      <c r="E60" s="864"/>
      <c r="F60" s="865"/>
      <c r="G60" s="1586">
        <f t="shared" ref="G60:L60" si="6">SUM(G47:G56)</f>
        <v>147995.58000000002</v>
      </c>
      <c r="H60" s="1586">
        <f t="shared" si="6"/>
        <v>0</v>
      </c>
      <c r="I60" s="1586">
        <f t="shared" si="6"/>
        <v>0</v>
      </c>
      <c r="J60" s="1586">
        <f t="shared" si="6"/>
        <v>2098.71</v>
      </c>
      <c r="K60" s="1586">
        <f t="shared" si="6"/>
        <v>0</v>
      </c>
      <c r="L60" s="1586">
        <f t="shared" si="6"/>
        <v>145896.87</v>
      </c>
      <c r="M60" s="133">
        <f>'Stock Rawmaterial'!M955</f>
        <v>1975.1633333333332</v>
      </c>
      <c r="N60" s="1546">
        <f>'Stock Rawmaterial'!N955</f>
        <v>73.865724184835344</v>
      </c>
      <c r="O60" s="133">
        <f>'Stock Rawmaterial'!O955</f>
        <v>2305.666666666667</v>
      </c>
      <c r="P60" s="1546">
        <f>'Stock Rawmaterial'!P955</f>
        <v>63.277520601416789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66">
        <v>8</v>
      </c>
      <c r="B61" s="2018" t="s">
        <v>496</v>
      </c>
      <c r="C61" s="143">
        <f>+'Stock Rawmaterial'!C959</f>
        <v>0</v>
      </c>
      <c r="D61" s="881" t="s">
        <v>10</v>
      </c>
      <c r="E61" s="882">
        <f>+'Stock Rawmaterial'!E959</f>
        <v>45807</v>
      </c>
      <c r="F61" s="938">
        <f>+'Stock Rawmaterial'!F959</f>
        <v>454</v>
      </c>
      <c r="G61" s="1705">
        <f>+'Stock Rawmaterial'!G959</f>
        <v>0</v>
      </c>
      <c r="H61" s="1219">
        <f>+'Stock Rawmaterial'!H959</f>
        <v>0</v>
      </c>
      <c r="I61" s="1219">
        <f>+'Stock Rawmaterial'!I959</f>
        <v>0</v>
      </c>
      <c r="J61" s="1219">
        <f>+'Stock Rawmaterial'!J959</f>
        <v>0</v>
      </c>
      <c r="K61" s="1219">
        <f>+'Stock Rawmaterial'!K959</f>
        <v>0</v>
      </c>
      <c r="L61" s="1705">
        <f>+'Stock Rawmaterial'!L959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1"/>
      <c r="B62" s="2019"/>
      <c r="C62" s="143">
        <f>+'Stock Rawmaterial'!C960</f>
        <v>0</v>
      </c>
      <c r="D62" s="881" t="s">
        <v>10</v>
      </c>
      <c r="E62" s="882">
        <f>+'Stock Rawmaterial'!E960</f>
        <v>45834</v>
      </c>
      <c r="F62" s="938">
        <f>+'Stock Rawmaterial'!F960</f>
        <v>427</v>
      </c>
      <c r="G62" s="1705">
        <f>+'Stock Rawmaterial'!G960</f>
        <v>0</v>
      </c>
      <c r="H62" s="1219">
        <f>+'Stock Rawmaterial'!H960</f>
        <v>0</v>
      </c>
      <c r="I62" s="1219">
        <f>+'Stock Rawmaterial'!I960</f>
        <v>0</v>
      </c>
      <c r="J62" s="1219">
        <f>+'Stock Rawmaterial'!J960</f>
        <v>0</v>
      </c>
      <c r="K62" s="1219">
        <f>+'Stock Rawmaterial'!K960</f>
        <v>0</v>
      </c>
      <c r="L62" s="1705">
        <f>+'Stock Rawmaterial'!L960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81"/>
      <c r="B63" s="2020"/>
      <c r="C63" s="143" t="str">
        <f>+'Stock Rawmaterial'!C961</f>
        <v>B14.3</v>
      </c>
      <c r="D63" s="881" t="s">
        <v>10</v>
      </c>
      <c r="E63" s="882">
        <f>+'Stock Rawmaterial'!E961</f>
        <v>46233</v>
      </c>
      <c r="F63" s="938">
        <f>+'Stock Rawmaterial'!F961</f>
        <v>28</v>
      </c>
      <c r="G63" s="1219">
        <f>+'Stock Rawmaterial'!G961</f>
        <v>10000</v>
      </c>
      <c r="H63" s="1219">
        <f>+'Stock Rawmaterial'!H961</f>
        <v>0</v>
      </c>
      <c r="I63" s="1219">
        <f>+'Stock Rawmaterial'!I961</f>
        <v>0</v>
      </c>
      <c r="J63" s="1219">
        <f>+'Stock Rawmaterial'!J961</f>
        <v>0</v>
      </c>
      <c r="K63" s="1219">
        <f>+'Stock Rawmaterial'!K961</f>
        <v>0</v>
      </c>
      <c r="L63" s="1705">
        <f>+'Stock Rawmaterial'!L961</f>
        <v>10000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hidden="1" customHeight="1" x14ac:dyDescent="0.2">
      <c r="A64" s="2081"/>
      <c r="B64" s="2019"/>
      <c r="C64" s="143" t="str">
        <f>+'Stock Rawmaterial'!C962</f>
        <v>B15.1</v>
      </c>
      <c r="D64" s="881" t="s">
        <v>10</v>
      </c>
      <c r="E64" s="882">
        <f>+'Stock Rawmaterial'!E962</f>
        <v>46261</v>
      </c>
      <c r="F64" s="938">
        <f>+'Stock Rawmaterial'!F962</f>
        <v>0</v>
      </c>
      <c r="G64" s="1219">
        <f>+'Stock Rawmaterial'!G962</f>
        <v>0</v>
      </c>
      <c r="H64" s="1219">
        <f>+'Stock Rawmaterial'!H962</f>
        <v>24000</v>
      </c>
      <c r="I64" s="1219">
        <f>+'Stock Rawmaterial'!I962</f>
        <v>0</v>
      </c>
      <c r="J64" s="1219">
        <f>+'Stock Rawmaterial'!J962</f>
        <v>0</v>
      </c>
      <c r="K64" s="1219">
        <f>+'Stock Rawmaterial'!K962</f>
        <v>0</v>
      </c>
      <c r="L64" s="1219">
        <f>+'Stock Rawmaterial'!L962</f>
        <v>24000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1"/>
      <c r="B65" s="2019"/>
      <c r="C65" s="143">
        <f>+'Stock Rawmaterial'!C963</f>
        <v>0</v>
      </c>
      <c r="D65" s="881" t="s">
        <v>10</v>
      </c>
      <c r="E65" s="882">
        <f>+'Stock Rawmaterial'!E963</f>
        <v>46058</v>
      </c>
      <c r="F65" s="938">
        <f>+'Stock Rawmaterial'!F963</f>
        <v>203</v>
      </c>
      <c r="G65" s="1219">
        <f>+'Stock Rawmaterial'!G963</f>
        <v>0</v>
      </c>
      <c r="H65" s="1219">
        <f>+'Stock Rawmaterial'!H963</f>
        <v>0</v>
      </c>
      <c r="I65" s="1219">
        <f>+'Stock Rawmaterial'!I963</f>
        <v>0</v>
      </c>
      <c r="J65" s="1219">
        <f>+'Stock Rawmaterial'!J963</f>
        <v>0</v>
      </c>
      <c r="K65" s="1219">
        <f>+'Stock Rawmaterial'!K963</f>
        <v>0</v>
      </c>
      <c r="L65" s="1219">
        <f>+'Stock Rawmaterial'!L963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067"/>
      <c r="B66" s="2019"/>
      <c r="C66" s="149" t="str">
        <f>+'Stock Rawmaterial'!C964</f>
        <v>LA1</v>
      </c>
      <c r="D66" s="881" t="s">
        <v>10</v>
      </c>
      <c r="E66" s="882">
        <f>+'Stock Rawmaterial'!E964</f>
        <v>46233</v>
      </c>
      <c r="F66" s="938">
        <f>+'Stock Rawmaterial'!F964</f>
        <v>28</v>
      </c>
      <c r="G66" s="1219">
        <f>+'Stock Rawmaterial'!G964</f>
        <v>24917.399999999994</v>
      </c>
      <c r="H66" s="1219">
        <f>+'Stock Rawmaterial'!H964</f>
        <v>0</v>
      </c>
      <c r="I66" s="1219">
        <f>+'Stock Rawmaterial'!I964</f>
        <v>0</v>
      </c>
      <c r="J66" s="1219">
        <f>+'Stock Rawmaterial'!J964</f>
        <v>356.2</v>
      </c>
      <c r="K66" s="1219">
        <f>+'Stock Rawmaterial'!K964</f>
        <v>0</v>
      </c>
      <c r="L66" s="1219">
        <f>+'Stock Rawmaterial'!L964</f>
        <v>24561.199999999993</v>
      </c>
      <c r="M66" s="1800"/>
      <c r="N66" s="1561"/>
      <c r="O66" s="1800">
        <f>+'Stock Rawmaterial'!K964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22" t="s">
        <v>498</v>
      </c>
      <c r="B67" s="2023"/>
      <c r="C67" s="983"/>
      <c r="D67" s="864"/>
      <c r="E67" s="864"/>
      <c r="F67" s="865"/>
      <c r="G67" s="1586">
        <f>SUM(G61:G66)</f>
        <v>34917.399999999994</v>
      </c>
      <c r="H67" s="1586">
        <f t="shared" ref="H67:L67" si="7">SUM(H61:H66)</f>
        <v>24000</v>
      </c>
      <c r="I67" s="1586">
        <f t="shared" si="7"/>
        <v>0</v>
      </c>
      <c r="J67" s="1586">
        <f t="shared" si="7"/>
        <v>356.2</v>
      </c>
      <c r="K67" s="1586">
        <f t="shared" si="7"/>
        <v>0</v>
      </c>
      <c r="L67" s="1586">
        <f t="shared" si="7"/>
        <v>58561.2</v>
      </c>
      <c r="M67" s="133">
        <f>'Stock Rawmaterial'!M965</f>
        <v>1100.95</v>
      </c>
      <c r="N67" s="1546">
        <f>'Stock Rawmaterial'!N965</f>
        <v>53.191516417639306</v>
      </c>
      <c r="O67" s="133">
        <f>'Stock Rawmaterial'!O965</f>
        <v>1109.5</v>
      </c>
      <c r="P67" s="1546">
        <f>'Stock Rawmaterial'!P965</f>
        <v>52.781613339342044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4">
        <v>9</v>
      </c>
      <c r="B68" s="2313" t="s">
        <v>1359</v>
      </c>
      <c r="C68" s="143">
        <f>+'Stock Rawmaterial'!C990</f>
        <v>0</v>
      </c>
      <c r="D68" s="881" t="str">
        <f>+'Stock Rawmaterial'!D990</f>
        <v>Rec.</v>
      </c>
      <c r="E68" s="882">
        <f>+'Stock Rawmaterial'!E990</f>
        <v>45035</v>
      </c>
      <c r="F68" s="938">
        <f>+'Stock Rawmaterial'!F990</f>
        <v>1226</v>
      </c>
      <c r="G68" s="1219">
        <f>+'Stock Rawmaterial'!G990</f>
        <v>0</v>
      </c>
      <c r="H68" s="1219">
        <f>+'Stock Rawmaterial'!H990</f>
        <v>0</v>
      </c>
      <c r="I68" s="1219">
        <f>+'Stock Rawmaterial'!I990</f>
        <v>0</v>
      </c>
      <c r="J68" s="1219">
        <f>+'Stock Rawmaterial'!J990</f>
        <v>0</v>
      </c>
      <c r="K68" s="1219">
        <f>+'Stock Rawmaterial'!K990</f>
        <v>0</v>
      </c>
      <c r="L68" s="1219">
        <f>+'Stock Rawmaterial'!L990</f>
        <v>0</v>
      </c>
      <c r="M68" s="1806"/>
      <c r="N68" s="1565">
        <f>+'Stock Rawmaterial'!J990</f>
        <v>0</v>
      </c>
      <c r="O68" s="1806">
        <f>+'Stock Rawmaterial'!K990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25"/>
      <c r="B69" s="2031"/>
      <c r="C69" s="143" t="str">
        <f>+'Stock Rawmaterial'!C991</f>
        <v>ENZYME ROOM (H)</v>
      </c>
      <c r="D69" s="881" t="str">
        <f>+'Stock Rawmaterial'!D991</f>
        <v>Rec.</v>
      </c>
      <c r="E69" s="882">
        <f>+'Stock Rawmaterial'!E991</f>
        <v>46190</v>
      </c>
      <c r="F69" s="938">
        <f>+'Stock Rawmaterial'!F991</f>
        <v>71</v>
      </c>
      <c r="G69" s="1705">
        <f>+'Stock Rawmaterial'!G991</f>
        <v>912</v>
      </c>
      <c r="H69" s="1219">
        <f>+'Stock Rawmaterial'!H991</f>
        <v>0</v>
      </c>
      <c r="I69" s="1219">
        <f>+'Stock Rawmaterial'!I991</f>
        <v>0</v>
      </c>
      <c r="J69" s="1219">
        <f>+'Stock Rawmaterial'!J991</f>
        <v>0</v>
      </c>
      <c r="K69" s="1219">
        <f>+'Stock Rawmaterial'!K991</f>
        <v>0</v>
      </c>
      <c r="L69" s="1705">
        <f>+'Stock Rawmaterial'!L991</f>
        <v>912</v>
      </c>
      <c r="M69" s="1806"/>
      <c r="N69" s="1565">
        <f>+'Stock Rawmaterial'!J991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25"/>
      <c r="B70" s="2031"/>
      <c r="C70" s="143" t="str">
        <f>+'Stock Rawmaterial'!C992</f>
        <v>ENZYME ROOM (H)</v>
      </c>
      <c r="D70" s="881" t="str">
        <f>+'Stock Rawmaterial'!D992</f>
        <v>Rec.</v>
      </c>
      <c r="E70" s="882">
        <f>+'Stock Rawmaterial'!E992</f>
        <v>46213</v>
      </c>
      <c r="F70" s="938">
        <f>+'Stock Rawmaterial'!F992</f>
        <v>48</v>
      </c>
      <c r="G70" s="1705">
        <f>+'Stock Rawmaterial'!G992</f>
        <v>7296</v>
      </c>
      <c r="H70" s="1219">
        <f>+'Stock Rawmaterial'!H992</f>
        <v>0</v>
      </c>
      <c r="I70" s="1219">
        <f>+'Stock Rawmaterial'!I992</f>
        <v>0</v>
      </c>
      <c r="J70" s="1219">
        <f>+'Stock Rawmaterial'!J992</f>
        <v>0</v>
      </c>
      <c r="K70" s="1219">
        <f>+'Stock Rawmaterial'!K992</f>
        <v>0</v>
      </c>
      <c r="L70" s="1705">
        <f>+'Stock Rawmaterial'!L992</f>
        <v>7296</v>
      </c>
      <c r="M70" s="1806"/>
      <c r="N70" s="1565">
        <f>+'Stock Rawmaterial'!J992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customHeight="1" x14ac:dyDescent="0.2">
      <c r="A71" s="2025"/>
      <c r="B71" s="2031"/>
      <c r="C71" s="143" t="str">
        <f>+'Stock Rawmaterial'!C993</f>
        <v>ENZYME ROOM (H)</v>
      </c>
      <c r="D71" s="881" t="str">
        <f>+'Stock Rawmaterial'!D993</f>
        <v>Rec.</v>
      </c>
      <c r="E71" s="882">
        <f>+'Stock Rawmaterial'!E993</f>
        <v>46247</v>
      </c>
      <c r="F71" s="938">
        <f>+'Stock Rawmaterial'!F993</f>
        <v>14</v>
      </c>
      <c r="G71" s="1705">
        <f>+'Stock Rawmaterial'!G993</f>
        <v>7296</v>
      </c>
      <c r="H71" s="1219">
        <f>+'Stock Rawmaterial'!H993</f>
        <v>0</v>
      </c>
      <c r="I71" s="1219">
        <f>+'Stock Rawmaterial'!I993</f>
        <v>0</v>
      </c>
      <c r="J71" s="1219">
        <f>+'Stock Rawmaterial'!J993</f>
        <v>0</v>
      </c>
      <c r="K71" s="1219">
        <f>+'Stock Rawmaterial'!K993</f>
        <v>0</v>
      </c>
      <c r="L71" s="1219">
        <f>+'Stock Rawmaterial'!L993</f>
        <v>7296</v>
      </c>
      <c r="M71" s="1806"/>
      <c r="N71" s="1565">
        <f>+'Stock Rawmaterial'!J993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25"/>
      <c r="B72" s="2031"/>
      <c r="C72" s="149" t="str">
        <f>+'Stock Rawmaterial'!C994</f>
        <v>LA10</v>
      </c>
      <c r="D72" s="881" t="str">
        <f>+'Stock Rawmaterial'!D994</f>
        <v>Rec.</v>
      </c>
      <c r="E72" s="882">
        <f>+'Stock Rawmaterial'!E994</f>
        <v>46190</v>
      </c>
      <c r="F72" s="938">
        <f>+'Stock Rawmaterial'!F994</f>
        <v>71</v>
      </c>
      <c r="G72" s="1219">
        <f>+'Stock Rawmaterial'!G994</f>
        <v>1696.08</v>
      </c>
      <c r="H72" s="1219">
        <f>+'Stock Rawmaterial'!H994</f>
        <v>0</v>
      </c>
      <c r="I72" s="1219">
        <f>+'Stock Rawmaterial'!I994</f>
        <v>0</v>
      </c>
      <c r="J72" s="1219">
        <f>+'Stock Rawmaterial'!J994</f>
        <v>256</v>
      </c>
      <c r="K72" s="1219">
        <f>+'Stock Rawmaterial'!K994</f>
        <v>0</v>
      </c>
      <c r="L72" s="1219">
        <f>+'Stock Rawmaterial'!L994</f>
        <v>1440.08</v>
      </c>
      <c r="M72" s="1799"/>
      <c r="N72" s="1563"/>
      <c r="O72" s="1799">
        <f>+'Stock Rawmaterial'!K994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22" t="s">
        <v>201</v>
      </c>
      <c r="B73" s="2023"/>
      <c r="C73" s="88"/>
      <c r="D73" s="864"/>
      <c r="E73" s="864"/>
      <c r="F73" s="865"/>
      <c r="G73" s="1586">
        <f>SUM(G68:G72)</f>
        <v>17200.080000000002</v>
      </c>
      <c r="H73" s="1586">
        <f t="shared" ref="H73:L73" si="8">SUM(H68:H72)</f>
        <v>0</v>
      </c>
      <c r="I73" s="1586">
        <f t="shared" si="8"/>
        <v>0</v>
      </c>
      <c r="J73" s="1586">
        <f t="shared" si="8"/>
        <v>256</v>
      </c>
      <c r="K73" s="1586">
        <f t="shared" si="8"/>
        <v>0</v>
      </c>
      <c r="L73" s="1586">
        <f t="shared" si="8"/>
        <v>16944.080000000002</v>
      </c>
      <c r="M73" s="133">
        <f>'Stock Rawmaterial'!M995</f>
        <v>293</v>
      </c>
      <c r="N73" s="1546">
        <f>'Stock Rawmaterial'!N995</f>
        <v>57.829624573378844</v>
      </c>
      <c r="O73" s="133">
        <f>'Stock Rawmaterial'!O995</f>
        <v>334.33333333333331</v>
      </c>
      <c r="P73" s="1546">
        <f>'Stock Rawmaterial'!P995</f>
        <v>50.680199401794624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4">
        <v>10</v>
      </c>
      <c r="B74" s="2027" t="s">
        <v>349</v>
      </c>
      <c r="C74" s="143">
        <f>+'Stock Rawmaterial'!C1094</f>
        <v>0</v>
      </c>
      <c r="D74" s="881" t="str">
        <f>+'Stock Rawmaterial'!D1094</f>
        <v>Rec.</v>
      </c>
      <c r="E74" s="882">
        <f>+'Stock Rawmaterial'!E1094</f>
        <v>45953</v>
      </c>
      <c r="F74" s="938">
        <f>+'Stock Rawmaterial'!F1094</f>
        <v>308</v>
      </c>
      <c r="G74" s="1705">
        <f>+'Stock Rawmaterial'!G1094</f>
        <v>0</v>
      </c>
      <c r="H74" s="1219">
        <f>+'Stock Rawmaterial'!H1094</f>
        <v>0</v>
      </c>
      <c r="I74" s="1219">
        <f>+'Stock Rawmaterial'!I1094</f>
        <v>0</v>
      </c>
      <c r="J74" s="1219">
        <f>+'Stock Rawmaterial'!J1094</f>
        <v>0</v>
      </c>
      <c r="K74" s="1219">
        <f>+'Stock Rawmaterial'!K1094</f>
        <v>0</v>
      </c>
      <c r="L74" s="1705">
        <f>+'Stock Rawmaterial'!L1094</f>
        <v>0</v>
      </c>
      <c r="M74" s="1807"/>
      <c r="N74" s="1562">
        <f>+'Stock Rawmaterial'!J1094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5"/>
      <c r="B75" s="2028"/>
      <c r="C75" s="143">
        <f>+'Stock Rawmaterial'!C1095</f>
        <v>0</v>
      </c>
      <c r="D75" s="881" t="str">
        <f>+'Stock Rawmaterial'!D1095</f>
        <v>Rec.</v>
      </c>
      <c r="E75" s="882">
        <f>+'Stock Rawmaterial'!E1095</f>
        <v>45999</v>
      </c>
      <c r="F75" s="938">
        <f>+'Stock Rawmaterial'!F1095</f>
        <v>262</v>
      </c>
      <c r="G75" s="1705">
        <f>+'Stock Rawmaterial'!G1095</f>
        <v>0</v>
      </c>
      <c r="H75" s="1219">
        <f>+'Stock Rawmaterial'!H1095</f>
        <v>0</v>
      </c>
      <c r="I75" s="1219">
        <f>+'Stock Rawmaterial'!I1095</f>
        <v>0</v>
      </c>
      <c r="J75" s="1219">
        <f>+'Stock Rawmaterial'!J1095</f>
        <v>0</v>
      </c>
      <c r="K75" s="1219">
        <f>+'Stock Rawmaterial'!K1095</f>
        <v>0</v>
      </c>
      <c r="L75" s="1705">
        <f>+'Stock Rawmaterial'!L1095</f>
        <v>0</v>
      </c>
      <c r="M75" s="1807"/>
      <c r="N75" s="1562">
        <f>+'Stock Rawmaterial'!J1095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5"/>
      <c r="B76" s="2028"/>
      <c r="C76" s="143" t="str">
        <f>+'Stock Rawmaterial'!C1096</f>
        <v>A15.1</v>
      </c>
      <c r="D76" s="881" t="str">
        <f>+'Stock Rawmaterial'!D1096</f>
        <v>Rec.</v>
      </c>
      <c r="E76" s="882">
        <f>+'Stock Rawmaterial'!E1096</f>
        <v>46205</v>
      </c>
      <c r="F76" s="938">
        <f>+'Stock Rawmaterial'!F1096</f>
        <v>56</v>
      </c>
      <c r="G76" s="1705">
        <f>+'Stock Rawmaterial'!G1096</f>
        <v>9900</v>
      </c>
      <c r="H76" s="1705">
        <f>+'Stock Rawmaterial'!H1096</f>
        <v>0</v>
      </c>
      <c r="I76" s="1705">
        <f>+'Stock Rawmaterial'!I1096</f>
        <v>0</v>
      </c>
      <c r="J76" s="1705">
        <f>+'Stock Rawmaterial'!J1096</f>
        <v>0</v>
      </c>
      <c r="K76" s="1705">
        <f>+'Stock Rawmaterial'!K1096</f>
        <v>0</v>
      </c>
      <c r="L76" s="1705">
        <f>+'Stock Rawmaterial'!L1096</f>
        <v>9900</v>
      </c>
      <c r="M76" s="1807"/>
      <c r="N76" s="1562">
        <f>+'Stock Rawmaterial'!J1096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5"/>
      <c r="B77" s="2028"/>
      <c r="C77" s="143" t="str">
        <f>+'Stock Rawmaterial'!C1097</f>
        <v>A15.1</v>
      </c>
      <c r="D77" s="881" t="str">
        <f>+'Stock Rawmaterial'!D1097</f>
        <v>Rec.</v>
      </c>
      <c r="E77" s="882">
        <f>+'Stock Rawmaterial'!E1097</f>
        <v>46233</v>
      </c>
      <c r="F77" s="938">
        <f>+'Stock Rawmaterial'!F1097</f>
        <v>28</v>
      </c>
      <c r="G77" s="1705">
        <f>+'Stock Rawmaterial'!G1097</f>
        <v>16200</v>
      </c>
      <c r="H77" s="1219">
        <f>+'Stock Rawmaterial'!H1097</f>
        <v>0</v>
      </c>
      <c r="I77" s="1219">
        <f>+'Stock Rawmaterial'!I1097</f>
        <v>0</v>
      </c>
      <c r="J77" s="1219">
        <f>+'Stock Rawmaterial'!J1097</f>
        <v>0</v>
      </c>
      <c r="K77" s="1219">
        <f>+'Stock Rawmaterial'!K1097</f>
        <v>0</v>
      </c>
      <c r="L77" s="1219">
        <f>+'Stock Rawmaterial'!L1097</f>
        <v>16200</v>
      </c>
      <c r="M77" s="1807"/>
      <c r="N77" s="1562">
        <f>+'Stock Rawmaterial'!J1097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5"/>
      <c r="B78" s="2028"/>
      <c r="C78" s="143">
        <f>+'Stock Rawmaterial'!C1098</f>
        <v>0</v>
      </c>
      <c r="D78" s="881" t="str">
        <f>+'Stock Rawmaterial'!D1098</f>
        <v>Rec.</v>
      </c>
      <c r="E78" s="882">
        <f>+'Stock Rawmaterial'!E1098</f>
        <v>46233</v>
      </c>
      <c r="F78" s="938">
        <f>+'Stock Rawmaterial'!F1098</f>
        <v>28</v>
      </c>
      <c r="G78" s="1705">
        <f>+'Stock Rawmaterial'!G1098</f>
        <v>0</v>
      </c>
      <c r="H78" s="1219">
        <f>+'Stock Rawmaterial'!H1098</f>
        <v>0</v>
      </c>
      <c r="I78" s="1219">
        <f>+'Stock Rawmaterial'!I1098</f>
        <v>0</v>
      </c>
      <c r="J78" s="1219">
        <f>+'Stock Rawmaterial'!J1098</f>
        <v>0</v>
      </c>
      <c r="K78" s="1219">
        <f>+'Stock Rawmaterial'!K1098</f>
        <v>0</v>
      </c>
      <c r="L78" s="1219">
        <f>+'Stock Rawmaterial'!L1098</f>
        <v>0</v>
      </c>
      <c r="M78" s="1807"/>
      <c r="N78" s="1562">
        <f>+'Stock Rawmaterial'!J1098</f>
        <v>0</v>
      </c>
      <c r="O78" s="1807">
        <f>+'Stock Rawmaterial'!K1098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6"/>
      <c r="B79" s="2029"/>
      <c r="C79" s="149" t="str">
        <f>+'Stock Rawmaterial'!C1099</f>
        <v>LA8</v>
      </c>
      <c r="D79" s="881" t="str">
        <f>+'Stock Rawmaterial'!D1099</f>
        <v>Rec.</v>
      </c>
      <c r="E79" s="882">
        <f>+'Stock Rawmaterial'!E1099</f>
        <v>46205</v>
      </c>
      <c r="F79" s="938">
        <f>+'Stock Rawmaterial'!F1099</f>
        <v>56</v>
      </c>
      <c r="G79" s="1219">
        <f>+'Stock Rawmaterial'!G1099</f>
        <v>869.20000000000027</v>
      </c>
      <c r="H79" s="1219">
        <f>+'Stock Rawmaterial'!H1099</f>
        <v>0</v>
      </c>
      <c r="I79" s="1219">
        <f>+'Stock Rawmaterial'!I1099</f>
        <v>0</v>
      </c>
      <c r="J79" s="1219">
        <f>+'Stock Rawmaterial'!J1099</f>
        <v>203.5</v>
      </c>
      <c r="K79" s="1219">
        <f>+'Stock Rawmaterial'!K1099</f>
        <v>0</v>
      </c>
      <c r="L79" s="1219">
        <f>+'Stock Rawmaterial'!L1099</f>
        <v>665.70000000000027</v>
      </c>
      <c r="M79" s="43"/>
      <c r="N79" s="1538"/>
      <c r="O79" s="43">
        <f>+'Stock Rawmaterial'!K1099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22" t="s">
        <v>329</v>
      </c>
      <c r="B80" s="2023"/>
      <c r="C80" s="88"/>
      <c r="D80" s="864"/>
      <c r="E80" s="864"/>
      <c r="F80" s="865"/>
      <c r="G80" s="1586">
        <f>SUM(G74:G79)</f>
        <v>26969.200000000001</v>
      </c>
      <c r="H80" s="1586">
        <f t="shared" ref="H80:L80" si="9">SUM(H74:H79)</f>
        <v>0</v>
      </c>
      <c r="I80" s="1586">
        <f t="shared" si="9"/>
        <v>0</v>
      </c>
      <c r="J80" s="1586">
        <f t="shared" si="9"/>
        <v>203.5</v>
      </c>
      <c r="K80" s="1586">
        <f t="shared" si="9"/>
        <v>0</v>
      </c>
      <c r="L80" s="1586">
        <f t="shared" si="9"/>
        <v>26765.7</v>
      </c>
      <c r="M80" s="133">
        <f>'Stock Rawmaterial'!M1100</f>
        <v>325.71666666666664</v>
      </c>
      <c r="N80" s="1546">
        <f>'Stock Rawmaterial'!N1100</f>
        <v>82.174794043903191</v>
      </c>
      <c r="O80" s="133">
        <f>'Stock Rawmaterial'!O1100</f>
        <v>359.16666666666663</v>
      </c>
      <c r="P80" s="1546">
        <f>'Stock Rawmaterial'!P1100</f>
        <v>74.521670533642705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4">
        <v>11</v>
      </c>
      <c r="B81" s="2027" t="s">
        <v>516</v>
      </c>
      <c r="C81" s="143" t="str">
        <f>'Stock Rawmaterial'!C1298</f>
        <v>A15.2</v>
      </c>
      <c r="D81" s="881" t="s">
        <v>10</v>
      </c>
      <c r="E81" s="882">
        <f>'Stock Rawmaterial'!E1298</f>
        <v>46178</v>
      </c>
      <c r="F81" s="938">
        <f>'Stock Rawmaterial'!F1298</f>
        <v>83</v>
      </c>
      <c r="G81" s="1705">
        <f>'Stock Rawmaterial'!G1298</f>
        <v>8000</v>
      </c>
      <c r="H81" s="1219">
        <f>'Stock Rawmaterial'!H1298</f>
        <v>0</v>
      </c>
      <c r="I81" s="1219">
        <f>'Stock Rawmaterial'!I1298</f>
        <v>0</v>
      </c>
      <c r="J81" s="1219">
        <f>'Stock Rawmaterial'!J1298</f>
        <v>0</v>
      </c>
      <c r="K81" s="1219">
        <f>'Stock Rawmaterial'!K1298</f>
        <v>0</v>
      </c>
      <c r="L81" s="1705">
        <f>'Stock Rawmaterial'!L1298</f>
        <v>8000</v>
      </c>
      <c r="M81" s="1806"/>
      <c r="N81" s="1566">
        <f>'Stock Rawmaterial'!J1298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5"/>
      <c r="B82" s="2028"/>
      <c r="C82" s="143" t="str">
        <f>'Stock Rawmaterial'!C1299</f>
        <v>A15.2</v>
      </c>
      <c r="D82" s="881" t="s">
        <v>10</v>
      </c>
      <c r="E82" s="882">
        <f>'Stock Rawmaterial'!E1299</f>
        <v>46241</v>
      </c>
      <c r="F82" s="938">
        <f>'Stock Rawmaterial'!F1299</f>
        <v>20</v>
      </c>
      <c r="G82" s="1705">
        <f>'Stock Rawmaterial'!G1299</f>
        <v>10000</v>
      </c>
      <c r="H82" s="1219">
        <f>'Stock Rawmaterial'!H1299</f>
        <v>0</v>
      </c>
      <c r="I82" s="1219">
        <f>'Stock Rawmaterial'!I1299</f>
        <v>0</v>
      </c>
      <c r="J82" s="1219">
        <f>'Stock Rawmaterial'!J1299</f>
        <v>0</v>
      </c>
      <c r="K82" s="1219">
        <f>'Stock Rawmaterial'!K1299</f>
        <v>0</v>
      </c>
      <c r="L82" s="1705">
        <f>'Stock Rawmaterial'!L1299</f>
        <v>10000</v>
      </c>
      <c r="M82" s="1806"/>
      <c r="N82" s="1566">
        <f>'Stock Rawmaterial'!J1299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5"/>
      <c r="B83" s="2028"/>
      <c r="C83" s="143">
        <f>'Stock Rawmaterial'!C1300</f>
        <v>0</v>
      </c>
      <c r="D83" s="881" t="s">
        <v>10</v>
      </c>
      <c r="E83" s="882">
        <f>'Stock Rawmaterial'!E1300</f>
        <v>45839</v>
      </c>
      <c r="F83" s="938">
        <f>'Stock Rawmaterial'!F1300</f>
        <v>422</v>
      </c>
      <c r="G83" s="1705">
        <f>'Stock Rawmaterial'!G1300</f>
        <v>0</v>
      </c>
      <c r="H83" s="1219">
        <f>'Stock Rawmaterial'!H1300</f>
        <v>0</v>
      </c>
      <c r="I83" s="1219">
        <f>'Stock Rawmaterial'!I1300</f>
        <v>0</v>
      </c>
      <c r="J83" s="1219">
        <f>'Stock Rawmaterial'!J1300</f>
        <v>0</v>
      </c>
      <c r="K83" s="1219">
        <f>'Stock Rawmaterial'!K1300</f>
        <v>0</v>
      </c>
      <c r="L83" s="1219">
        <f>'Stock Rawmaterial'!L1300</f>
        <v>0</v>
      </c>
      <c r="M83" s="1806"/>
      <c r="N83" s="1566">
        <f>'Stock Rawmaterial'!J1300</f>
        <v>0</v>
      </c>
      <c r="O83" s="1807">
        <f>'Stock Rawmaterial'!K1300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5"/>
      <c r="B84" s="2028"/>
      <c r="C84" s="149" t="str">
        <f>'Stock Rawmaterial'!C1301</f>
        <v>LA9</v>
      </c>
      <c r="D84" s="881" t="s">
        <v>10</v>
      </c>
      <c r="E84" s="882">
        <f>'Stock Rawmaterial'!E1301</f>
        <v>46178</v>
      </c>
      <c r="F84" s="938">
        <f>'Stock Rawmaterial'!F1301</f>
        <v>83</v>
      </c>
      <c r="G84" s="1219">
        <f>'Stock Rawmaterial'!G1301</f>
        <v>1670.7800000000002</v>
      </c>
      <c r="H84" s="1219">
        <f>'Stock Rawmaterial'!H1301</f>
        <v>0</v>
      </c>
      <c r="I84" s="1219">
        <f>'Stock Rawmaterial'!I1301</f>
        <v>0</v>
      </c>
      <c r="J84" s="1219">
        <f>'Stock Rawmaterial'!J1301</f>
        <v>24.3</v>
      </c>
      <c r="K84" s="1219">
        <f>'Stock Rawmaterial'!K1301</f>
        <v>0</v>
      </c>
      <c r="L84" s="1219">
        <f>'Stock Rawmaterial'!L1301</f>
        <v>1646.4800000000002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2"/>
      <c r="B85" s="2023"/>
      <c r="C85" s="88"/>
      <c r="D85" s="864"/>
      <c r="E85" s="864"/>
      <c r="F85" s="865"/>
      <c r="G85" s="1586">
        <f>SUM(G81:G84)</f>
        <v>19670.78</v>
      </c>
      <c r="H85" s="1586">
        <f t="shared" ref="H85:L85" si="10">SUM(H81:H84)</f>
        <v>0</v>
      </c>
      <c r="I85" s="1586">
        <f t="shared" si="10"/>
        <v>0</v>
      </c>
      <c r="J85" s="1586">
        <f t="shared" si="10"/>
        <v>24.3</v>
      </c>
      <c r="K85" s="1586">
        <f t="shared" si="10"/>
        <v>0</v>
      </c>
      <c r="L85" s="1586">
        <f t="shared" si="10"/>
        <v>19646.48</v>
      </c>
      <c r="M85" s="133">
        <f>'Stock Rawmaterial'!M1302</f>
        <v>48.333333333333336</v>
      </c>
      <c r="N85" s="1546">
        <f>'Stock Rawmaterial'!N1302</f>
        <v>406.47889655172412</v>
      </c>
      <c r="O85" s="133">
        <f>'Stock Rawmaterial'!O1302</f>
        <v>4</v>
      </c>
      <c r="P85" s="1546">
        <f>'Stock Rawmaterial'!P1302</f>
        <v>4911.62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4">
        <v>12</v>
      </c>
      <c r="B86" s="2027" t="s">
        <v>1311</v>
      </c>
      <c r="C86" s="143">
        <f>'Stock Rawmaterial'!C664</f>
        <v>0</v>
      </c>
      <c r="D86" s="881" t="str">
        <f>'Stock Rawmaterial'!D664</f>
        <v>Rec.</v>
      </c>
      <c r="E86" s="882">
        <f>'Stock Rawmaterial'!E664</f>
        <v>45281</v>
      </c>
      <c r="F86" s="938">
        <f>'Stock Rawmaterial'!F664</f>
        <v>980</v>
      </c>
      <c r="G86" s="1219">
        <f>'Stock Rawmaterial'!G664</f>
        <v>0</v>
      </c>
      <c r="H86" s="1219">
        <f>'Stock Rawmaterial'!H664</f>
        <v>0</v>
      </c>
      <c r="I86" s="1219">
        <f>'Stock Rawmaterial'!I664</f>
        <v>0</v>
      </c>
      <c r="J86" s="1219">
        <f>'Stock Rawmaterial'!J664</f>
        <v>0</v>
      </c>
      <c r="K86" s="1219">
        <f>'Stock Rawmaterial'!K664</f>
        <v>0</v>
      </c>
      <c r="L86" s="1219">
        <f>'Stock Rawmaterial'!L664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5"/>
      <c r="B87" s="2028"/>
      <c r="C87" s="149" t="str">
        <f>'Stock Rawmaterial'!C665</f>
        <v>LA5</v>
      </c>
      <c r="D87" s="881" t="str">
        <f>'Stock Rawmaterial'!D665</f>
        <v>Rec.</v>
      </c>
      <c r="E87" s="882">
        <f>'Stock Rawmaterial'!E665</f>
        <v>46230</v>
      </c>
      <c r="F87" s="938">
        <f>'Stock Rawmaterial'!F665</f>
        <v>31</v>
      </c>
      <c r="G87" s="1219">
        <f>'Stock Rawmaterial'!G665</f>
        <v>22060.04</v>
      </c>
      <c r="H87" s="1219">
        <f>'Stock Rawmaterial'!H665</f>
        <v>0</v>
      </c>
      <c r="I87" s="1219">
        <f>'Stock Rawmaterial'!I665</f>
        <v>0</v>
      </c>
      <c r="J87" s="1219">
        <f>'Stock Rawmaterial'!J665</f>
        <v>0</v>
      </c>
      <c r="K87" s="1219">
        <f>'Stock Rawmaterial'!K665</f>
        <v>0</v>
      </c>
      <c r="L87" s="1219">
        <f>'Stock Rawmaterial'!L665</f>
        <v>22060.04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5"/>
      <c r="B88" s="2028"/>
      <c r="C88" s="149" t="str">
        <f>'Stock Rawmaterial'!C666</f>
        <v>LA6</v>
      </c>
      <c r="D88" s="881" t="str">
        <f>'Stock Rawmaterial'!D666</f>
        <v>Rec.</v>
      </c>
      <c r="E88" s="882">
        <f>'Stock Rawmaterial'!E666</f>
        <v>46220</v>
      </c>
      <c r="F88" s="938">
        <f>'Stock Rawmaterial'!F666</f>
        <v>41</v>
      </c>
      <c r="G88" s="1219">
        <f>'Stock Rawmaterial'!G666</f>
        <v>13848.860000000002</v>
      </c>
      <c r="H88" s="1219">
        <f>'Stock Rawmaterial'!H666</f>
        <v>0</v>
      </c>
      <c r="I88" s="1219">
        <f>'Stock Rawmaterial'!I666</f>
        <v>0</v>
      </c>
      <c r="J88" s="1219">
        <f>'Stock Rawmaterial'!J666</f>
        <v>1105.19</v>
      </c>
      <c r="K88" s="1219">
        <f>'Stock Rawmaterial'!K666</f>
        <v>0</v>
      </c>
      <c r="L88" s="1219">
        <f>'Stock Rawmaterial'!L666</f>
        <v>12743.670000000002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2" t="s">
        <v>1312</v>
      </c>
      <c r="B89" s="2023"/>
      <c r="C89" s="2023"/>
      <c r="D89" s="91"/>
      <c r="E89" s="91"/>
      <c r="F89" s="221"/>
      <c r="G89" s="1665">
        <f>SUM(G86:G88)</f>
        <v>35908.9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1105.19</v>
      </c>
      <c r="K89" s="1665">
        <f t="shared" si="11"/>
        <v>0</v>
      </c>
      <c r="L89" s="1665">
        <f t="shared" si="11"/>
        <v>34803.710000000006</v>
      </c>
      <c r="M89" s="133">
        <f>'Stock Rawmaterial'!M667</f>
        <v>884.26166666666666</v>
      </c>
      <c r="N89" s="1546">
        <f>'Stock Rawmaterial'!N667</f>
        <v>39.359062268521583</v>
      </c>
      <c r="O89" s="133">
        <f>'Stock Rawmaterial'!O667</f>
        <v>1742</v>
      </c>
      <c r="P89" s="1546">
        <f>'Stock Rawmaterial'!P667</f>
        <v>19.979167623421358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4">
        <v>13</v>
      </c>
      <c r="B90" s="2027" t="s">
        <v>1824</v>
      </c>
      <c r="C90" s="190" t="str">
        <f>'Stock Rawmaterial'!C626</f>
        <v>A16.2B</v>
      </c>
      <c r="D90" s="881" t="str">
        <f>'Stock Rawmaterial'!D668</f>
        <v>Rec.</v>
      </c>
      <c r="E90" s="19">
        <f>'Stock Rawmaterial'!E626</f>
        <v>46153</v>
      </c>
      <c r="F90" s="938">
        <f>'Stock Rawmaterial'!F626</f>
        <v>108</v>
      </c>
      <c r="G90" s="1969">
        <f>'Stock Rawmaterial'!G626</f>
        <v>24000</v>
      </c>
      <c r="H90" s="1969">
        <f>'Stock Rawmaterial'!H626</f>
        <v>0</v>
      </c>
      <c r="I90" s="1969">
        <f>'Stock Rawmaterial'!I626</f>
        <v>0</v>
      </c>
      <c r="J90" s="1969">
        <f>'Stock Rawmaterial'!J626</f>
        <v>0</v>
      </c>
      <c r="K90" s="1969">
        <f>'Stock Rawmaterial'!K626</f>
        <v>0</v>
      </c>
      <c r="L90" s="1969">
        <f>'Stock Rawmaterial'!L626</f>
        <v>24000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5"/>
      <c r="B91" s="2028"/>
      <c r="C91" s="190">
        <f>'Stock Rawmaterial'!C627</f>
        <v>0</v>
      </c>
      <c r="D91" s="881" t="str">
        <f>'Stock Rawmaterial'!D669</f>
        <v>Rec.</v>
      </c>
      <c r="E91" s="19">
        <f>'Stock Rawmaterial'!E627</f>
        <v>46153</v>
      </c>
      <c r="F91" s="1969">
        <f>'Stock Rawmaterial'!F627</f>
        <v>108</v>
      </c>
      <c r="G91" s="1969">
        <f>'Stock Rawmaterial'!G627</f>
        <v>0</v>
      </c>
      <c r="H91" s="1969">
        <f>'Stock Rawmaterial'!H627</f>
        <v>0</v>
      </c>
      <c r="I91" s="1969">
        <f>'Stock Rawmaterial'!I627</f>
        <v>0</v>
      </c>
      <c r="J91" s="1969">
        <f>'Stock Rawmaterial'!J627</f>
        <v>0</v>
      </c>
      <c r="K91" s="1969">
        <f>'Stock Rawmaterial'!K627</f>
        <v>0</v>
      </c>
      <c r="L91" s="1969">
        <f>'Stock Rawmaterial'!L627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5"/>
      <c r="B92" s="2028"/>
      <c r="C92" s="1975" t="str">
        <f>'Stock Rawmaterial'!C628</f>
        <v>FM</v>
      </c>
      <c r="D92" s="1093" t="str">
        <f>'Stock Rawmaterial'!D670</f>
        <v>Rec.</v>
      </c>
      <c r="E92" s="1976">
        <f>'Stock Rawmaterial'!E628</f>
        <v>46153</v>
      </c>
      <c r="F92" s="938">
        <f>'Stock Rawmaterial'!F628</f>
        <v>108</v>
      </c>
      <c r="G92" s="1977">
        <f>'Stock Rawmaterial'!G628</f>
        <v>2410.4999999999995</v>
      </c>
      <c r="H92" s="1977">
        <f>'Stock Rawmaterial'!H628</f>
        <v>0</v>
      </c>
      <c r="I92" s="1977">
        <f>'Stock Rawmaterial'!I628</f>
        <v>0</v>
      </c>
      <c r="J92" s="1977">
        <f>'Stock Rawmaterial'!J628</f>
        <v>78.5</v>
      </c>
      <c r="K92" s="1977">
        <f>'Stock Rawmaterial'!K628</f>
        <v>0</v>
      </c>
      <c r="L92" s="1977">
        <f>'Stock Rawmaterial'!L628</f>
        <v>2331.9999999999995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2" t="s">
        <v>1865</v>
      </c>
      <c r="B93" s="2023"/>
      <c r="C93" s="2023"/>
      <c r="D93" s="91"/>
      <c r="E93" s="91"/>
      <c r="F93" s="221"/>
      <c r="G93" s="1974">
        <f>+G92+G91+G90</f>
        <v>26410.5</v>
      </c>
      <c r="H93" s="1974">
        <f t="shared" ref="H93:L93" si="12">+H92+H91+H90</f>
        <v>0</v>
      </c>
      <c r="I93" s="1974">
        <f t="shared" si="12"/>
        <v>0</v>
      </c>
      <c r="J93" s="1974">
        <f t="shared" si="12"/>
        <v>78.5</v>
      </c>
      <c r="K93" s="1974">
        <f t="shared" si="12"/>
        <v>0</v>
      </c>
      <c r="L93" s="1974">
        <f t="shared" si="12"/>
        <v>26332</v>
      </c>
      <c r="M93" s="1978">
        <f>'Stock Rawmaterial'!M629</f>
        <v>241.95000000000002</v>
      </c>
      <c r="N93" s="1978">
        <f>'Stock Rawmaterial'!N629</f>
        <v>108.83240338912998</v>
      </c>
      <c r="O93" s="1978">
        <f>'Stock Rawmaterial'!O629</f>
        <v>358.66666666666669</v>
      </c>
      <c r="P93" s="1978">
        <f>'Stock Rawmaterial'!P629</f>
        <v>73.416356877323423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1" t="s">
        <v>468</v>
      </c>
      <c r="B94" s="2312"/>
      <c r="C94" s="2312"/>
      <c r="D94" s="2312"/>
      <c r="E94" s="2312"/>
      <c r="F94" s="2304">
        <f>G89+G85+G80+G73+G67+G60+G46+G40+G31+G29+G21+G18</f>
        <v>1292447.93</v>
      </c>
      <c r="G94" s="2305"/>
      <c r="H94" s="354"/>
      <c r="I94" s="211">
        <f>+I18+I21+I29+I31+I40+I46+I60+I73+I80+I67+I85+I93+I89</f>
        <v>0</v>
      </c>
      <c r="J94" s="211">
        <f>+J18+J21+J29+J31+J40+J46+J60+J73+J80+J67+J85+J93+J89</f>
        <v>56314.74</v>
      </c>
      <c r="K94" s="211">
        <f>+K18+K21+K29+K31+K40+K46+K60+K73+K80+K67+K85+K93+K89</f>
        <v>0</v>
      </c>
      <c r="L94" s="211">
        <f>+L18+L21+L29+L31+L40+L46+L60+L73+L80+L67+L85+L93+L89</f>
        <v>1318853.69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Rawmaterial'!L1302+'Stock Rawmaterial'!L1100+'Stock Rawmaterial'!L995+'Stock Rawmaterial'!L965+'Stock Rawmaterial'!L955+'Stock Rawmaterial'!L870+'Stock Rawmaterial'!L759+'Stock Rawmaterial'!L667+'Stock Rawmaterial'!L613+'Stock Rawmaterial'!L611+'Stock Rawmaterial'!L605+'Stock Rawmaterial'!L602+'Stock Rawmaterial'!L629</f>
        <v>1318853.69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4" t="s">
        <v>332</v>
      </c>
      <c r="B100" s="2184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4" t="s">
        <v>1472</v>
      </c>
      <c r="B101" s="2184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4" t="s">
        <v>1473</v>
      </c>
      <c r="B102" s="2184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1" t="s">
        <v>445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Q1" s="2151"/>
      <c r="R1" s="2151"/>
      <c r="S1" s="2151"/>
      <c r="T1" s="2151"/>
      <c r="U1" s="2151"/>
      <c r="V1" s="2151"/>
      <c r="W1" s="2151"/>
      <c r="X1" s="2151"/>
      <c r="Y1" s="2151"/>
      <c r="Z1" s="2151"/>
      <c r="AA1" s="2151"/>
      <c r="AB1" s="2151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2" t="s">
        <v>446</v>
      </c>
      <c r="B2" s="2332"/>
      <c r="C2" s="2332"/>
      <c r="D2" s="2332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2332"/>
      <c r="Q2" s="2332"/>
      <c r="R2" s="2332"/>
      <c r="S2" s="2332"/>
      <c r="T2" s="2332"/>
      <c r="U2" s="2332"/>
      <c r="V2" s="2332"/>
      <c r="W2" s="2332"/>
      <c r="X2" s="2332"/>
      <c r="Y2" s="2332"/>
      <c r="Z2" s="2332"/>
      <c r="AA2" s="2332"/>
      <c r="AB2" s="2332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46251</v>
      </c>
      <c r="AA3" s="328" t="s">
        <v>463</v>
      </c>
      <c r="AB3" s="722">
        <f>'Stock Rawmaterial'!P3</f>
        <v>46256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46258</v>
      </c>
      <c r="AA4" s="328" t="s">
        <v>463</v>
      </c>
      <c r="AB4" s="722">
        <f>'Stock Rawmaterial'!P4</f>
        <v>46263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71" t="s">
        <v>134</v>
      </c>
      <c r="D6" s="2171"/>
      <c r="E6" s="2171"/>
      <c r="F6" s="2171"/>
      <c r="G6" s="2171"/>
      <c r="H6" s="2171"/>
      <c r="I6" s="2171"/>
      <c r="J6" s="2171"/>
      <c r="K6" s="2171"/>
      <c r="L6" s="2171"/>
      <c r="M6" s="2171"/>
      <c r="N6" s="2171"/>
      <c r="O6" s="2171"/>
      <c r="P6" s="2171"/>
      <c r="Q6" s="2171"/>
      <c r="R6" s="2171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46261</v>
      </c>
      <c r="Y7" s="2176" t="s">
        <v>310</v>
      </c>
      <c r="Z7" s="2177"/>
      <c r="AA7" s="2174" t="s">
        <v>311</v>
      </c>
      <c r="AB7" s="2175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3" t="s">
        <v>307</v>
      </c>
      <c r="Z8" s="2334"/>
      <c r="AA8" s="2330" t="s">
        <v>307</v>
      </c>
      <c r="AB8" s="2331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3"/>
      <c r="B10" s="2153"/>
      <c r="C10" s="21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  <c r="O10" s="2153"/>
      <c r="P10" s="2153"/>
      <c r="Q10" s="2153"/>
      <c r="R10" s="2153"/>
      <c r="S10" s="2153"/>
      <c r="T10" s="2153"/>
      <c r="U10" s="2153"/>
      <c r="V10" s="2153"/>
      <c r="W10" s="2153"/>
      <c r="X10" s="2153"/>
      <c r="Y10" s="2153"/>
      <c r="Z10" s="2153"/>
      <c r="AA10" s="2153"/>
      <c r="AB10" s="2153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4" t="s">
        <v>0</v>
      </c>
      <c r="B12" s="652" t="s">
        <v>1</v>
      </c>
      <c r="C12" s="2316" t="s">
        <v>41</v>
      </c>
      <c r="D12" s="2318" t="s">
        <v>321</v>
      </c>
      <c r="E12" s="2319"/>
      <c r="F12" s="2322" t="s">
        <v>6</v>
      </c>
      <c r="G12" s="2324" t="s">
        <v>5</v>
      </c>
      <c r="H12" s="2325"/>
      <c r="I12" s="2324" t="s">
        <v>11</v>
      </c>
      <c r="J12" s="2325"/>
      <c r="K12" s="2326" t="s">
        <v>304</v>
      </c>
      <c r="L12" s="2327"/>
      <c r="M12" s="2326" t="s">
        <v>316</v>
      </c>
      <c r="N12" s="2327"/>
      <c r="O12" s="2326" t="s">
        <v>305</v>
      </c>
      <c r="P12" s="2327"/>
      <c r="Q12" s="2328" t="s">
        <v>307</v>
      </c>
      <c r="R12" s="2329"/>
      <c r="S12" s="2326" t="s">
        <v>315</v>
      </c>
      <c r="T12" s="2327"/>
      <c r="U12" s="2326" t="s">
        <v>306</v>
      </c>
      <c r="V12" s="2327"/>
      <c r="W12" s="2326" t="s">
        <v>12</v>
      </c>
      <c r="X12" s="2327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15"/>
      <c r="B13" s="656" t="s">
        <v>322</v>
      </c>
      <c r="C13" s="2317"/>
      <c r="D13" s="2320"/>
      <c r="E13" s="2321"/>
      <c r="F13" s="2323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86" t="e">
        <f>IF(X19=0,"",MAX(A13)+1)</f>
        <v>#REF!</v>
      </c>
      <c r="B14" s="2078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87"/>
      <c r="B15" s="2079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4"/>
      <c r="B16" s="2085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4"/>
      <c r="B17" s="2085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88"/>
      <c r="B18" s="2071"/>
      <c r="C18" s="1092" t="str">
        <f>'Stock Rawmaterial'!C1310</f>
        <v>Feedmill</v>
      </c>
      <c r="D18" s="1093" t="s">
        <v>10</v>
      </c>
      <c r="E18" s="1094">
        <f>'Stock Rawmaterial'!E1310</f>
        <v>46241</v>
      </c>
      <c r="F18" s="1095">
        <f t="shared" ref="F18:F124" si="0">$X$7-E18</f>
        <v>20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Rawmaterial'!H1310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Rawmaterial'!K1310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86" t="e">
        <f>IF(X25=0,"",MAX($A$14:A19)+1)</f>
        <v>#REF!</v>
      </c>
      <c r="B20" s="2078" t="s">
        <v>970</v>
      </c>
      <c r="C20" s="574">
        <f>'Stock Rawmaterial'!C1350</f>
        <v>0</v>
      </c>
      <c r="D20" s="881" t="s">
        <v>10</v>
      </c>
      <c r="E20" s="882">
        <f>'Stock Rawmaterial'!E1350</f>
        <v>44398</v>
      </c>
      <c r="F20" s="71">
        <f t="shared" si="0"/>
        <v>1863</v>
      </c>
      <c r="G20" s="71" t="e">
        <f>'Stock Rawmaterial'!#REF!</f>
        <v>#REF!</v>
      </c>
      <c r="H20" s="80">
        <f>'Stock Rawmaterial'!G1350</f>
        <v>0</v>
      </c>
      <c r="I20" s="318" t="e">
        <f>'Stock Rawmaterial'!#REF!</f>
        <v>#REF!</v>
      </c>
      <c r="J20" s="80">
        <f>'Stock Rawmaterial'!H1350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Rawmaterial'!I1350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Rawmaterial'!J1350</f>
        <v>0</v>
      </c>
      <c r="S20" s="287" t="e">
        <f>'Stock Rawmaterial'!#REF!</f>
        <v>#REF!</v>
      </c>
      <c r="T20" s="68">
        <f>'Stock Rawmaterial'!K1350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87"/>
      <c r="B21" s="2079"/>
      <c r="C21" s="574">
        <f>'Stock Rawmaterial'!C1351</f>
        <v>0</v>
      </c>
      <c r="D21" s="881" t="s">
        <v>10</v>
      </c>
      <c r="E21" s="882">
        <f>'Stock Rawmaterial'!E1351</f>
        <v>44398</v>
      </c>
      <c r="F21" s="71">
        <f t="shared" si="0"/>
        <v>1863</v>
      </c>
      <c r="G21" s="71" t="e">
        <f>'Stock Rawmaterial'!#REF!</f>
        <v>#REF!</v>
      </c>
      <c r="H21" s="80">
        <f>'Stock Rawmaterial'!G1351</f>
        <v>0</v>
      </c>
      <c r="I21" s="318" t="e">
        <f>'Stock Rawmaterial'!#REF!</f>
        <v>#REF!</v>
      </c>
      <c r="J21" s="80">
        <f>'Stock Rawmaterial'!H1351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Rawmaterial'!I1351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Rawmaterial'!J1351</f>
        <v>0</v>
      </c>
      <c r="S21" s="287" t="e">
        <f>'Stock Rawmaterial'!#REF!</f>
        <v>#REF!</v>
      </c>
      <c r="T21" s="68">
        <f>'Stock Rawmaterial'!K1351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87"/>
      <c r="B22" s="2079"/>
      <c r="C22" s="574" t="str">
        <f>'Stock Rawmaterial'!C1352</f>
        <v>Y4.1</v>
      </c>
      <c r="D22" s="881" t="s">
        <v>10</v>
      </c>
      <c r="E22" s="882">
        <f>'Stock Rawmaterial'!E1352</f>
        <v>44217</v>
      </c>
      <c r="F22" s="71">
        <f t="shared" si="0"/>
        <v>2044</v>
      </c>
      <c r="G22" s="71" t="e">
        <f>'Stock Rawmaterial'!#REF!</f>
        <v>#REF!</v>
      </c>
      <c r="H22" s="80">
        <f>'Stock Rawmaterial'!G1352</f>
        <v>0</v>
      </c>
      <c r="I22" s="318" t="e">
        <f>'Stock Rawmaterial'!#REF!</f>
        <v>#REF!</v>
      </c>
      <c r="J22" s="80">
        <f>'Stock Rawmaterial'!H1352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Rawmaterial'!I1352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Rawmaterial'!J1352</f>
        <v>0</v>
      </c>
      <c r="S22" s="287" t="e">
        <f>'Stock Rawmaterial'!#REF!</f>
        <v>#REF!</v>
      </c>
      <c r="T22" s="68">
        <f>'Stock Rawmaterial'!K1352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87"/>
      <c r="B23" s="2079"/>
      <c r="C23" s="574" t="str">
        <f>'Stock Rawmaterial'!C1353</f>
        <v>Y4.1</v>
      </c>
      <c r="D23" s="881" t="s">
        <v>10</v>
      </c>
      <c r="E23" s="882">
        <f>'Stock Rawmaterial'!E1353</f>
        <v>44217</v>
      </c>
      <c r="F23" s="71">
        <f t="shared" si="0"/>
        <v>2044</v>
      </c>
      <c r="G23" s="71" t="e">
        <f>'Stock Rawmaterial'!#REF!</f>
        <v>#REF!</v>
      </c>
      <c r="H23" s="80">
        <f>'Stock Rawmaterial'!G1353</f>
        <v>0</v>
      </c>
      <c r="I23" s="318" t="e">
        <f>'Stock Rawmaterial'!#REF!</f>
        <v>#REF!</v>
      </c>
      <c r="J23" s="80">
        <f>'Stock Rawmaterial'!H1353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Rawmaterial'!I1353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Rawmaterial'!J1353</f>
        <v>0</v>
      </c>
      <c r="S23" s="287" t="e">
        <f>'Stock Rawmaterial'!#REF!</f>
        <v>#REF!</v>
      </c>
      <c r="T23" s="68">
        <f>'Stock Rawmaterial'!K1353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88"/>
      <c r="B24" s="2071"/>
      <c r="C24" s="1092" t="str">
        <f>'Stock Rawmaterial'!C1354</f>
        <v>Feedmil</v>
      </c>
      <c r="D24" s="1093" t="s">
        <v>10</v>
      </c>
      <c r="E24" s="1094">
        <f>'Stock Rawmaterial'!E1354</f>
        <v>44398</v>
      </c>
      <c r="F24" s="1095">
        <f t="shared" si="0"/>
        <v>1863</v>
      </c>
      <c r="G24" s="1095" t="e">
        <f>'Stock Rawmaterial'!#REF!</f>
        <v>#REF!</v>
      </c>
      <c r="H24" s="626">
        <f>'Stock Rawmaterial'!G1354</f>
        <v>0</v>
      </c>
      <c r="I24" s="1096" t="e">
        <f>'Stock Rawmaterial'!#REF!</f>
        <v>#REF!</v>
      </c>
      <c r="J24" s="626">
        <f>'Stock Rawmaterial'!H1354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Rawmaterial'!I1354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Rawmaterial'!J1354</f>
        <v>0</v>
      </c>
      <c r="S24" s="629" t="e">
        <f>'Stock Rawmaterial'!#REF!</f>
        <v>#REF!</v>
      </c>
      <c r="T24" s="628">
        <f>'Stock Rawmaterial'!K1354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Rawmaterial'!M1355</f>
        <v/>
      </c>
      <c r="Z25" s="366">
        <f>IFERROR(X25/Y25,0)</f>
        <v>0</v>
      </c>
      <c r="AA25" s="59">
        <f>'Stock Rawmaterial'!O1355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86" t="e">
        <f>IF(X33=0,"",MAX($A$14:A25)+1)</f>
        <v>#REF!</v>
      </c>
      <c r="B26" s="2078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87"/>
      <c r="B27" s="2079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87"/>
      <c r="B28" s="2079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87"/>
      <c r="B29" s="2079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4"/>
      <c r="B30" s="2085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4"/>
      <c r="B31" s="2085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88"/>
      <c r="B32" s="2071"/>
      <c r="C32" s="1092"/>
      <c r="D32" s="1093"/>
      <c r="E32" s="1094"/>
      <c r="F32" s="1095">
        <f t="shared" si="0"/>
        <v>46261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86" t="e">
        <f>IF(X39=0,"",MAX($A$14:A33)+1)</f>
        <v>#REF!</v>
      </c>
      <c r="B34" s="2078" t="s">
        <v>897</v>
      </c>
      <c r="C34" s="574" t="str">
        <f>'Stock Rawmaterial'!C1364</f>
        <v>Z6.1</v>
      </c>
      <c r="D34" s="881" t="s">
        <v>10</v>
      </c>
      <c r="E34" s="882">
        <f>'Stock Rawmaterial'!E1364</f>
        <v>44790</v>
      </c>
      <c r="F34" s="71">
        <f t="shared" si="0"/>
        <v>1471</v>
      </c>
      <c r="G34" s="71" t="e">
        <f>'Stock Rawmaterial'!#REF!</f>
        <v>#REF!</v>
      </c>
      <c r="H34" s="80">
        <f>'Stock Rawmaterial'!G1364</f>
        <v>0</v>
      </c>
      <c r="I34" s="318" t="e">
        <f>'Stock Rawmaterial'!#REF!</f>
        <v>#REF!</v>
      </c>
      <c r="J34" s="80">
        <f>'Stock Rawmaterial'!H1364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Rawmaterial'!I1364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Rawmaterial'!J1364</f>
        <v>0</v>
      </c>
      <c r="S34" s="287" t="e">
        <f>'Stock Rawmaterial'!#REF!</f>
        <v>#REF!</v>
      </c>
      <c r="T34" s="68">
        <f>'Stock Rawmaterial'!K1364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87"/>
      <c r="B35" s="2079"/>
      <c r="C35" s="574">
        <f>'Stock Rawmaterial'!C1365</f>
        <v>0</v>
      </c>
      <c r="D35" s="881" t="s">
        <v>10</v>
      </c>
      <c r="E35" s="882">
        <f>'Stock Rawmaterial'!E1365</f>
        <v>0</v>
      </c>
      <c r="F35" s="71">
        <f t="shared" si="0"/>
        <v>46261</v>
      </c>
      <c r="G35" s="71" t="e">
        <f>'Stock Rawmaterial'!#REF!</f>
        <v>#REF!</v>
      </c>
      <c r="H35" s="80">
        <f>'Stock Rawmaterial'!G1365</f>
        <v>0</v>
      </c>
      <c r="I35" s="318" t="e">
        <f>'Stock Rawmaterial'!#REF!</f>
        <v>#REF!</v>
      </c>
      <c r="J35" s="80">
        <f>'Stock Rawmaterial'!H1365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Rawmaterial'!I1365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Rawmaterial'!J1365</f>
        <v>0</v>
      </c>
      <c r="S35" s="287" t="e">
        <f>'Stock Rawmaterial'!#REF!</f>
        <v>#REF!</v>
      </c>
      <c r="T35" s="68">
        <f>'Stock Rawmaterial'!K1365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87"/>
      <c r="B36" s="2079"/>
      <c r="C36" s="574">
        <f>'Stock Rawmaterial'!C1366</f>
        <v>0</v>
      </c>
      <c r="D36" s="881" t="s">
        <v>10</v>
      </c>
      <c r="E36" s="882">
        <f>'Stock Rawmaterial'!E1366</f>
        <v>0</v>
      </c>
      <c r="F36" s="71">
        <f t="shared" si="0"/>
        <v>46261</v>
      </c>
      <c r="G36" s="71" t="e">
        <f>'Stock Rawmaterial'!#REF!</f>
        <v>#REF!</v>
      </c>
      <c r="H36" s="80">
        <f>'Stock Rawmaterial'!G1366</f>
        <v>0</v>
      </c>
      <c r="I36" s="318" t="e">
        <f>'Stock Rawmaterial'!#REF!</f>
        <v>#REF!</v>
      </c>
      <c r="J36" s="80">
        <f>'Stock Rawmaterial'!H1366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Rawmaterial'!I1366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Rawmaterial'!J1366</f>
        <v>0</v>
      </c>
      <c r="S36" s="287" t="e">
        <f>'Stock Rawmaterial'!#REF!</f>
        <v>#REF!</v>
      </c>
      <c r="T36" s="68">
        <f>'Stock Rawmaterial'!K1366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87"/>
      <c r="B37" s="2079"/>
      <c r="C37" s="574">
        <f>'Stock Rawmaterial'!C1367</f>
        <v>0</v>
      </c>
      <c r="D37" s="881" t="s">
        <v>10</v>
      </c>
      <c r="E37" s="882">
        <f>'Stock Rawmaterial'!E1367</f>
        <v>0</v>
      </c>
      <c r="F37" s="71">
        <f t="shared" si="0"/>
        <v>46261</v>
      </c>
      <c r="G37" s="71" t="e">
        <f>'Stock Rawmaterial'!#REF!</f>
        <v>#REF!</v>
      </c>
      <c r="H37" s="80">
        <f>'Stock Rawmaterial'!G1367</f>
        <v>0</v>
      </c>
      <c r="I37" s="318" t="e">
        <f>'Stock Rawmaterial'!#REF!</f>
        <v>#REF!</v>
      </c>
      <c r="J37" s="80">
        <f>'Stock Rawmaterial'!H1367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Rawmaterial'!I1367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Rawmaterial'!J1367</f>
        <v>0</v>
      </c>
      <c r="S37" s="287" t="e">
        <f>'Stock Rawmaterial'!#REF!</f>
        <v>#REF!</v>
      </c>
      <c r="T37" s="68">
        <f>'Stock Rawmaterial'!K1367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88"/>
      <c r="B38" s="2071"/>
      <c r="C38" s="1092" t="str">
        <f>'Stock Rawmaterial'!C1368</f>
        <v>Feedmil</v>
      </c>
      <c r="D38" s="1093" t="s">
        <v>10</v>
      </c>
      <c r="E38" s="1094">
        <f>'Stock Rawmaterial'!E1368</f>
        <v>44790</v>
      </c>
      <c r="F38" s="1095">
        <f t="shared" si="0"/>
        <v>1471</v>
      </c>
      <c r="G38" s="1095" t="e">
        <f>'Stock Rawmaterial'!#REF!</f>
        <v>#REF!</v>
      </c>
      <c r="H38" s="626">
        <f>'Stock Rawmaterial'!G1368</f>
        <v>0</v>
      </c>
      <c r="I38" s="1096" t="e">
        <f>'Stock Rawmaterial'!#REF!</f>
        <v>#REF!</v>
      </c>
      <c r="J38" s="626">
        <f>'Stock Rawmaterial'!H1368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Rawmaterial'!I1368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Rawmaterial'!J1368</f>
        <v>0</v>
      </c>
      <c r="S38" s="629" t="e">
        <f>'Stock Rawmaterial'!#REF!</f>
        <v>#REF!</v>
      </c>
      <c r="T38" s="628">
        <f>'Stock Rawmaterial'!K1368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Rawmaterial'!M1369</f>
        <v/>
      </c>
      <c r="Z39" s="366">
        <f>IFERROR(X39/Y39,0)</f>
        <v>0</v>
      </c>
      <c r="AA39" s="59">
        <f>'Stock Rawmaterial'!O1369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86" t="e">
        <f>IF(X45=0,"",MAX($A$14:A39)+1)</f>
        <v>#REF!</v>
      </c>
      <c r="B40" s="2078" t="s">
        <v>898</v>
      </c>
      <c r="C40" s="574" t="str">
        <f>'Stock Rawmaterial'!C1370</f>
        <v>Z7.3</v>
      </c>
      <c r="D40" s="881" t="s">
        <v>10</v>
      </c>
      <c r="E40" s="882">
        <f>'Stock Rawmaterial'!E1370</f>
        <v>44294</v>
      </c>
      <c r="F40" s="71">
        <f t="shared" si="0"/>
        <v>1967</v>
      </c>
      <c r="G40" s="71" t="e">
        <f>'Stock Rawmaterial'!#REF!</f>
        <v>#REF!</v>
      </c>
      <c r="H40" s="80">
        <f>'Stock Rawmaterial'!G1370</f>
        <v>0</v>
      </c>
      <c r="I40" s="318" t="e">
        <f>'Stock Rawmaterial'!#REF!</f>
        <v>#REF!</v>
      </c>
      <c r="J40" s="80">
        <f>'Stock Rawmaterial'!H1370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Rawmaterial'!I1370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Rawmaterial'!J1370</f>
        <v>0</v>
      </c>
      <c r="S40" s="287" t="e">
        <f>'Stock Rawmaterial'!#REF!</f>
        <v>#REF!</v>
      </c>
      <c r="T40" s="68">
        <f>'Stock Rawmaterial'!K1370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87"/>
      <c r="B41" s="2079"/>
      <c r="C41" s="574" t="str">
        <f>'Stock Rawmaterial'!C1371</f>
        <v>Y4.1</v>
      </c>
      <c r="D41" s="881" t="s">
        <v>10</v>
      </c>
      <c r="E41" s="882">
        <f>'Stock Rawmaterial'!E1371</f>
        <v>44217</v>
      </c>
      <c r="F41" s="71">
        <f t="shared" si="0"/>
        <v>2044</v>
      </c>
      <c r="G41" s="71" t="e">
        <f>'Stock Rawmaterial'!#REF!</f>
        <v>#REF!</v>
      </c>
      <c r="H41" s="80">
        <f>'Stock Rawmaterial'!G1371</f>
        <v>0</v>
      </c>
      <c r="I41" s="318" t="e">
        <f>'Stock Rawmaterial'!#REF!</f>
        <v>#REF!</v>
      </c>
      <c r="J41" s="80">
        <f>'Stock Rawmaterial'!H1371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Rawmaterial'!I1371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Rawmaterial'!J1371</f>
        <v>0</v>
      </c>
      <c r="S41" s="287" t="e">
        <f>'Stock Rawmaterial'!#REF!</f>
        <v>#REF!</v>
      </c>
      <c r="T41" s="68">
        <f>'Stock Rawmaterial'!K1371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87"/>
      <c r="B42" s="2079"/>
      <c r="C42" s="574" t="str">
        <f>'Stock Rawmaterial'!C1372</f>
        <v>Y4.1</v>
      </c>
      <c r="D42" s="881" t="s">
        <v>10</v>
      </c>
      <c r="E42" s="882">
        <f>'Stock Rawmaterial'!E1372</f>
        <v>44217</v>
      </c>
      <c r="F42" s="71">
        <f t="shared" si="0"/>
        <v>2044</v>
      </c>
      <c r="G42" s="71" t="e">
        <f>'Stock Rawmaterial'!#REF!</f>
        <v>#REF!</v>
      </c>
      <c r="H42" s="80">
        <f>'Stock Rawmaterial'!G1372</f>
        <v>0</v>
      </c>
      <c r="I42" s="318" t="e">
        <f>'Stock Rawmaterial'!#REF!</f>
        <v>#REF!</v>
      </c>
      <c r="J42" s="80">
        <f>'Stock Rawmaterial'!H1372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Rawmaterial'!I1372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Rawmaterial'!J1372</f>
        <v>0</v>
      </c>
      <c r="S42" s="287" t="e">
        <f>'Stock Rawmaterial'!#REF!</f>
        <v>#REF!</v>
      </c>
      <c r="T42" s="68">
        <f>'Stock Rawmaterial'!K1372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87"/>
      <c r="B43" s="2079"/>
      <c r="C43" s="574" t="str">
        <f>'Stock Rawmaterial'!C1373</f>
        <v>Y4.1</v>
      </c>
      <c r="D43" s="881" t="s">
        <v>10</v>
      </c>
      <c r="E43" s="882">
        <f>'Stock Rawmaterial'!E1373</f>
        <v>44217</v>
      </c>
      <c r="F43" s="71">
        <f t="shared" si="0"/>
        <v>2044</v>
      </c>
      <c r="G43" s="71" t="e">
        <f>'Stock Rawmaterial'!#REF!</f>
        <v>#REF!</v>
      </c>
      <c r="H43" s="80">
        <f>'Stock Rawmaterial'!G1373</f>
        <v>0</v>
      </c>
      <c r="I43" s="318" t="e">
        <f>'Stock Rawmaterial'!#REF!</f>
        <v>#REF!</v>
      </c>
      <c r="J43" s="80">
        <f>'Stock Rawmaterial'!H1373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Rawmaterial'!I1373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Rawmaterial'!J1373</f>
        <v>0</v>
      </c>
      <c r="S43" s="287" t="e">
        <f>'Stock Rawmaterial'!#REF!</f>
        <v>#REF!</v>
      </c>
      <c r="T43" s="68">
        <f>'Stock Rawmaterial'!K1373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88"/>
      <c r="B44" s="2071"/>
      <c r="C44" s="1092" t="str">
        <f>'Stock Rawmaterial'!C1374</f>
        <v>Feedmil</v>
      </c>
      <c r="D44" s="1093" t="s">
        <v>10</v>
      </c>
      <c r="E44" s="1094">
        <f>'Stock Rawmaterial'!E1374</f>
        <v>44294</v>
      </c>
      <c r="F44" s="1095">
        <f t="shared" si="0"/>
        <v>1967</v>
      </c>
      <c r="G44" s="1095" t="e">
        <f>'Stock Rawmaterial'!#REF!</f>
        <v>#REF!</v>
      </c>
      <c r="H44" s="626">
        <f>'Stock Rawmaterial'!G1374</f>
        <v>0</v>
      </c>
      <c r="I44" s="1096" t="e">
        <f>'Stock Rawmaterial'!#REF!</f>
        <v>#REF!</v>
      </c>
      <c r="J44" s="626">
        <f>'Stock Rawmaterial'!H1374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Rawmaterial'!I1374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Rawmaterial'!J1374</f>
        <v>0</v>
      </c>
      <c r="S44" s="629" t="e">
        <f>'Stock Rawmaterial'!#REF!</f>
        <v>#REF!</v>
      </c>
      <c r="T44" s="628">
        <f>'Stock Rawmaterial'!K1374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Rawmaterial'!M1375</f>
        <v/>
      </c>
      <c r="Z45" s="366">
        <f>IFERROR(X45/Y45,0)</f>
        <v>0</v>
      </c>
      <c r="AA45" s="59">
        <f>'Stock Rawmaterial'!O1375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86" t="e">
        <f>IF(X52=0,"",MAX($A$14:A45)+1)</f>
        <v>#REF!</v>
      </c>
      <c r="B46" s="2078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87"/>
      <c r="B47" s="2079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87"/>
      <c r="B48" s="2079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4"/>
      <c r="B49" s="2085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87"/>
      <c r="B50" s="2079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88"/>
      <c r="B51" s="2071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86" t="e">
        <f>IF(X58=0,"",MAX($A$14:A52)+1)</f>
        <v>#REF!</v>
      </c>
      <c r="B53" s="2078" t="s">
        <v>905</v>
      </c>
      <c r="C53" s="574">
        <f>'Stock Rawmaterial'!C1385</f>
        <v>0</v>
      </c>
      <c r="D53" s="881" t="s">
        <v>10</v>
      </c>
      <c r="E53" s="882">
        <f>'Stock Rawmaterial'!E1385</f>
        <v>44918</v>
      </c>
      <c r="F53" s="71">
        <f t="shared" si="0"/>
        <v>1343</v>
      </c>
      <c r="G53" s="71" t="e">
        <f>'Stock Rawmaterial'!#REF!</f>
        <v>#REF!</v>
      </c>
      <c r="H53" s="80">
        <f>'Stock Rawmaterial'!G1385</f>
        <v>0</v>
      </c>
      <c r="I53" s="318" t="e">
        <f>'Stock Rawmaterial'!#REF!</f>
        <v>#REF!</v>
      </c>
      <c r="J53" s="80">
        <f>'Stock Rawmaterial'!H1385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Rawmaterial'!I1385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Rawmaterial'!J1385</f>
        <v>0</v>
      </c>
      <c r="S53" s="287" t="e">
        <f>'Stock Rawmaterial'!#REF!</f>
        <v>#REF!</v>
      </c>
      <c r="T53" s="68">
        <f>'Stock Rawmaterial'!K1385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87"/>
      <c r="B54" s="2079"/>
      <c r="C54" s="574" t="str">
        <f>'Stock Rawmaterial'!C1386</f>
        <v>V6.2</v>
      </c>
      <c r="D54" s="881" t="s">
        <v>10</v>
      </c>
      <c r="E54" s="882">
        <f>'Stock Rawmaterial'!E1386</f>
        <v>44918</v>
      </c>
      <c r="F54" s="71">
        <f t="shared" si="0"/>
        <v>1343</v>
      </c>
      <c r="G54" s="71" t="e">
        <f>'Stock Rawmaterial'!#REF!</f>
        <v>#REF!</v>
      </c>
      <c r="H54" s="80">
        <f>'Stock Rawmaterial'!G1386</f>
        <v>0</v>
      </c>
      <c r="I54" s="318" t="e">
        <f>'Stock Rawmaterial'!#REF!</f>
        <v>#REF!</v>
      </c>
      <c r="J54" s="80">
        <f>'Stock Rawmaterial'!H1386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Rawmaterial'!I1386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Rawmaterial'!J1386</f>
        <v>0</v>
      </c>
      <c r="S54" s="287" t="e">
        <f>'Stock Rawmaterial'!#REF!</f>
        <v>#REF!</v>
      </c>
      <c r="T54" s="68">
        <f>'Stock Rawmaterial'!K1386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87"/>
      <c r="B55" s="2079"/>
      <c r="C55" s="574">
        <f>'Stock Rawmaterial'!C1387</f>
        <v>0</v>
      </c>
      <c r="D55" s="881" t="s">
        <v>10</v>
      </c>
      <c r="E55" s="882">
        <f>'Stock Rawmaterial'!E1387</f>
        <v>44217</v>
      </c>
      <c r="F55" s="71">
        <f t="shared" si="0"/>
        <v>2044</v>
      </c>
      <c r="G55" s="71" t="e">
        <f>'Stock Rawmaterial'!#REF!</f>
        <v>#REF!</v>
      </c>
      <c r="H55" s="80">
        <f>'Stock Rawmaterial'!G1387</f>
        <v>0</v>
      </c>
      <c r="I55" s="318" t="e">
        <f>'Stock Rawmaterial'!#REF!</f>
        <v>#REF!</v>
      </c>
      <c r="J55" s="80">
        <f>'Stock Rawmaterial'!H1387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Rawmaterial'!I1387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Rawmaterial'!J1387</f>
        <v>0</v>
      </c>
      <c r="S55" s="287" t="e">
        <f>'Stock Rawmaterial'!#REF!</f>
        <v>#REF!</v>
      </c>
      <c r="T55" s="68">
        <f>'Stock Rawmaterial'!K1387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87"/>
      <c r="B56" s="2079"/>
      <c r="C56" s="574">
        <f>'Stock Rawmaterial'!C1388</f>
        <v>0</v>
      </c>
      <c r="D56" s="881" t="s">
        <v>10</v>
      </c>
      <c r="E56" s="882">
        <f>'Stock Rawmaterial'!E1388</f>
        <v>44217</v>
      </c>
      <c r="F56" s="71">
        <f t="shared" si="0"/>
        <v>2044</v>
      </c>
      <c r="G56" s="71" t="e">
        <f>'Stock Rawmaterial'!#REF!</f>
        <v>#REF!</v>
      </c>
      <c r="H56" s="80">
        <f>'Stock Rawmaterial'!G1388</f>
        <v>0</v>
      </c>
      <c r="I56" s="318" t="e">
        <f>'Stock Rawmaterial'!#REF!</f>
        <v>#REF!</v>
      </c>
      <c r="J56" s="80">
        <f>'Stock Rawmaterial'!H1388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Rawmaterial'!I1388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Rawmaterial'!J1388</f>
        <v>0</v>
      </c>
      <c r="S56" s="287" t="e">
        <f>'Stock Rawmaterial'!#REF!</f>
        <v>#REF!</v>
      </c>
      <c r="T56" s="68">
        <f>'Stock Rawmaterial'!K1388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88"/>
      <c r="B57" s="2071"/>
      <c r="C57" s="1092" t="str">
        <f>'Stock Rawmaterial'!C1389</f>
        <v>Feedmil</v>
      </c>
      <c r="D57" s="1093" t="s">
        <v>10</v>
      </c>
      <c r="E57" s="1094">
        <f>'Stock Rawmaterial'!E1389</f>
        <v>44918</v>
      </c>
      <c r="F57" s="1095">
        <f t="shared" si="0"/>
        <v>1343</v>
      </c>
      <c r="G57" s="1095" t="e">
        <f>'Stock Rawmaterial'!#REF!</f>
        <v>#REF!</v>
      </c>
      <c r="H57" s="626">
        <f>'Stock Rawmaterial'!G1389</f>
        <v>0</v>
      </c>
      <c r="I57" s="1096" t="e">
        <f>'Stock Rawmaterial'!#REF!</f>
        <v>#REF!</v>
      </c>
      <c r="J57" s="626">
        <f>'Stock Rawmaterial'!H1389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Rawmaterial'!I1389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Rawmaterial'!J1389</f>
        <v>0</v>
      </c>
      <c r="S57" s="629" t="e">
        <f>'Stock Rawmaterial'!#REF!</f>
        <v>#REF!</v>
      </c>
      <c r="T57" s="628">
        <f>'Stock Rawmaterial'!K1389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Rawmaterial'!M1390</f>
        <v/>
      </c>
      <c r="Z58" s="366">
        <f>IFERROR(X58/Y58,0)</f>
        <v>0</v>
      </c>
      <c r="AA58" s="59">
        <f>'Stock Rawmaterial'!O1390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86" t="e">
        <f>IF(X64=0,"",MAX($A$14:A58)+1)</f>
        <v>#REF!</v>
      </c>
      <c r="B59" s="2078" t="s">
        <v>1115</v>
      </c>
      <c r="C59" s="574" t="str">
        <f>'Stock Rawmaterial'!C1391</f>
        <v>A16.2</v>
      </c>
      <c r="D59" s="881" t="s">
        <v>10</v>
      </c>
      <c r="E59" s="882">
        <f>'Stock Rawmaterial'!E1391</f>
        <v>44553</v>
      </c>
      <c r="F59" s="71">
        <f t="shared" ref="F59:F63" si="11">$X$7-E59</f>
        <v>1708</v>
      </c>
      <c r="G59" s="71" t="e">
        <f>'Stock Rawmaterial'!#REF!</f>
        <v>#REF!</v>
      </c>
      <c r="H59" s="80">
        <f>'Stock Rawmaterial'!G1391</f>
        <v>0</v>
      </c>
      <c r="I59" s="318" t="e">
        <f>'Stock Rawmaterial'!#REF!</f>
        <v>#REF!</v>
      </c>
      <c r="J59" s="80">
        <f>'Stock Rawmaterial'!H1391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Rawmaterial'!I1391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Rawmaterial'!J1391</f>
        <v>0</v>
      </c>
      <c r="S59" s="287" t="e">
        <f>'Stock Rawmaterial'!#REF!</f>
        <v>#REF!</v>
      </c>
      <c r="T59" s="68">
        <f>'Stock Rawmaterial'!K1391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87"/>
      <c r="B60" s="2079"/>
      <c r="C60" s="574">
        <f>'Stock Rawmaterial'!C1392</f>
        <v>0</v>
      </c>
      <c r="D60" s="881" t="s">
        <v>10</v>
      </c>
      <c r="E60" s="882">
        <f>'Stock Rawmaterial'!E1392</f>
        <v>44217</v>
      </c>
      <c r="F60" s="71">
        <f t="shared" si="11"/>
        <v>2044</v>
      </c>
      <c r="G60" s="71" t="e">
        <f>'Stock Rawmaterial'!#REF!</f>
        <v>#REF!</v>
      </c>
      <c r="H60" s="80">
        <f>'Stock Rawmaterial'!G1392</f>
        <v>0</v>
      </c>
      <c r="I60" s="318" t="e">
        <f>'Stock Rawmaterial'!#REF!</f>
        <v>#REF!</v>
      </c>
      <c r="J60" s="80">
        <f>'Stock Rawmaterial'!H1392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Rawmaterial'!I1392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Rawmaterial'!J1392</f>
        <v>0</v>
      </c>
      <c r="S60" s="287" t="e">
        <f>'Stock Rawmaterial'!#REF!</f>
        <v>#REF!</v>
      </c>
      <c r="T60" s="68">
        <f>'Stock Rawmaterial'!K1392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87"/>
      <c r="B61" s="2079"/>
      <c r="C61" s="574">
        <f>'Stock Rawmaterial'!C1393</f>
        <v>0</v>
      </c>
      <c r="D61" s="881" t="s">
        <v>10</v>
      </c>
      <c r="E61" s="882">
        <f>'Stock Rawmaterial'!E1393</f>
        <v>44217</v>
      </c>
      <c r="F61" s="71">
        <f t="shared" si="11"/>
        <v>2044</v>
      </c>
      <c r="G61" s="71" t="e">
        <f>'Stock Rawmaterial'!#REF!</f>
        <v>#REF!</v>
      </c>
      <c r="H61" s="80">
        <f>'Stock Rawmaterial'!G1393</f>
        <v>0</v>
      </c>
      <c r="I61" s="318" t="e">
        <f>'Stock Rawmaterial'!#REF!</f>
        <v>#REF!</v>
      </c>
      <c r="J61" s="80">
        <f>'Stock Rawmaterial'!H1393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Rawmaterial'!I1393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Rawmaterial'!J1393</f>
        <v>0</v>
      </c>
      <c r="S61" s="287" t="e">
        <f>'Stock Rawmaterial'!#REF!</f>
        <v>#REF!</v>
      </c>
      <c r="T61" s="68">
        <f>'Stock Rawmaterial'!K1393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87"/>
      <c r="B62" s="2079"/>
      <c r="C62" s="574">
        <f>'Stock Rawmaterial'!C1394</f>
        <v>0</v>
      </c>
      <c r="D62" s="881" t="s">
        <v>10</v>
      </c>
      <c r="E62" s="882">
        <f>'Stock Rawmaterial'!E1394</f>
        <v>44217</v>
      </c>
      <c r="F62" s="71">
        <f t="shared" si="11"/>
        <v>2044</v>
      </c>
      <c r="G62" s="71" t="e">
        <f>'Stock Rawmaterial'!#REF!</f>
        <v>#REF!</v>
      </c>
      <c r="H62" s="80">
        <f>'Stock Rawmaterial'!G1394</f>
        <v>0</v>
      </c>
      <c r="I62" s="318" t="e">
        <f>'Stock Rawmaterial'!#REF!</f>
        <v>#REF!</v>
      </c>
      <c r="J62" s="80">
        <f>'Stock Rawmaterial'!H1394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Rawmaterial'!I1394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Rawmaterial'!J1394</f>
        <v>0</v>
      </c>
      <c r="S62" s="287" t="e">
        <f>'Stock Rawmaterial'!#REF!</f>
        <v>#REF!</v>
      </c>
      <c r="T62" s="68">
        <f>'Stock Rawmaterial'!K1394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88"/>
      <c r="B63" s="2071"/>
      <c r="C63" s="1092" t="str">
        <f>'Stock Rawmaterial'!C1395</f>
        <v>Feedmil</v>
      </c>
      <c r="D63" s="1093" t="s">
        <v>10</v>
      </c>
      <c r="E63" s="1094">
        <f>'Stock Rawmaterial'!E1395</f>
        <v>44553</v>
      </c>
      <c r="F63" s="1095">
        <f t="shared" si="11"/>
        <v>1708</v>
      </c>
      <c r="G63" s="1095" t="e">
        <f>'Stock Rawmaterial'!#REF!</f>
        <v>#REF!</v>
      </c>
      <c r="H63" s="626">
        <f>'Stock Rawmaterial'!G1395</f>
        <v>0</v>
      </c>
      <c r="I63" s="1096" t="e">
        <f>'Stock Rawmaterial'!#REF!</f>
        <v>#REF!</v>
      </c>
      <c r="J63" s="626">
        <f>'Stock Rawmaterial'!H1395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Rawmaterial'!I1395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Rawmaterial'!J1395</f>
        <v>0</v>
      </c>
      <c r="S63" s="629" t="e">
        <f>'Stock Rawmaterial'!#REF!</f>
        <v>#REF!</v>
      </c>
      <c r="T63" s="628">
        <f>'Stock Rawmaterial'!K1395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Rawmaterial'!M1396</f>
        <v/>
      </c>
      <c r="Z64" s="366">
        <f>IFERROR(X64/Y64,0)</f>
        <v>0</v>
      </c>
      <c r="AA64" s="59">
        <f>'Stock Rawmaterial'!O1396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86" t="e">
        <f>IF(X68=0,"",MAX($A$14:A64)+1)</f>
        <v>#REF!</v>
      </c>
      <c r="B65" s="2078" t="s">
        <v>1125</v>
      </c>
      <c r="C65" s="574">
        <f>'Stock Rawmaterial'!C1402</f>
        <v>0</v>
      </c>
      <c r="D65" s="881" t="s">
        <v>10</v>
      </c>
      <c r="E65" s="882">
        <f>'Stock Rawmaterial'!E1402</f>
        <v>44571</v>
      </c>
      <c r="F65" s="71">
        <f t="shared" ref="F65" si="13">$X$7-E65</f>
        <v>1690</v>
      </c>
      <c r="G65" s="71" t="e">
        <f>'Stock Rawmaterial'!#REF!</f>
        <v>#REF!</v>
      </c>
      <c r="H65" s="80">
        <f>'Stock Rawmaterial'!G1402</f>
        <v>0</v>
      </c>
      <c r="I65" s="80" t="e">
        <f>'Stock Rawmaterial'!#REF!</f>
        <v>#REF!</v>
      </c>
      <c r="J65" s="80">
        <f>'Stock Rawmaterial'!H1402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Rawmaterial'!I1402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Rawmaterial'!J1402</f>
        <v>0</v>
      </c>
      <c r="S65" s="80" t="e">
        <f>'Stock Rawmaterial'!#REF!</f>
        <v>#REF!</v>
      </c>
      <c r="T65" s="80">
        <f>'Stock Rawmaterial'!K1402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87"/>
      <c r="B66" s="2079"/>
      <c r="C66" s="574" t="str">
        <f>'Stock Rawmaterial'!C1403</f>
        <v>Y4.1</v>
      </c>
      <c r="D66" s="881" t="s">
        <v>10</v>
      </c>
      <c r="E66" s="882">
        <f>'Stock Rawmaterial'!E1403</f>
        <v>44566</v>
      </c>
      <c r="F66" s="71">
        <f t="shared" ref="F66:F67" si="14">$X$7-E66</f>
        <v>1695</v>
      </c>
      <c r="G66" s="71" t="e">
        <f>'Stock Rawmaterial'!#REF!</f>
        <v>#REF!</v>
      </c>
      <c r="H66" s="80">
        <f>'Stock Rawmaterial'!G1403</f>
        <v>0</v>
      </c>
      <c r="I66" s="80" t="e">
        <f>'Stock Rawmaterial'!#REF!</f>
        <v>#REF!</v>
      </c>
      <c r="J66" s="80">
        <f>'Stock Rawmaterial'!H1403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Rawmaterial'!I1403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Rawmaterial'!J1403</f>
        <v>0</v>
      </c>
      <c r="S66" s="80" t="e">
        <f>'Stock Rawmaterial'!#REF!</f>
        <v>#REF!</v>
      </c>
      <c r="T66" s="80">
        <f>'Stock Rawmaterial'!K1403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87"/>
      <c r="B67" s="2079"/>
      <c r="C67" s="1092" t="str">
        <f>'Stock Rawmaterial'!C1404</f>
        <v>Feedmil</v>
      </c>
      <c r="D67" s="1093" t="s">
        <v>10</v>
      </c>
      <c r="E67" s="1094">
        <f>'Stock Rawmaterial'!E1404</f>
        <v>44571</v>
      </c>
      <c r="F67" s="1095">
        <f t="shared" si="14"/>
        <v>1690</v>
      </c>
      <c r="G67" s="1095" t="e">
        <f>'Stock Rawmaterial'!#REF!</f>
        <v>#REF!</v>
      </c>
      <c r="H67" s="626">
        <f>'Stock Rawmaterial'!G1404</f>
        <v>0</v>
      </c>
      <c r="I67" s="1096" t="e">
        <f>'Stock Rawmaterial'!#REF!</f>
        <v>#REF!</v>
      </c>
      <c r="J67" s="626">
        <f>'Stock Rawmaterial'!H1404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Rawmaterial'!I1404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Rawmaterial'!J1404</f>
        <v>0</v>
      </c>
      <c r="S67" s="629" t="e">
        <f>'Stock Rawmaterial'!#REF!</f>
        <v>#REF!</v>
      </c>
      <c r="T67" s="628">
        <f>'Stock Rawmaterial'!K1404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Rawmaterial'!M1403</f>
        <v>0</v>
      </c>
      <c r="Z68" s="366">
        <f>IFERROR(X68/Y68,0)</f>
        <v>0</v>
      </c>
      <c r="AA68" s="59">
        <f>'Stock Rawmaterial'!O1403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86" t="e">
        <f>IF(X72=0,"",MAX($A$14:A68)+1)</f>
        <v>#REF!</v>
      </c>
      <c r="B69" s="2078" t="s">
        <v>1139</v>
      </c>
      <c r="C69" s="574" t="str">
        <f>'Stock Rawmaterial'!C1406</f>
        <v>V9.1</v>
      </c>
      <c r="D69" s="881" t="s">
        <v>10</v>
      </c>
      <c r="E69" s="882">
        <f>'Stock Rawmaterial'!E1406</f>
        <v>44958</v>
      </c>
      <c r="F69" s="71">
        <f t="shared" ref="F69:F71" si="17">$X$7-E69</f>
        <v>1303</v>
      </c>
      <c r="G69" s="71" t="e">
        <f>'Stock Rawmaterial'!#REF!</f>
        <v>#REF!</v>
      </c>
      <c r="H69" s="626">
        <f>'Stock Rawmaterial'!G1406</f>
        <v>0</v>
      </c>
      <c r="I69" s="80" t="e">
        <f>'Stock Rawmaterial'!#REF!</f>
        <v>#REF!</v>
      </c>
      <c r="J69" s="80">
        <f>'Stock Rawmaterial'!H1406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Rawmaterial'!I1406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Rawmaterial'!J1406</f>
        <v>0</v>
      </c>
      <c r="S69" s="80" t="e">
        <f>'Stock Rawmaterial'!#REF!</f>
        <v>#REF!</v>
      </c>
      <c r="T69" s="80">
        <f>'Stock Rawmaterial'!K1406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87"/>
      <c r="B70" s="2079"/>
      <c r="C70" s="574">
        <f>'Stock Rawmaterial'!C1407</f>
        <v>0</v>
      </c>
      <c r="D70" s="881" t="s">
        <v>10</v>
      </c>
      <c r="E70" s="882">
        <f>'Stock Rawmaterial'!E1407</f>
        <v>44958</v>
      </c>
      <c r="F70" s="71">
        <f t="shared" si="17"/>
        <v>1303</v>
      </c>
      <c r="G70" s="71" t="e">
        <f>'Stock Rawmaterial'!#REF!</f>
        <v>#REF!</v>
      </c>
      <c r="H70" s="626">
        <f>'Stock Rawmaterial'!G1407</f>
        <v>0</v>
      </c>
      <c r="I70" s="80" t="e">
        <f>'Stock Rawmaterial'!#REF!</f>
        <v>#REF!</v>
      </c>
      <c r="J70" s="80">
        <f>'Stock Rawmaterial'!H1407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Rawmaterial'!I1407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Rawmaterial'!J1407</f>
        <v>0</v>
      </c>
      <c r="S70" s="80" t="e">
        <f>'Stock Rawmaterial'!#REF!</f>
        <v>#REF!</v>
      </c>
      <c r="T70" s="80">
        <f>'Stock Rawmaterial'!K1407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87"/>
      <c r="B71" s="2079"/>
      <c r="C71" s="1092" t="str">
        <f>'Stock Rawmaterial'!C1408</f>
        <v>Feedmil</v>
      </c>
      <c r="D71" s="1093" t="s">
        <v>10</v>
      </c>
      <c r="E71" s="1094">
        <f>'Stock Rawmaterial'!E1408</f>
        <v>44958</v>
      </c>
      <c r="F71" s="1095">
        <f t="shared" si="17"/>
        <v>1303</v>
      </c>
      <c r="G71" s="1095" t="e">
        <f>'Stock Rawmaterial'!#REF!</f>
        <v>#REF!</v>
      </c>
      <c r="H71" s="626">
        <f>'Stock Rawmaterial'!G1408</f>
        <v>0</v>
      </c>
      <c r="I71" s="1096" t="e">
        <f>'Stock Rawmaterial'!#REF!</f>
        <v>#REF!</v>
      </c>
      <c r="J71" s="626">
        <f>'Stock Rawmaterial'!H1408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Rawmaterial'!I1408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Rawmaterial'!J1408</f>
        <v>0</v>
      </c>
      <c r="S71" s="629" t="e">
        <f>'Stock Rawmaterial'!#REF!</f>
        <v>#REF!</v>
      </c>
      <c r="T71" s="628">
        <f>'Stock Rawmaterial'!K1408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Rawmaterial'!M1407</f>
        <v>0</v>
      </c>
      <c r="Z72" s="366">
        <f>IFERROR(X72/Y72,0)</f>
        <v>0</v>
      </c>
      <c r="AA72" s="59">
        <f>'Stock Rawmaterial'!O1407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86" t="e">
        <f>IF(X76=0,"",MAX($A$14:A72)+1)</f>
        <v>#REF!</v>
      </c>
      <c r="B73" s="2078" t="s">
        <v>1156</v>
      </c>
      <c r="C73" s="574">
        <f>'Stock Rawmaterial'!C1410</f>
        <v>0</v>
      </c>
      <c r="D73" s="881" t="s">
        <v>10</v>
      </c>
      <c r="E73" s="882">
        <f>'Stock Rawmaterial'!E1410</f>
        <v>44664</v>
      </c>
      <c r="F73" s="71">
        <f t="shared" ref="F73:F75" si="20">$X$7-E73</f>
        <v>1597</v>
      </c>
      <c r="G73" s="71" t="e">
        <f>'Stock Rawmaterial'!#REF!</f>
        <v>#REF!</v>
      </c>
      <c r="H73" s="80">
        <f>'Stock Rawmaterial'!G1410</f>
        <v>0</v>
      </c>
      <c r="I73" s="80" t="e">
        <f>'Stock Rawmaterial'!#REF!</f>
        <v>#REF!</v>
      </c>
      <c r="J73" s="80">
        <f>'Stock Rawmaterial'!H1410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Rawmaterial'!I1410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Rawmaterial'!J1410</f>
        <v>0</v>
      </c>
      <c r="S73" s="80" t="e">
        <f>'Stock Rawmaterial'!#REF!</f>
        <v>#REF!</v>
      </c>
      <c r="T73" s="80">
        <f>'Stock Rawmaterial'!K1410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87"/>
      <c r="B74" s="2079"/>
      <c r="C74" s="574">
        <f>'Stock Rawmaterial'!C1411</f>
        <v>0</v>
      </c>
      <c r="D74" s="881" t="s">
        <v>10</v>
      </c>
      <c r="E74" s="882">
        <f>'Stock Rawmaterial'!E1411</f>
        <v>44566</v>
      </c>
      <c r="F74" s="71">
        <f t="shared" si="20"/>
        <v>1695</v>
      </c>
      <c r="G74" s="71" t="e">
        <f>'Stock Rawmaterial'!#REF!</f>
        <v>#REF!</v>
      </c>
      <c r="H74" s="80">
        <f>'Stock Rawmaterial'!G1411</f>
        <v>0</v>
      </c>
      <c r="I74" s="80" t="e">
        <f>'Stock Rawmaterial'!#REF!</f>
        <v>#REF!</v>
      </c>
      <c r="J74" s="80">
        <f>'Stock Rawmaterial'!H1411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Rawmaterial'!I1411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Rawmaterial'!J1411</f>
        <v>0</v>
      </c>
      <c r="S74" s="80" t="e">
        <f>'Stock Rawmaterial'!#REF!</f>
        <v>#REF!</v>
      </c>
      <c r="T74" s="80">
        <f>'Stock Rawmaterial'!K1411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87"/>
      <c r="B75" s="2079"/>
      <c r="C75" s="1092" t="str">
        <f>'Stock Rawmaterial'!C1412</f>
        <v>Feedmil</v>
      </c>
      <c r="D75" s="1093" t="s">
        <v>10</v>
      </c>
      <c r="E75" s="1094">
        <f>'Stock Rawmaterial'!E1412</f>
        <v>44664</v>
      </c>
      <c r="F75" s="1095">
        <f t="shared" si="20"/>
        <v>1597</v>
      </c>
      <c r="G75" s="1095" t="e">
        <f>'Stock Rawmaterial'!#REF!</f>
        <v>#REF!</v>
      </c>
      <c r="H75" s="626">
        <f>'Stock Rawmaterial'!G1412</f>
        <v>0</v>
      </c>
      <c r="I75" s="1096" t="e">
        <f>'Stock Rawmaterial'!#REF!</f>
        <v>#REF!</v>
      </c>
      <c r="J75" s="626">
        <f>'Stock Rawmaterial'!H1412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Rawmaterial'!I1412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Rawmaterial'!J1412</f>
        <v>0</v>
      </c>
      <c r="S75" s="629" t="e">
        <f>'Stock Rawmaterial'!#REF!</f>
        <v>#REF!</v>
      </c>
      <c r="T75" s="628">
        <f>'Stock Rawmaterial'!K1412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Rawmaterial'!M1411</f>
        <v>0</v>
      </c>
      <c r="Z76" s="366">
        <f>IFERROR(X76/Y76,0)</f>
        <v>0</v>
      </c>
      <c r="AA76" s="59">
        <f>'Stock Rawmaterial'!O1411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86" t="e">
        <f>IF(X80=0,"",MAX($A$14:A76)+1)</f>
        <v>#REF!</v>
      </c>
      <c r="B77" s="2078" t="s">
        <v>1179</v>
      </c>
      <c r="C77" s="574">
        <f>'Stock Rawmaterial'!C1414</f>
        <v>0</v>
      </c>
      <c r="D77" s="881" t="s">
        <v>10</v>
      </c>
      <c r="E77" s="882">
        <f>'Stock Rawmaterial'!E1414</f>
        <v>44761</v>
      </c>
      <c r="F77" s="71">
        <f t="shared" ref="F77:F79" si="23">$X$7-E77</f>
        <v>1500</v>
      </c>
      <c r="G77" s="71" t="e">
        <f>'Stock Rawmaterial'!#REF!</f>
        <v>#REF!</v>
      </c>
      <c r="H77" s="80">
        <f>'Stock Rawmaterial'!G1414</f>
        <v>0</v>
      </c>
      <c r="I77" s="80" t="e">
        <f>'Stock Rawmaterial'!#REF!</f>
        <v>#REF!</v>
      </c>
      <c r="J77" s="80">
        <f>'Stock Rawmaterial'!H1414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Rawmaterial'!I1414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Rawmaterial'!J1414</f>
        <v>0</v>
      </c>
      <c r="S77" s="80" t="e">
        <f>'Stock Rawmaterial'!#REF!</f>
        <v>#REF!</v>
      </c>
      <c r="T77" s="80">
        <f>'Stock Rawmaterial'!K1414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87"/>
      <c r="B78" s="2079"/>
      <c r="C78" s="574">
        <f>'Stock Rawmaterial'!C1415</f>
        <v>0</v>
      </c>
      <c r="D78" s="881" t="s">
        <v>10</v>
      </c>
      <c r="E78" s="882">
        <f>'Stock Rawmaterial'!E1415</f>
        <v>44566</v>
      </c>
      <c r="F78" s="71">
        <f t="shared" si="23"/>
        <v>1695</v>
      </c>
      <c r="G78" s="71" t="e">
        <f>'Stock Rawmaterial'!#REF!</f>
        <v>#REF!</v>
      </c>
      <c r="H78" s="80">
        <f>'Stock Rawmaterial'!G1415</f>
        <v>0</v>
      </c>
      <c r="I78" s="80" t="e">
        <f>'Stock Rawmaterial'!#REF!</f>
        <v>#REF!</v>
      </c>
      <c r="J78" s="80">
        <f>'Stock Rawmaterial'!H1415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Rawmaterial'!I1415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Rawmaterial'!J1415</f>
        <v>0</v>
      </c>
      <c r="S78" s="80" t="e">
        <f>'Stock Rawmaterial'!#REF!</f>
        <v>#REF!</v>
      </c>
      <c r="T78" s="80">
        <f>'Stock Rawmaterial'!K1415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87"/>
      <c r="B79" s="2079"/>
      <c r="C79" s="1092" t="str">
        <f>'Stock Rawmaterial'!C1416</f>
        <v>Feedmil</v>
      </c>
      <c r="D79" s="1093" t="s">
        <v>10</v>
      </c>
      <c r="E79" s="1094">
        <f>'Stock Rawmaterial'!E1416</f>
        <v>44761</v>
      </c>
      <c r="F79" s="1095">
        <f t="shared" si="23"/>
        <v>1500</v>
      </c>
      <c r="G79" s="1095" t="e">
        <f>'Stock Rawmaterial'!#REF!</f>
        <v>#REF!</v>
      </c>
      <c r="H79" s="626">
        <f>'Stock Rawmaterial'!G1416</f>
        <v>0</v>
      </c>
      <c r="I79" s="1096" t="e">
        <f>'Stock Rawmaterial'!#REF!</f>
        <v>#REF!</v>
      </c>
      <c r="J79" s="626">
        <f>'Stock Rawmaterial'!H1416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Rawmaterial'!I1416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Rawmaterial'!J1416</f>
        <v>0</v>
      </c>
      <c r="S79" s="629" t="e">
        <f>'Stock Rawmaterial'!#REF!</f>
        <v>#REF!</v>
      </c>
      <c r="T79" s="628">
        <f>'Stock Rawmaterial'!K1416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Rawmaterial'!M1415</f>
        <v>0</v>
      </c>
      <c r="Z80" s="366">
        <f>IFERROR(X80/Y80,0)</f>
        <v>0</v>
      </c>
      <c r="AA80" s="59">
        <f>'Stock Rawmaterial'!O1415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86" t="e">
        <f>IF(X84=0,"",MAX($A$14:A80)+1)</f>
        <v>#REF!</v>
      </c>
      <c r="B81" s="2078" t="s">
        <v>1185</v>
      </c>
      <c r="C81" s="574" t="str">
        <f>'Stock Rawmaterial'!C1418</f>
        <v>Y1.1</v>
      </c>
      <c r="D81" s="881" t="s">
        <v>10</v>
      </c>
      <c r="E81" s="882">
        <f>'Stock Rawmaterial'!E1418</f>
        <v>46043</v>
      </c>
      <c r="F81" s="71">
        <f t="shared" ref="F81:F83" si="26">$X$7-E81</f>
        <v>218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87"/>
      <c r="B82" s="2079"/>
      <c r="C82" s="574">
        <f>'Stock Rawmaterial'!C1421</f>
        <v>0</v>
      </c>
      <c r="D82" s="881" t="s">
        <v>10</v>
      </c>
      <c r="E82" s="882">
        <f>'Stock Rawmaterial'!E1421</f>
        <v>46024</v>
      </c>
      <c r="F82" s="71">
        <f t="shared" si="26"/>
        <v>237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87"/>
      <c r="B83" s="2079"/>
      <c r="C83" s="1092" t="str">
        <f>'Stock Rawmaterial'!C1422</f>
        <v>Feedmil</v>
      </c>
      <c r="D83" s="1093" t="s">
        <v>10</v>
      </c>
      <c r="E83" s="1094">
        <f>'Stock Rawmaterial'!E1422</f>
        <v>46043</v>
      </c>
      <c r="F83" s="1095">
        <f t="shared" si="26"/>
        <v>218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Rawmaterial'!M1421</f>
        <v>0</v>
      </c>
      <c r="Z84" s="366">
        <f>IFERROR(X84/Y84,0)</f>
        <v>0</v>
      </c>
      <c r="AA84" s="59">
        <f>'Stock Rawmaterial'!O1421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86" t="e">
        <f>IF(X88=0,"",MAX($A$14:A84)+1)</f>
        <v>#REF!</v>
      </c>
      <c r="B85" s="2078"/>
      <c r="C85" s="574">
        <f>'Stock Rawmaterial'!C1430</f>
        <v>0</v>
      </c>
      <c r="D85" s="881" t="s">
        <v>10</v>
      </c>
      <c r="E85" s="882">
        <f>'Stock Rawmaterial'!E1430</f>
        <v>45986</v>
      </c>
      <c r="F85" s="71">
        <f t="shared" ref="F85:F87" si="29">$X$7-E85</f>
        <v>275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87"/>
      <c r="B86" s="2079"/>
      <c r="C86" s="574" t="str">
        <f>'Stock Rawmaterial'!C1431</f>
        <v>D2</v>
      </c>
      <c r="D86" s="881" t="s">
        <v>10</v>
      </c>
      <c r="E86" s="882">
        <f>'Stock Rawmaterial'!E1431</f>
        <v>46237</v>
      </c>
      <c r="F86" s="71">
        <f t="shared" si="29"/>
        <v>24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87"/>
      <c r="B87" s="2079"/>
      <c r="C87" s="1092" t="str">
        <f>'Stock Rawmaterial'!C1433</f>
        <v>Feedmill</v>
      </c>
      <c r="D87" s="1093" t="s">
        <v>10</v>
      </c>
      <c r="E87" s="1094">
        <f>'Stock Rawmaterial'!E1433</f>
        <v>46237</v>
      </c>
      <c r="F87" s="1095">
        <f t="shared" si="29"/>
        <v>24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Rawmaterial'!M1431</f>
        <v>0</v>
      </c>
      <c r="Z88" s="366">
        <f>IFERROR(X88/Y88,0)</f>
        <v>0</v>
      </c>
      <c r="AA88" s="59">
        <f>'Stock Rawmaterial'!O1431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86" t="e">
        <f>IF(X92=0,"",MAX($A$14:A88)+1)</f>
        <v>#REF!</v>
      </c>
      <c r="B89" s="2078" t="s">
        <v>1260</v>
      </c>
      <c r="C89" s="574">
        <f>'Stock Rawmaterial'!C1435</f>
        <v>0</v>
      </c>
      <c r="D89" s="881" t="s">
        <v>10</v>
      </c>
      <c r="E89" s="882">
        <f>'Stock Rawmaterial'!E1435</f>
        <v>44972</v>
      </c>
      <c r="F89" s="71">
        <f t="shared" ref="F89:F91" si="32">$X$7-E89</f>
        <v>1289</v>
      </c>
      <c r="G89" s="71" t="e">
        <f>'Stock Rawmaterial'!#REF!</f>
        <v>#REF!</v>
      </c>
      <c r="H89" s="80">
        <f>'Stock Rawmaterial'!G1435</f>
        <v>0</v>
      </c>
      <c r="I89" s="80" t="e">
        <f>'Stock Rawmaterial'!#REF!</f>
        <v>#REF!</v>
      </c>
      <c r="J89" s="80">
        <f>'Stock Rawmaterial'!H1435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Rawmaterial'!I1435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Rawmaterial'!J1435</f>
        <v>0</v>
      </c>
      <c r="S89" s="80" t="e">
        <f>'Stock Rawmaterial'!#REF!</f>
        <v>#REF!</v>
      </c>
      <c r="T89" s="80">
        <f>'Stock Rawmaterial'!K1435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87"/>
      <c r="B90" s="2079"/>
      <c r="C90" s="574">
        <f>'Stock Rawmaterial'!C1436</f>
        <v>0</v>
      </c>
      <c r="D90" s="881" t="s">
        <v>10</v>
      </c>
      <c r="E90" s="882">
        <f>'Stock Rawmaterial'!E1436</f>
        <v>44924</v>
      </c>
      <c r="F90" s="71">
        <f t="shared" si="32"/>
        <v>1337</v>
      </c>
      <c r="G90" s="71" t="e">
        <f>'Stock Rawmaterial'!#REF!</f>
        <v>#REF!</v>
      </c>
      <c r="H90" s="80">
        <f>'Stock Rawmaterial'!G1436</f>
        <v>0</v>
      </c>
      <c r="I90" s="80" t="e">
        <f>'Stock Rawmaterial'!#REF!</f>
        <v>#REF!</v>
      </c>
      <c r="J90" s="80">
        <f>'Stock Rawmaterial'!H1436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Rawmaterial'!I1436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Rawmaterial'!J1436</f>
        <v>0</v>
      </c>
      <c r="S90" s="80" t="e">
        <f>'Stock Rawmaterial'!#REF!</f>
        <v>#REF!</v>
      </c>
      <c r="T90" s="80">
        <f>'Stock Rawmaterial'!K1436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87"/>
      <c r="B91" s="2079"/>
      <c r="C91" s="1092" t="str">
        <f>'Stock Rawmaterial'!C1437</f>
        <v>Feedmil</v>
      </c>
      <c r="D91" s="1093" t="s">
        <v>10</v>
      </c>
      <c r="E91" s="1094">
        <f>'Stock Rawmaterial'!E1437</f>
        <v>44972</v>
      </c>
      <c r="F91" s="1095">
        <f t="shared" si="32"/>
        <v>1289</v>
      </c>
      <c r="G91" s="1095" t="e">
        <f>'Stock Rawmaterial'!#REF!</f>
        <v>#REF!</v>
      </c>
      <c r="H91" s="626">
        <f>'Stock Rawmaterial'!G1437</f>
        <v>0</v>
      </c>
      <c r="I91" s="1096" t="e">
        <f>'Stock Rawmaterial'!#REF!</f>
        <v>#REF!</v>
      </c>
      <c r="J91" s="626">
        <f>'Stock Rawmaterial'!H1437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Rawmaterial'!I1437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Rawmaterial'!J1437</f>
        <v>0</v>
      </c>
      <c r="S91" s="629" t="e">
        <f>'Stock Rawmaterial'!#REF!</f>
        <v>#REF!</v>
      </c>
      <c r="T91" s="628">
        <f>'Stock Rawmaterial'!K1437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Rawmaterial'!M1436</f>
        <v>0</v>
      </c>
      <c r="Z92" s="366">
        <f>IFERROR(X92/Y92,0)</f>
        <v>0</v>
      </c>
      <c r="AA92" s="59">
        <f>'Stock Rawmaterial'!O1436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86" t="e">
        <f>IF(X96=0,"",MAX($A$14:A92)+1)</f>
        <v>#REF!</v>
      </c>
      <c r="B93" s="2078" t="s">
        <v>1265</v>
      </c>
      <c r="C93" s="574" t="str">
        <f>'Stock Rawmaterial'!C1439</f>
        <v>V8.1</v>
      </c>
      <c r="D93" s="881" t="s">
        <v>10</v>
      </c>
      <c r="E93" s="882">
        <f>'Stock Rawmaterial'!E1439</f>
        <v>44978</v>
      </c>
      <c r="F93" s="71">
        <f t="shared" ref="F93:F95" si="35">$X$7-E93</f>
        <v>1283</v>
      </c>
      <c r="G93" s="71" t="e">
        <f>'Stock Rawmaterial'!#REF!</f>
        <v>#REF!</v>
      </c>
      <c r="H93" s="80">
        <f>'Stock Rawmaterial'!G1439</f>
        <v>0</v>
      </c>
      <c r="I93" s="80" t="e">
        <f>'Stock Rawmaterial'!#REF!</f>
        <v>#REF!</v>
      </c>
      <c r="J93" s="80">
        <f>'Stock Rawmaterial'!H1439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Rawmaterial'!I1439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Rawmaterial'!J1439</f>
        <v>0</v>
      </c>
      <c r="S93" s="80" t="e">
        <f>'Stock Rawmaterial'!#REF!</f>
        <v>#REF!</v>
      </c>
      <c r="T93" s="80">
        <f>'Stock Rawmaterial'!K1439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87"/>
      <c r="B94" s="2079"/>
      <c r="C94" s="574">
        <f>'Stock Rawmaterial'!C1440</f>
        <v>0</v>
      </c>
      <c r="D94" s="881" t="s">
        <v>10</v>
      </c>
      <c r="E94" s="882">
        <f>'Stock Rawmaterial'!E1440</f>
        <v>44924</v>
      </c>
      <c r="F94" s="71">
        <f t="shared" si="35"/>
        <v>1337</v>
      </c>
      <c r="G94" s="71" t="e">
        <f>'Stock Rawmaterial'!#REF!</f>
        <v>#REF!</v>
      </c>
      <c r="H94" s="80">
        <f>'Stock Rawmaterial'!G1440</f>
        <v>0</v>
      </c>
      <c r="I94" s="80" t="e">
        <f>'Stock Rawmaterial'!#REF!</f>
        <v>#REF!</v>
      </c>
      <c r="J94" s="80">
        <f>'Stock Rawmaterial'!H1440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Rawmaterial'!I1440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Rawmaterial'!J1440</f>
        <v>0</v>
      </c>
      <c r="S94" s="80" t="e">
        <f>'Stock Rawmaterial'!#REF!</f>
        <v>#REF!</v>
      </c>
      <c r="T94" s="80">
        <f>'Stock Rawmaterial'!K1440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87"/>
      <c r="B95" s="2079"/>
      <c r="C95" s="1092" t="str">
        <f>'Stock Rawmaterial'!C1441</f>
        <v>Feedmil</v>
      </c>
      <c r="D95" s="1093" t="s">
        <v>10</v>
      </c>
      <c r="E95" s="1094">
        <f>'Stock Rawmaterial'!E1441</f>
        <v>44978</v>
      </c>
      <c r="F95" s="1095">
        <f t="shared" si="35"/>
        <v>1283</v>
      </c>
      <c r="G95" s="1095" t="e">
        <f>'Stock Rawmaterial'!#REF!</f>
        <v>#REF!</v>
      </c>
      <c r="H95" s="626">
        <f>'Stock Rawmaterial'!G1441</f>
        <v>0</v>
      </c>
      <c r="I95" s="1096" t="e">
        <f>'Stock Rawmaterial'!#REF!</f>
        <v>#REF!</v>
      </c>
      <c r="J95" s="626">
        <f>'Stock Rawmaterial'!H1441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Rawmaterial'!I1441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Rawmaterial'!J1441</f>
        <v>0</v>
      </c>
      <c r="S95" s="629" t="e">
        <f>'Stock Rawmaterial'!#REF!</f>
        <v>#REF!</v>
      </c>
      <c r="T95" s="628">
        <f>'Stock Rawmaterial'!K1441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Rawmaterial'!M1440</f>
        <v>0</v>
      </c>
      <c r="Z96" s="366">
        <f>IFERROR(X96/Y96,0)</f>
        <v>0</v>
      </c>
      <c r="AA96" s="59">
        <f>'Stock Rawmaterial'!O1440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86" t="e">
        <f>IF(X100=0,"",MAX($A$14:A96)+1)</f>
        <v>#REF!</v>
      </c>
      <c r="B97" s="2078" t="s">
        <v>1267</v>
      </c>
      <c r="C97" s="574" t="str">
        <f>'Stock Rawmaterial'!C1443</f>
        <v>V8.1</v>
      </c>
      <c r="D97" s="881" t="s">
        <v>10</v>
      </c>
      <c r="E97" s="882">
        <f>'Stock Rawmaterial'!E1443</f>
        <v>44978</v>
      </c>
      <c r="F97" s="71">
        <f t="shared" ref="F97:F99" si="38">$X$7-E97</f>
        <v>1283</v>
      </c>
      <c r="G97" s="71" t="e">
        <f>'Stock Rawmaterial'!#REF!</f>
        <v>#REF!</v>
      </c>
      <c r="H97" s="80">
        <f>'Stock Rawmaterial'!G1443</f>
        <v>0</v>
      </c>
      <c r="I97" s="80" t="e">
        <f>'Stock Rawmaterial'!#REF!</f>
        <v>#REF!</v>
      </c>
      <c r="J97" s="80">
        <f>'Stock Rawmaterial'!H1443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Rawmaterial'!I1443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Rawmaterial'!J1443</f>
        <v>0</v>
      </c>
      <c r="S97" s="80" t="e">
        <f>'Stock Rawmaterial'!#REF!</f>
        <v>#REF!</v>
      </c>
      <c r="T97" s="80">
        <f>'Stock Rawmaterial'!K1443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87"/>
      <c r="B98" s="2079"/>
      <c r="C98" s="574">
        <f>'Stock Rawmaterial'!C1444</f>
        <v>0</v>
      </c>
      <c r="D98" s="881" t="s">
        <v>10</v>
      </c>
      <c r="E98" s="882">
        <f>'Stock Rawmaterial'!E1444</f>
        <v>44924</v>
      </c>
      <c r="F98" s="71">
        <f t="shared" si="38"/>
        <v>1337</v>
      </c>
      <c r="G98" s="71" t="e">
        <f>'Stock Rawmaterial'!#REF!</f>
        <v>#REF!</v>
      </c>
      <c r="H98" s="80">
        <f>'Stock Rawmaterial'!G1444</f>
        <v>0</v>
      </c>
      <c r="I98" s="80" t="e">
        <f>'Stock Rawmaterial'!#REF!</f>
        <v>#REF!</v>
      </c>
      <c r="J98" s="80">
        <f>'Stock Rawmaterial'!H1444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Rawmaterial'!I1444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Rawmaterial'!J1444</f>
        <v>0</v>
      </c>
      <c r="S98" s="80" t="e">
        <f>'Stock Rawmaterial'!#REF!</f>
        <v>#REF!</v>
      </c>
      <c r="T98" s="80">
        <f>'Stock Rawmaterial'!K1444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87"/>
      <c r="B99" s="2079"/>
      <c r="C99" s="1092" t="str">
        <f>'Stock Rawmaterial'!C1445</f>
        <v>Feedmil</v>
      </c>
      <c r="D99" s="1093" t="s">
        <v>10</v>
      </c>
      <c r="E99" s="1094">
        <f>'Stock Rawmaterial'!E1445</f>
        <v>44978</v>
      </c>
      <c r="F99" s="1095">
        <f t="shared" si="38"/>
        <v>1283</v>
      </c>
      <c r="G99" s="1095" t="e">
        <f>'Stock Rawmaterial'!#REF!</f>
        <v>#REF!</v>
      </c>
      <c r="H99" s="626">
        <f>'Stock Rawmaterial'!G1445</f>
        <v>0</v>
      </c>
      <c r="I99" s="1096" t="e">
        <f>'Stock Rawmaterial'!#REF!</f>
        <v>#REF!</v>
      </c>
      <c r="J99" s="626">
        <f>'Stock Rawmaterial'!H1445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Rawmaterial'!I1445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Rawmaterial'!J1445</f>
        <v>0</v>
      </c>
      <c r="S99" s="629" t="e">
        <f>'Stock Rawmaterial'!#REF!</f>
        <v>#REF!</v>
      </c>
      <c r="T99" s="628">
        <f>'Stock Rawmaterial'!K1445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Rawmaterial'!M1444</f>
        <v>0</v>
      </c>
      <c r="Z100" s="366">
        <f>IFERROR(X100/Y100,0)</f>
        <v>0</v>
      </c>
      <c r="AA100" s="59">
        <f>'Stock Rawmaterial'!O1444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86" t="e">
        <f>IF(X104=0,"",MAX($A$14:A100)+1)</f>
        <v>#REF!</v>
      </c>
      <c r="B101" s="2078" t="s">
        <v>1273</v>
      </c>
      <c r="C101" s="574" t="str">
        <f>'Stock Rawmaterial'!C1447</f>
        <v>V9.1</v>
      </c>
      <c r="D101" s="881" t="s">
        <v>10</v>
      </c>
      <c r="E101" s="882">
        <f>'Stock Rawmaterial'!E1447</f>
        <v>44986</v>
      </c>
      <c r="F101" s="71">
        <f t="shared" ref="F101:F103" si="41">$X$7-E101</f>
        <v>1275</v>
      </c>
      <c r="G101" s="71" t="e">
        <f>'Stock Rawmaterial'!#REF!</f>
        <v>#REF!</v>
      </c>
      <c r="H101" s="80">
        <f>'Stock Rawmaterial'!G1447</f>
        <v>0</v>
      </c>
      <c r="I101" s="80" t="e">
        <f>'Stock Rawmaterial'!#REF!</f>
        <v>#REF!</v>
      </c>
      <c r="J101" s="80">
        <f>'Stock Rawmaterial'!H1447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Rawmaterial'!I1447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Rawmaterial'!J1447</f>
        <v>0</v>
      </c>
      <c r="S101" s="80" t="e">
        <f>'Stock Rawmaterial'!#REF!</f>
        <v>#REF!</v>
      </c>
      <c r="T101" s="80">
        <f>'Stock Rawmaterial'!K1447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87"/>
      <c r="B102" s="2079"/>
      <c r="C102" s="574">
        <f>'Stock Rawmaterial'!C1448</f>
        <v>0</v>
      </c>
      <c r="D102" s="881" t="s">
        <v>10</v>
      </c>
      <c r="E102" s="882">
        <f>'Stock Rawmaterial'!E1448</f>
        <v>44924</v>
      </c>
      <c r="F102" s="71">
        <f t="shared" si="41"/>
        <v>1337</v>
      </c>
      <c r="G102" s="71" t="e">
        <f>'Stock Rawmaterial'!#REF!</f>
        <v>#REF!</v>
      </c>
      <c r="H102" s="80">
        <f>'Stock Rawmaterial'!G1448</f>
        <v>0</v>
      </c>
      <c r="I102" s="80" t="e">
        <f>'Stock Rawmaterial'!#REF!</f>
        <v>#REF!</v>
      </c>
      <c r="J102" s="80">
        <f>'Stock Rawmaterial'!H1448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Rawmaterial'!I1448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Rawmaterial'!J1448</f>
        <v>0</v>
      </c>
      <c r="S102" s="80" t="e">
        <f>'Stock Rawmaterial'!#REF!</f>
        <v>#REF!</v>
      </c>
      <c r="T102" s="80">
        <f>'Stock Rawmaterial'!K1448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87"/>
      <c r="B103" s="2079"/>
      <c r="C103" s="1092" t="str">
        <f>'Stock Rawmaterial'!C1449</f>
        <v>Feedmil</v>
      </c>
      <c r="D103" s="1093" t="s">
        <v>10</v>
      </c>
      <c r="E103" s="1094">
        <f>'Stock Rawmaterial'!E1449</f>
        <v>44986</v>
      </c>
      <c r="F103" s="1095">
        <f t="shared" si="41"/>
        <v>1275</v>
      </c>
      <c r="G103" s="1095" t="e">
        <f>'Stock Rawmaterial'!#REF!</f>
        <v>#REF!</v>
      </c>
      <c r="H103" s="626">
        <f>'Stock Rawmaterial'!G1449</f>
        <v>0</v>
      </c>
      <c r="I103" s="1096" t="e">
        <f>'Stock Rawmaterial'!#REF!</f>
        <v>#REF!</v>
      </c>
      <c r="J103" s="626">
        <f>'Stock Rawmaterial'!H1449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Rawmaterial'!I1449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Rawmaterial'!J1449</f>
        <v>0</v>
      </c>
      <c r="S103" s="629" t="e">
        <f>'Stock Rawmaterial'!#REF!</f>
        <v>#REF!</v>
      </c>
      <c r="T103" s="628">
        <f>'Stock Rawmaterial'!K1449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Rawmaterial'!M1448</f>
        <v>0</v>
      </c>
      <c r="Z104" s="366">
        <f>IFERROR(X104/Y104,0)</f>
        <v>0</v>
      </c>
      <c r="AA104" s="59">
        <f>'Stock Rawmaterial'!O1448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86" t="e">
        <f>IF(X108=0,"",MAX($A$14:A104)+1)</f>
        <v>#REF!</v>
      </c>
      <c r="B105" s="2078" t="s">
        <v>1290</v>
      </c>
      <c r="C105" s="574">
        <f>'Stock Rawmaterial'!C1451</f>
        <v>0</v>
      </c>
      <c r="D105" s="881" t="s">
        <v>10</v>
      </c>
      <c r="E105" s="882">
        <f>'Stock Rawmaterial'!E1451</f>
        <v>45027</v>
      </c>
      <c r="F105" s="71">
        <f t="shared" ref="F105:F107" si="44">$X$7-E105</f>
        <v>1234</v>
      </c>
      <c r="G105" s="71" t="e">
        <f>'Stock Rawmaterial'!#REF!</f>
        <v>#REF!</v>
      </c>
      <c r="H105" s="80">
        <f>'Stock Rawmaterial'!G1451</f>
        <v>0</v>
      </c>
      <c r="I105" s="80" t="e">
        <f>'Stock Rawmaterial'!#REF!</f>
        <v>#REF!</v>
      </c>
      <c r="J105" s="80">
        <f>'Stock Rawmaterial'!H1451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Rawmaterial'!I1451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Rawmaterial'!J1451</f>
        <v>0</v>
      </c>
      <c r="S105" s="80" t="e">
        <f>'Stock Rawmaterial'!#REF!</f>
        <v>#REF!</v>
      </c>
      <c r="T105" s="80">
        <f>'Stock Rawmaterial'!K1451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87"/>
      <c r="B106" s="2079"/>
      <c r="C106" s="574">
        <f>'Stock Rawmaterial'!C1452</f>
        <v>0</v>
      </c>
      <c r="D106" s="881" t="s">
        <v>10</v>
      </c>
      <c r="E106" s="882">
        <f>'Stock Rawmaterial'!E1452</f>
        <v>44924</v>
      </c>
      <c r="F106" s="71">
        <f t="shared" si="44"/>
        <v>1337</v>
      </c>
      <c r="G106" s="71" t="e">
        <f>'Stock Rawmaterial'!#REF!</f>
        <v>#REF!</v>
      </c>
      <c r="H106" s="80">
        <f>'Stock Rawmaterial'!G1452</f>
        <v>0</v>
      </c>
      <c r="I106" s="80" t="e">
        <f>'Stock Rawmaterial'!#REF!</f>
        <v>#REF!</v>
      </c>
      <c r="J106" s="80">
        <f>'Stock Rawmaterial'!H1452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Rawmaterial'!I1452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Rawmaterial'!J1452</f>
        <v>0</v>
      </c>
      <c r="S106" s="80" t="e">
        <f>'Stock Rawmaterial'!#REF!</f>
        <v>#REF!</v>
      </c>
      <c r="T106" s="80">
        <f>'Stock Rawmaterial'!K1452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87"/>
      <c r="B107" s="2079"/>
      <c r="C107" s="1092" t="str">
        <f>'Stock Rawmaterial'!C1453</f>
        <v>Feedmil</v>
      </c>
      <c r="D107" s="1093" t="s">
        <v>10</v>
      </c>
      <c r="E107" s="1094">
        <f>'Stock Rawmaterial'!E1453</f>
        <v>45027</v>
      </c>
      <c r="F107" s="1095">
        <f t="shared" si="44"/>
        <v>1234</v>
      </c>
      <c r="G107" s="1095" t="e">
        <f>'Stock Rawmaterial'!#REF!</f>
        <v>#REF!</v>
      </c>
      <c r="H107" s="626">
        <f>'Stock Rawmaterial'!G1453</f>
        <v>0</v>
      </c>
      <c r="I107" s="1096" t="e">
        <f>'Stock Rawmaterial'!#REF!</f>
        <v>#REF!</v>
      </c>
      <c r="J107" s="626">
        <f>'Stock Rawmaterial'!H1453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Rawmaterial'!I1453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Rawmaterial'!J1453</f>
        <v>0</v>
      </c>
      <c r="S107" s="629" t="e">
        <f>'Stock Rawmaterial'!#REF!</f>
        <v>#REF!</v>
      </c>
      <c r="T107" s="628">
        <f>'Stock Rawmaterial'!K1453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Rawmaterial'!M1452</f>
        <v>0</v>
      </c>
      <c r="Z108" s="366">
        <f>IFERROR(X108/Y108,0)</f>
        <v>0</v>
      </c>
      <c r="AA108" s="59">
        <f>'Stock Rawmaterial'!O1452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86" t="e">
        <f>IF(X112=0,"",MAX($A$14:A108)+1)</f>
        <v>#REF!</v>
      </c>
      <c r="B109" s="2078" t="s">
        <v>1333</v>
      </c>
      <c r="C109" s="574" t="str">
        <f>'Stock Rawmaterial'!C1455</f>
        <v>E2</v>
      </c>
      <c r="D109" s="881" t="s">
        <v>10</v>
      </c>
      <c r="E109" s="882">
        <f>'Stock Rawmaterial'!E1455</f>
        <v>45155</v>
      </c>
      <c r="F109" s="71">
        <f t="shared" ref="F109:F111" si="47">$X$7-E109</f>
        <v>1106</v>
      </c>
      <c r="G109" s="71" t="e">
        <f>'Stock Rawmaterial'!#REF!</f>
        <v>#REF!</v>
      </c>
      <c r="H109" s="80">
        <f>'Stock Rawmaterial'!G1455</f>
        <v>0</v>
      </c>
      <c r="I109" s="80" t="e">
        <f>'Stock Rawmaterial'!#REF!</f>
        <v>#REF!</v>
      </c>
      <c r="J109" s="80">
        <f>'Stock Rawmaterial'!H1455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Rawmaterial'!I1455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Rawmaterial'!J1455</f>
        <v>0</v>
      </c>
      <c r="S109" s="80" t="e">
        <f>'Stock Rawmaterial'!#REF!</f>
        <v>#REF!</v>
      </c>
      <c r="T109" s="80">
        <f>'Stock Rawmaterial'!K1455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87"/>
      <c r="B110" s="2079"/>
      <c r="C110" s="574">
        <f>'Stock Rawmaterial'!C1456</f>
        <v>0</v>
      </c>
      <c r="D110" s="881" t="s">
        <v>10</v>
      </c>
      <c r="E110" s="882">
        <f>'Stock Rawmaterial'!E1456</f>
        <v>44924</v>
      </c>
      <c r="F110" s="71">
        <f t="shared" si="47"/>
        <v>1337</v>
      </c>
      <c r="G110" s="71" t="e">
        <f>'Stock Rawmaterial'!#REF!</f>
        <v>#REF!</v>
      </c>
      <c r="H110" s="80">
        <f>'Stock Rawmaterial'!G1456</f>
        <v>0</v>
      </c>
      <c r="I110" s="80" t="e">
        <f>'Stock Rawmaterial'!#REF!</f>
        <v>#REF!</v>
      </c>
      <c r="J110" s="80">
        <f>'Stock Rawmaterial'!H1456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Rawmaterial'!I1456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Rawmaterial'!J1456</f>
        <v>0</v>
      </c>
      <c r="S110" s="80" t="e">
        <f>'Stock Rawmaterial'!#REF!</f>
        <v>#REF!</v>
      </c>
      <c r="T110" s="80">
        <f>'Stock Rawmaterial'!K1456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87"/>
      <c r="B111" s="2079"/>
      <c r="C111" s="1092" t="str">
        <f>'Stock Rawmaterial'!C1457</f>
        <v>Feedmil</v>
      </c>
      <c r="D111" s="1093" t="s">
        <v>10</v>
      </c>
      <c r="E111" s="1094">
        <f>'Stock Rawmaterial'!E1457</f>
        <v>45155</v>
      </c>
      <c r="F111" s="1095">
        <f t="shared" si="47"/>
        <v>1106</v>
      </c>
      <c r="G111" s="1095" t="e">
        <f>'Stock Rawmaterial'!#REF!</f>
        <v>#REF!</v>
      </c>
      <c r="H111" s="626">
        <f>'Stock Rawmaterial'!G1457</f>
        <v>0</v>
      </c>
      <c r="I111" s="1096" t="e">
        <f>'Stock Rawmaterial'!#REF!</f>
        <v>#REF!</v>
      </c>
      <c r="J111" s="626">
        <f>'Stock Rawmaterial'!H1457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Rawmaterial'!I1457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Rawmaterial'!J1457</f>
        <v>0</v>
      </c>
      <c r="S111" s="629" t="e">
        <f>'Stock Rawmaterial'!#REF!</f>
        <v>#REF!</v>
      </c>
      <c r="T111" s="628">
        <f>'Stock Rawmaterial'!K1457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Rawmaterial'!M1456</f>
        <v>0</v>
      </c>
      <c r="Z112" s="366">
        <f>IFERROR(X112/Y112,0)</f>
        <v>0</v>
      </c>
      <c r="AA112" s="59">
        <f>'Stock Rawmaterial'!O1456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86" t="e">
        <f>IF(X116=0,"",MAX($A$14:A108)+1)</f>
        <v>#REF!</v>
      </c>
      <c r="B113" s="2078" t="s">
        <v>1305</v>
      </c>
      <c r="C113" s="574">
        <f>'Stock Rawmaterial'!C1459</f>
        <v>0</v>
      </c>
      <c r="D113" s="881" t="s">
        <v>10</v>
      </c>
      <c r="E113" s="882">
        <f>'Stock Rawmaterial'!E1459</f>
        <v>44847</v>
      </c>
      <c r="F113" s="71">
        <f t="shared" ref="F113:F115" si="50">$X$7-E113</f>
        <v>1414</v>
      </c>
      <c r="G113" s="71" t="e">
        <f>'Stock Rawmaterial'!#REF!</f>
        <v>#REF!</v>
      </c>
      <c r="H113" s="80">
        <f>'Stock Rawmaterial'!G1459</f>
        <v>0</v>
      </c>
      <c r="I113" s="80" t="e">
        <f>'Stock Rawmaterial'!#REF!</f>
        <v>#REF!</v>
      </c>
      <c r="J113" s="80">
        <f>'Stock Rawmaterial'!H1459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Rawmaterial'!I1459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Rawmaterial'!J1459</f>
        <v>0</v>
      </c>
      <c r="S113" s="80" t="e">
        <f>'Stock Rawmaterial'!#REF!</f>
        <v>#REF!</v>
      </c>
      <c r="T113" s="80">
        <f>'Stock Rawmaterial'!K1459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87"/>
      <c r="B114" s="2079"/>
      <c r="C114" s="574">
        <f>'Stock Rawmaterial'!C1460</f>
        <v>0</v>
      </c>
      <c r="D114" s="881" t="s">
        <v>10</v>
      </c>
      <c r="E114" s="882">
        <f>'Stock Rawmaterial'!E1460</f>
        <v>44566</v>
      </c>
      <c r="F114" s="71">
        <f t="shared" si="50"/>
        <v>1695</v>
      </c>
      <c r="G114" s="71" t="e">
        <f>'Stock Rawmaterial'!#REF!</f>
        <v>#REF!</v>
      </c>
      <c r="H114" s="80">
        <f>'Stock Rawmaterial'!G1460</f>
        <v>0</v>
      </c>
      <c r="I114" s="80" t="e">
        <f>'Stock Rawmaterial'!#REF!</f>
        <v>#REF!</v>
      </c>
      <c r="J114" s="80">
        <f>'Stock Rawmaterial'!H1460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Rawmaterial'!I1460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Rawmaterial'!J1460</f>
        <v>0</v>
      </c>
      <c r="S114" s="80" t="e">
        <f>'Stock Rawmaterial'!#REF!</f>
        <v>#REF!</v>
      </c>
      <c r="T114" s="80">
        <f>'Stock Rawmaterial'!K1460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87"/>
      <c r="B115" s="2079"/>
      <c r="C115" s="1092" t="str">
        <f>'Stock Rawmaterial'!C1461</f>
        <v>Feedmil</v>
      </c>
      <c r="D115" s="1093" t="s">
        <v>10</v>
      </c>
      <c r="E115" s="1094">
        <f>'Stock Rawmaterial'!E1461</f>
        <v>44847</v>
      </c>
      <c r="F115" s="1095">
        <f t="shared" si="50"/>
        <v>1414</v>
      </c>
      <c r="G115" s="1095" t="e">
        <f>'Stock Rawmaterial'!#REF!</f>
        <v>#REF!</v>
      </c>
      <c r="H115" s="626">
        <f>'Stock Rawmaterial'!G1461</f>
        <v>0</v>
      </c>
      <c r="I115" s="1096" t="e">
        <f>'Stock Rawmaterial'!#REF!</f>
        <v>#REF!</v>
      </c>
      <c r="J115" s="626">
        <f>'Stock Rawmaterial'!H1461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Rawmaterial'!I1461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Rawmaterial'!J1461</f>
        <v>0</v>
      </c>
      <c r="S115" s="629" t="e">
        <f>'Stock Rawmaterial'!#REF!</f>
        <v>#REF!</v>
      </c>
      <c r="T115" s="628">
        <f>'Stock Rawmaterial'!K1461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Rawmaterial'!M1460</f>
        <v>0</v>
      </c>
      <c r="Z116" s="366">
        <f>IFERROR(X116/Y116,0)</f>
        <v>0</v>
      </c>
      <c r="AA116" s="59">
        <f>'Stock Rawmaterial'!O1460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86" t="str">
        <f>IF(X120=0,"",MAX($A$14:A116)+1)</f>
        <v/>
      </c>
      <c r="B117" s="2078"/>
      <c r="C117" s="574" t="str">
        <f>'Stock Rawmaterial'!C1463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87"/>
      <c r="B118" s="2079"/>
      <c r="C118" s="574">
        <f>'Stock Rawmaterial'!C1464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87"/>
      <c r="B119" s="2079"/>
      <c r="C119" s="1092" t="str">
        <f>'Stock Rawmaterial'!C1465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Rawmaterial'!M1464</f>
        <v>0</v>
      </c>
      <c r="Z120" s="366">
        <f>IFERROR(X120/Y120,0)</f>
        <v>0</v>
      </c>
      <c r="AA120" s="59">
        <f>'Stock Rawmaterial'!O1464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87" t="e">
        <f>IF(X125=0,"",MAX($A$14:A120)+1)</f>
        <v>#REF!</v>
      </c>
      <c r="B121" s="2079" t="s">
        <v>484</v>
      </c>
      <c r="C121" s="574" t="str">
        <f>'Stock Rawmaterial'!C712</f>
        <v>B15.2</v>
      </c>
      <c r="D121" s="881" t="s">
        <v>10</v>
      </c>
      <c r="E121" s="882">
        <f>'Stock Rawmaterial'!E712</f>
        <v>45180</v>
      </c>
      <c r="F121" s="71">
        <f t="shared" si="0"/>
        <v>1081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87"/>
      <c r="B122" s="2079"/>
      <c r="C122" s="574" t="str">
        <f>'Stock Rawmaterial'!C713</f>
        <v>B18.1</v>
      </c>
      <c r="D122" s="881" t="s">
        <v>10</v>
      </c>
      <c r="E122" s="882">
        <f>'Stock Rawmaterial'!E713</f>
        <v>45195</v>
      </c>
      <c r="F122" s="71">
        <f t="shared" si="0"/>
        <v>1066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87"/>
      <c r="B123" s="2079"/>
      <c r="C123" s="574">
        <f>'Stock Rawmaterial'!C714</f>
        <v>0</v>
      </c>
      <c r="D123" s="881" t="s">
        <v>10</v>
      </c>
      <c r="E123" s="882">
        <f>'Stock Rawmaterial'!E714</f>
        <v>45195</v>
      </c>
      <c r="F123" s="71">
        <f t="shared" si="0"/>
        <v>1066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88"/>
      <c r="B124" s="2071"/>
      <c r="C124" s="574" t="str">
        <f>'Stock Rawmaterial'!C721</f>
        <v>FM81</v>
      </c>
      <c r="D124" s="881" t="s">
        <v>10</v>
      </c>
      <c r="E124" s="882">
        <f>'Stock Rawmaterial'!E721</f>
        <v>45195</v>
      </c>
      <c r="F124" s="71">
        <f t="shared" si="0"/>
        <v>1066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Rawmaterial'!H721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Rawmaterial'!K721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Rawmaterial'!M722</f>
        <v/>
      </c>
      <c r="Z125" s="366">
        <f>IFERROR(X125/Y125,0)</f>
        <v>0</v>
      </c>
      <c r="AA125" s="59">
        <f>'Stock Rawmaterial'!O722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87" t="e">
        <f>IF(X129=0,"",MAX($A$14:A125)+1)</f>
        <v>#REF!</v>
      </c>
      <c r="B126" s="2079" t="s">
        <v>932</v>
      </c>
      <c r="C126" s="574" t="str">
        <f>'Stock Rawmaterial'!C595</f>
        <v>A22.6</v>
      </c>
      <c r="D126" s="881" t="s">
        <v>10</v>
      </c>
      <c r="E126" s="882">
        <f>'Stock Rawmaterial'!E595</f>
        <v>44327</v>
      </c>
      <c r="F126" s="71">
        <f>$X$7-E126</f>
        <v>1934</v>
      </c>
      <c r="G126" s="71" t="e">
        <f>'Stock Rawmaterial'!#REF!</f>
        <v>#REF!</v>
      </c>
      <c r="H126" s="80">
        <f>'Stock Rawmaterial'!G595</f>
        <v>0</v>
      </c>
      <c r="I126" s="80" t="e">
        <f>'Stock Rawmaterial'!#REF!</f>
        <v>#REF!</v>
      </c>
      <c r="J126" s="80">
        <f>'Stock Rawmaterial'!H595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Rawmaterial'!I595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Rawmaterial'!J595</f>
        <v>0</v>
      </c>
      <c r="S126" s="80" t="e">
        <f>'Stock Rawmaterial'!#REF!</f>
        <v>#REF!</v>
      </c>
      <c r="T126" s="80">
        <f>'Stock Rawmaterial'!K595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87"/>
      <c r="B127" s="2079"/>
      <c r="C127" s="574">
        <f>'Stock Rawmaterial'!C596</f>
        <v>0</v>
      </c>
      <c r="D127" s="881" t="s">
        <v>10</v>
      </c>
      <c r="E127" s="882">
        <f>'Stock Rawmaterial'!E596</f>
        <v>0</v>
      </c>
      <c r="F127" s="71">
        <f>$X$7-E127</f>
        <v>46261</v>
      </c>
      <c r="G127" s="71" t="e">
        <f>'Stock Rawmaterial'!#REF!</f>
        <v>#REF!</v>
      </c>
      <c r="H127" s="80">
        <f>'Stock Rawmaterial'!G596</f>
        <v>0</v>
      </c>
      <c r="I127" s="80" t="e">
        <f>'Stock Rawmaterial'!#REF!</f>
        <v>#REF!</v>
      </c>
      <c r="J127" s="80">
        <f>'Stock Rawmaterial'!H596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Rawmaterial'!I596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Rawmaterial'!J596</f>
        <v>0</v>
      </c>
      <c r="S127" s="80" t="e">
        <f>'Stock Rawmaterial'!#REF!</f>
        <v>#REF!</v>
      </c>
      <c r="T127" s="80">
        <f>'Stock Rawmaterial'!K596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87"/>
      <c r="B128" s="2079"/>
      <c r="C128" s="574" t="str">
        <f>'Stock Rawmaterial'!C597</f>
        <v>FM</v>
      </c>
      <c r="D128" s="881" t="s">
        <v>10</v>
      </c>
      <c r="E128" s="882">
        <f>'Stock Rawmaterial'!E597</f>
        <v>44327</v>
      </c>
      <c r="F128" s="71">
        <f>$X$7-E128</f>
        <v>1934</v>
      </c>
      <c r="G128" s="71" t="e">
        <f>'Stock Rawmaterial'!#REF!</f>
        <v>#REF!</v>
      </c>
      <c r="H128" s="80">
        <f>'Stock Rawmaterial'!G597</f>
        <v>0</v>
      </c>
      <c r="I128" s="80" t="e">
        <f>'Stock Rawmaterial'!#REF!</f>
        <v>#REF!</v>
      </c>
      <c r="J128" s="80">
        <f>'Stock Rawmaterial'!H597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Rawmaterial'!I597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Rawmaterial'!J597</f>
        <v>0</v>
      </c>
      <c r="S128" s="80" t="e">
        <f>'Stock Rawmaterial'!#REF!</f>
        <v>#REF!</v>
      </c>
      <c r="T128" s="80">
        <f>'Stock Rawmaterial'!K597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Rawmaterial'!M727</f>
        <v>0</v>
      </c>
      <c r="Z129" s="366">
        <f>IFERROR(X129/Y129,0)</f>
        <v>0</v>
      </c>
      <c r="AA129" s="59">
        <f>'Stock Rawmaterial'!O727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87" t="str">
        <f>IF(X134=0,"",MAX($A$14:A129)+1)</f>
        <v/>
      </c>
      <c r="B130" s="2079" t="s">
        <v>1203</v>
      </c>
      <c r="C130" s="574" t="str">
        <f>'Stock Rawmaterial'!C521</f>
        <v>Z1.2</v>
      </c>
      <c r="D130" s="881" t="s">
        <v>10</v>
      </c>
      <c r="E130" s="882">
        <f>'Stock Rawmaterial'!E521</f>
        <v>44859</v>
      </c>
      <c r="F130" s="71">
        <f>$X$7-E130</f>
        <v>1402</v>
      </c>
      <c r="G130" s="71" t="e">
        <f>'Stock Rawmaterial'!#REF!</f>
        <v>#REF!</v>
      </c>
      <c r="H130" s="80">
        <f>'Stock Rawmaterial'!G521</f>
        <v>0</v>
      </c>
      <c r="I130" s="80" t="e">
        <f>'Stock Rawmaterial'!#REF!</f>
        <v>#REF!</v>
      </c>
      <c r="J130" s="80">
        <f>'Stock Rawmaterial'!H521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Rawmaterial'!I521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Rawmaterial'!J521</f>
        <v>0</v>
      </c>
      <c r="S130" s="80" t="e">
        <f>'Stock Rawmaterial'!#REF!</f>
        <v>#REF!</v>
      </c>
      <c r="T130" s="80">
        <f>'Stock Rawmaterial'!K521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Rawmaterial'!L521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87"/>
      <c r="B131" s="2079"/>
      <c r="C131" s="574" t="str">
        <f>'Stock Rawmaterial'!C522</f>
        <v>Z3.2</v>
      </c>
      <c r="D131" s="881" t="s">
        <v>10</v>
      </c>
      <c r="E131" s="882">
        <f>'Stock Rawmaterial'!E522</f>
        <v>44859</v>
      </c>
      <c r="F131" s="71">
        <f t="shared" ref="F131:F133" si="56">$X$7-E131</f>
        <v>1402</v>
      </c>
      <c r="G131" s="71" t="e">
        <f>'Stock Rawmaterial'!#REF!</f>
        <v>#REF!</v>
      </c>
      <c r="H131" s="80">
        <f>'Stock Rawmaterial'!G522</f>
        <v>0</v>
      </c>
      <c r="I131" s="80" t="e">
        <f>'Stock Rawmaterial'!#REF!</f>
        <v>#REF!</v>
      </c>
      <c r="J131" s="80">
        <f>'Stock Rawmaterial'!H522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Rawmaterial'!I522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Rawmaterial'!J522</f>
        <v>0</v>
      </c>
      <c r="S131" s="80" t="e">
        <f>'Stock Rawmaterial'!#REF!</f>
        <v>#REF!</v>
      </c>
      <c r="T131" s="80">
        <f>'Stock Rawmaterial'!K522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Rawmaterial'!L522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4"/>
      <c r="B132" s="2085"/>
      <c r="C132" s="574">
        <f>'Stock Rawmaterial'!C523</f>
        <v>0</v>
      </c>
      <c r="D132" s="881" t="s">
        <v>10</v>
      </c>
      <c r="E132" s="882">
        <f>'Stock Rawmaterial'!E523</f>
        <v>44859</v>
      </c>
      <c r="F132" s="71">
        <f t="shared" ref="F132" si="57">$X$7-E132</f>
        <v>1402</v>
      </c>
      <c r="G132" s="71" t="e">
        <f>'Stock Rawmaterial'!#REF!</f>
        <v>#REF!</v>
      </c>
      <c r="H132" s="80">
        <f>'Stock Rawmaterial'!G523</f>
        <v>0</v>
      </c>
      <c r="I132" s="80" t="e">
        <f>'Stock Rawmaterial'!#REF!</f>
        <v>#REF!</v>
      </c>
      <c r="J132" s="80">
        <f>'Stock Rawmaterial'!H523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Rawmaterial'!I523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Rawmaterial'!J523</f>
        <v>0</v>
      </c>
      <c r="S132" s="80" t="e">
        <f>'Stock Rawmaterial'!#REF!</f>
        <v>#REF!</v>
      </c>
      <c r="T132" s="80">
        <f>'Stock Rawmaterial'!K523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Rawmaterial'!L523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87"/>
      <c r="B133" s="2079"/>
      <c r="C133" s="1092" t="str">
        <f>'Stock Rawmaterial'!C524</f>
        <v>FM</v>
      </c>
      <c r="D133" s="1093" t="s">
        <v>10</v>
      </c>
      <c r="E133" s="1094">
        <f>'Stock Rawmaterial'!E524</f>
        <v>44859</v>
      </c>
      <c r="F133" s="1095">
        <f t="shared" si="56"/>
        <v>1402</v>
      </c>
      <c r="G133" s="1095" t="e">
        <f>'Stock Rawmaterial'!#REF!</f>
        <v>#REF!</v>
      </c>
      <c r="H133" s="626">
        <f>'Stock Rawmaterial'!G524</f>
        <v>0</v>
      </c>
      <c r="I133" s="80" t="e">
        <f>'Stock Rawmaterial'!#REF!</f>
        <v>#REF!</v>
      </c>
      <c r="J133" s="80">
        <f>'Stock Rawmaterial'!H524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Rawmaterial'!I524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Rawmaterial'!J524</f>
        <v>0</v>
      </c>
      <c r="S133" s="80" t="e">
        <f>'Stock Rawmaterial'!#REF!</f>
        <v>#REF!</v>
      </c>
      <c r="T133" s="80">
        <f>'Stock Rawmaterial'!K524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Rawmaterial'!L524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Rawmaterial'!M731</f>
        <v>0</v>
      </c>
      <c r="Z134" s="366">
        <f>IFERROR(X134/Y134,0)</f>
        <v>0</v>
      </c>
      <c r="AA134" s="59">
        <f>'Stock Rawmaterial'!O731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87" t="str">
        <f>IF(X138=0,"",MAX($A$14:A134)+1)</f>
        <v/>
      </c>
      <c r="B135" s="2079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1419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87"/>
      <c r="B136" s="2079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1260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87"/>
      <c r="B137" s="2079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1260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Rawmaterial'!M735</f>
        <v>0</v>
      </c>
      <c r="Z138" s="366">
        <f>IFERROR(X138/Y138,0)</f>
        <v>0</v>
      </c>
      <c r="AA138" s="59">
        <f>'Stock Rawmaterial'!O735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87" t="str">
        <f>IF(X142=0,"",MAX($A$14:A138)+1)</f>
        <v/>
      </c>
      <c r="B139" s="2079" t="s">
        <v>1230</v>
      </c>
      <c r="C139" s="574" t="str">
        <f>'Stock Rawmaterial'!C579</f>
        <v>B1</v>
      </c>
      <c r="D139" s="881" t="str">
        <f>'Stock Rawmaterial'!D319</f>
        <v>Rec.</v>
      </c>
      <c r="E139" s="882">
        <f>'Stock Rawmaterial'!E579</f>
        <v>44916</v>
      </c>
      <c r="F139" s="1240">
        <f>'Stock Rawmaterial'!F579</f>
        <v>1345</v>
      </c>
      <c r="G139" s="574" t="e">
        <f>'Stock Rawmaterial'!#REF!</f>
        <v>#REF!</v>
      </c>
      <c r="H139" s="80">
        <f>'Stock Rawmaterial'!G579</f>
        <v>0</v>
      </c>
      <c r="I139" s="1240" t="e">
        <f>'Stock Rawmaterial'!#REF!</f>
        <v>#REF!</v>
      </c>
      <c r="J139" s="1240">
        <f>'Stock Rawmaterial'!H579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Rawmaterial'!I579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Rawmaterial'!J579</f>
        <v>0</v>
      </c>
      <c r="S139" s="1240" t="e">
        <f>'Stock Rawmaterial'!#REF!</f>
        <v>#REF!</v>
      </c>
      <c r="T139" s="1240">
        <f>'Stock Rawmaterial'!K579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Rawmaterial'!L579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87"/>
      <c r="B140" s="2079"/>
      <c r="C140" s="574">
        <f>'Stock Rawmaterial'!C580</f>
        <v>0</v>
      </c>
      <c r="D140" s="881" t="str">
        <f>'Stock Rawmaterial'!D320</f>
        <v>Rec.</v>
      </c>
      <c r="E140" s="882">
        <f>'Stock Rawmaterial'!E580</f>
        <v>0</v>
      </c>
      <c r="F140" s="1240">
        <f>'Stock Rawmaterial'!F580</f>
        <v>46261</v>
      </c>
      <c r="G140" s="574" t="e">
        <f>'Stock Rawmaterial'!#REF!</f>
        <v>#REF!</v>
      </c>
      <c r="H140" s="1240">
        <f>'Stock Rawmaterial'!G580</f>
        <v>0</v>
      </c>
      <c r="I140" s="1240" t="e">
        <f>'Stock Rawmaterial'!#REF!</f>
        <v>#REF!</v>
      </c>
      <c r="J140" s="1240">
        <f>'Stock Rawmaterial'!H580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Rawmaterial'!I580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Rawmaterial'!J580</f>
        <v>0</v>
      </c>
      <c r="S140" s="1240" t="e">
        <f>'Stock Rawmaterial'!#REF!</f>
        <v>#REF!</v>
      </c>
      <c r="T140" s="1240">
        <f>'Stock Rawmaterial'!K580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Rawmaterial'!L580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87"/>
      <c r="B141" s="2079"/>
      <c r="C141" s="1092" t="str">
        <f>'Stock Rawmaterial'!C581</f>
        <v>FM</v>
      </c>
      <c r="D141" s="1093" t="str">
        <f>'Stock Rawmaterial'!D321</f>
        <v>Rec.</v>
      </c>
      <c r="E141" s="1094">
        <f>'Stock Rawmaterial'!E581</f>
        <v>44916</v>
      </c>
      <c r="F141" s="1095">
        <f>'Stock Rawmaterial'!F581</f>
        <v>1345</v>
      </c>
      <c r="G141" s="1095" t="e">
        <f>'Stock Rawmaterial'!#REF!</f>
        <v>#REF!</v>
      </c>
      <c r="H141" s="626">
        <f>'Stock Rawmaterial'!G581</f>
        <v>0</v>
      </c>
      <c r="I141" s="1240" t="e">
        <f>'Stock Rawmaterial'!#REF!</f>
        <v>#REF!</v>
      </c>
      <c r="J141" s="1240">
        <f>'Stock Rawmaterial'!H581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Rawmaterial'!I581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Rawmaterial'!J581</f>
        <v>0</v>
      </c>
      <c r="S141" s="1240" t="e">
        <f>'Stock Rawmaterial'!#REF!</f>
        <v>#REF!</v>
      </c>
      <c r="T141" s="1240">
        <f>'Stock Rawmaterial'!K581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Rawmaterial'!L581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Rawmaterial'!M739</f>
        <v>0</v>
      </c>
      <c r="Z142" s="366">
        <f>IFERROR(X142/Y142,0)</f>
        <v>0</v>
      </c>
      <c r="AA142" s="59">
        <f>'Stock Rawmaterial'!O739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87" t="str">
        <f>IF(X146=0,"",MAX($A$14:A142)+1)</f>
        <v/>
      </c>
      <c r="B143" s="2079" t="s">
        <v>1253</v>
      </c>
      <c r="C143" s="574" t="str">
        <f>'Stock Rawmaterial'!C583</f>
        <v>A18.1</v>
      </c>
      <c r="D143" s="881" t="str">
        <f>'Stock Rawmaterial'!D323</f>
        <v>Rec.</v>
      </c>
      <c r="E143" s="882">
        <f>'Stock Rawmaterial'!E583</f>
        <v>44959</v>
      </c>
      <c r="F143" s="1240">
        <f>'Stock Rawmaterial'!F583</f>
        <v>1302</v>
      </c>
      <c r="G143" s="574" t="e">
        <f>'Stock Rawmaterial'!#REF!</f>
        <v>#REF!</v>
      </c>
      <c r="H143" s="1263">
        <f>'Stock Rawmaterial'!G583</f>
        <v>0</v>
      </c>
      <c r="I143" s="1240" t="e">
        <f>'Stock Rawmaterial'!#REF!</f>
        <v>#REF!</v>
      </c>
      <c r="J143" s="1240">
        <f>'Stock Rawmaterial'!H583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Rawmaterial'!I583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Rawmaterial'!J583</f>
        <v>0</v>
      </c>
      <c r="S143" s="1240" t="e">
        <f>'Stock Rawmaterial'!#REF!</f>
        <v>#REF!</v>
      </c>
      <c r="T143" s="1240">
        <f>'Stock Rawmaterial'!K583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Rawmaterial'!L583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87"/>
      <c r="B144" s="2079"/>
      <c r="C144" s="574">
        <f>'Stock Rawmaterial'!C584</f>
        <v>0</v>
      </c>
      <c r="D144" s="881" t="str">
        <f>'Stock Rawmaterial'!D324</f>
        <v>Rec.</v>
      </c>
      <c r="E144" s="882">
        <f>'Stock Rawmaterial'!E584</f>
        <v>0</v>
      </c>
      <c r="F144" s="1240">
        <f>'Stock Rawmaterial'!F584</f>
        <v>46261</v>
      </c>
      <c r="G144" s="574" t="e">
        <f>'Stock Rawmaterial'!#REF!</f>
        <v>#REF!</v>
      </c>
      <c r="H144" s="1240">
        <f>'Stock Rawmaterial'!G584</f>
        <v>0</v>
      </c>
      <c r="I144" s="1240" t="e">
        <f>'Stock Rawmaterial'!#REF!</f>
        <v>#REF!</v>
      </c>
      <c r="J144" s="1240">
        <f>'Stock Rawmaterial'!H584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Rawmaterial'!I584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Rawmaterial'!J584</f>
        <v>0</v>
      </c>
      <c r="S144" s="1240" t="e">
        <f>'Stock Rawmaterial'!#REF!</f>
        <v>#REF!</v>
      </c>
      <c r="T144" s="1240">
        <f>'Stock Rawmaterial'!K584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Rawmaterial'!L584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87"/>
      <c r="B145" s="2079"/>
      <c r="C145" s="1092" t="str">
        <f>'Stock Rawmaterial'!C585</f>
        <v>FM</v>
      </c>
      <c r="D145" s="1093" t="str">
        <f>'Stock Rawmaterial'!D325</f>
        <v>Rec.</v>
      </c>
      <c r="E145" s="1094">
        <f>'Stock Rawmaterial'!E585</f>
        <v>44959</v>
      </c>
      <c r="F145" s="1095">
        <f>'Stock Rawmaterial'!F585</f>
        <v>1302</v>
      </c>
      <c r="G145" s="1095" t="e">
        <f>'Stock Rawmaterial'!#REF!</f>
        <v>#REF!</v>
      </c>
      <c r="H145" s="626">
        <f>'Stock Rawmaterial'!G585</f>
        <v>0</v>
      </c>
      <c r="I145" s="1240" t="e">
        <f>'Stock Rawmaterial'!#REF!</f>
        <v>#REF!</v>
      </c>
      <c r="J145" s="1240">
        <f>'Stock Rawmaterial'!H585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Rawmaterial'!I585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Rawmaterial'!J585</f>
        <v>0</v>
      </c>
      <c r="S145" s="1240" t="e">
        <f>'Stock Rawmaterial'!#REF!</f>
        <v>#REF!</v>
      </c>
      <c r="T145" s="1240">
        <f>'Stock Rawmaterial'!K585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Rawmaterial'!L585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Rawmaterial'!M743</f>
        <v>0</v>
      </c>
      <c r="Z146" s="366">
        <f>IFERROR(X146/Y146,0)</f>
        <v>0</v>
      </c>
      <c r="AA146" s="59">
        <f>'Stock Rawmaterial'!O743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87" t="str">
        <f>IF(X150=0,"",MAX($A$14:A146)+1)</f>
        <v/>
      </c>
      <c r="B147" s="2079" t="s">
        <v>1280</v>
      </c>
      <c r="C147" s="574" t="str">
        <f>'Stock Rawmaterial'!C587</f>
        <v>A12.2</v>
      </c>
      <c r="D147" s="881" t="str">
        <f>'Stock Rawmaterial'!D327</f>
        <v>Rec.</v>
      </c>
      <c r="E147" s="882">
        <f>'Stock Rawmaterial'!E587</f>
        <v>45146</v>
      </c>
      <c r="F147" s="1240">
        <f>'Stock Rawmaterial'!F587</f>
        <v>1115</v>
      </c>
      <c r="G147" s="574" t="e">
        <f>'Stock Rawmaterial'!#REF!</f>
        <v>#REF!</v>
      </c>
      <c r="H147" s="1263">
        <f>'Stock Rawmaterial'!G587</f>
        <v>0</v>
      </c>
      <c r="I147" s="1240" t="e">
        <f>'Stock Rawmaterial'!#REF!</f>
        <v>#REF!</v>
      </c>
      <c r="J147" s="1240">
        <f>'Stock Rawmaterial'!H587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Rawmaterial'!I587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Rawmaterial'!J587</f>
        <v>0</v>
      </c>
      <c r="S147" s="1240" t="e">
        <f>'Stock Rawmaterial'!#REF!</f>
        <v>#REF!</v>
      </c>
      <c r="T147" s="1240">
        <f>'Stock Rawmaterial'!K587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Rawmaterial'!L587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87"/>
      <c r="B148" s="2079"/>
      <c r="C148" s="574">
        <f>'Stock Rawmaterial'!C588</f>
        <v>0</v>
      </c>
      <c r="D148" s="881">
        <f>'Stock Rawmaterial'!D328</f>
        <v>0</v>
      </c>
      <c r="E148" s="882">
        <f>'Stock Rawmaterial'!E588</f>
        <v>0</v>
      </c>
      <c r="F148" s="1240">
        <f>'Stock Rawmaterial'!F588</f>
        <v>46261</v>
      </c>
      <c r="G148" s="574" t="e">
        <f>'Stock Rawmaterial'!#REF!</f>
        <v>#REF!</v>
      </c>
      <c r="H148" s="1240">
        <f>'Stock Rawmaterial'!G588</f>
        <v>0</v>
      </c>
      <c r="I148" s="1240" t="e">
        <f>'Stock Rawmaterial'!#REF!</f>
        <v>#REF!</v>
      </c>
      <c r="J148" s="1240">
        <f>'Stock Rawmaterial'!H588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Rawmaterial'!I588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Rawmaterial'!J588</f>
        <v>0</v>
      </c>
      <c r="S148" s="1240" t="e">
        <f>'Stock Rawmaterial'!#REF!</f>
        <v>#REF!</v>
      </c>
      <c r="T148" s="1240">
        <f>'Stock Rawmaterial'!K588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Rawmaterial'!L588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87"/>
      <c r="B149" s="2079"/>
      <c r="C149" s="1092" t="str">
        <f>'Stock Rawmaterial'!C589</f>
        <v>FM69</v>
      </c>
      <c r="D149" s="1093" t="str">
        <f>'Stock Rawmaterial'!D329</f>
        <v>Rec.</v>
      </c>
      <c r="E149" s="1094">
        <f>'Stock Rawmaterial'!E589</f>
        <v>45146</v>
      </c>
      <c r="F149" s="1095">
        <f>'Stock Rawmaterial'!F589</f>
        <v>1115</v>
      </c>
      <c r="G149" s="1095" t="e">
        <f>'Stock Rawmaterial'!#REF!</f>
        <v>#REF!</v>
      </c>
      <c r="H149" s="626">
        <f>'Stock Rawmaterial'!G589</f>
        <v>0</v>
      </c>
      <c r="I149" s="1240" t="e">
        <f>'Stock Rawmaterial'!#REF!</f>
        <v>#REF!</v>
      </c>
      <c r="J149" s="1240">
        <f>'Stock Rawmaterial'!H589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Rawmaterial'!I589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Rawmaterial'!J589</f>
        <v>0</v>
      </c>
      <c r="S149" s="1240" t="e">
        <f>'Stock Rawmaterial'!#REF!</f>
        <v>#REF!</v>
      </c>
      <c r="T149" s="1240">
        <f>'Stock Rawmaterial'!K589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Rawmaterial'!L589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Rawmaterial'!M747</f>
        <v>0</v>
      </c>
      <c r="Z150" s="366">
        <f>IFERROR(X150/Y150,0)</f>
        <v>0</v>
      </c>
      <c r="AA150" s="59">
        <f>'Stock Rawmaterial'!O747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87" t="str">
        <f>IF(X154=0,"",MAX($A$14:A150)+1)</f>
        <v/>
      </c>
      <c r="B151" s="2079" t="s">
        <v>1284</v>
      </c>
      <c r="C151" s="574" t="str">
        <f>'Stock Rawmaterial'!C591</f>
        <v>C6</v>
      </c>
      <c r="D151" s="881" t="str">
        <f>'Stock Rawmaterial'!D331</f>
        <v>Rec.</v>
      </c>
      <c r="E151" s="882">
        <f>'Stock Rawmaterial'!E591</f>
        <v>45009</v>
      </c>
      <c r="F151" s="1240">
        <f>'Stock Rawmaterial'!F591</f>
        <v>1252</v>
      </c>
      <c r="G151" s="574" t="e">
        <f>'Stock Rawmaterial'!#REF!</f>
        <v>#REF!</v>
      </c>
      <c r="H151" s="1263">
        <f>'Stock Rawmaterial'!G591</f>
        <v>0</v>
      </c>
      <c r="I151" s="1240" t="e">
        <f>'Stock Rawmaterial'!#REF!</f>
        <v>#REF!</v>
      </c>
      <c r="J151" s="1240">
        <f>'Stock Rawmaterial'!H591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Rawmaterial'!I591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Rawmaterial'!J591</f>
        <v>0</v>
      </c>
      <c r="S151" s="1240" t="e">
        <f>'Stock Rawmaterial'!#REF!</f>
        <v>#REF!</v>
      </c>
      <c r="T151" s="1240">
        <f>'Stock Rawmaterial'!K591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Rawmaterial'!L591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87"/>
      <c r="B152" s="2079"/>
      <c r="C152" s="574">
        <f>'Stock Rawmaterial'!C592</f>
        <v>0</v>
      </c>
      <c r="D152" s="881" t="str">
        <f>'Stock Rawmaterial'!D332</f>
        <v>Rec.</v>
      </c>
      <c r="E152" s="882">
        <f>'Stock Rawmaterial'!E592</f>
        <v>0</v>
      </c>
      <c r="F152" s="1240">
        <f>'Stock Rawmaterial'!F592</f>
        <v>46261</v>
      </c>
      <c r="G152" s="574" t="e">
        <f>'Stock Rawmaterial'!#REF!</f>
        <v>#REF!</v>
      </c>
      <c r="H152" s="1240">
        <f>'Stock Rawmaterial'!G592</f>
        <v>0</v>
      </c>
      <c r="I152" s="1240" t="e">
        <f>'Stock Rawmaterial'!#REF!</f>
        <v>#REF!</v>
      </c>
      <c r="J152" s="1240">
        <f>'Stock Rawmaterial'!H592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Rawmaterial'!I592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Rawmaterial'!J592</f>
        <v>0</v>
      </c>
      <c r="S152" s="1240" t="e">
        <f>'Stock Rawmaterial'!#REF!</f>
        <v>#REF!</v>
      </c>
      <c r="T152" s="1240">
        <f>'Stock Rawmaterial'!K592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Rawmaterial'!L592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87"/>
      <c r="B153" s="2079"/>
      <c r="C153" s="1092" t="str">
        <f>'Stock Rawmaterial'!C593</f>
        <v>FM</v>
      </c>
      <c r="D153" s="1093" t="str">
        <f>'Stock Rawmaterial'!D333</f>
        <v>Rec.</v>
      </c>
      <c r="E153" s="1094">
        <f>'Stock Rawmaterial'!E593</f>
        <v>45009</v>
      </c>
      <c r="F153" s="1095">
        <f>'Stock Rawmaterial'!F593</f>
        <v>1252</v>
      </c>
      <c r="G153" s="1095" t="e">
        <f>'Stock Rawmaterial'!#REF!</f>
        <v>#REF!</v>
      </c>
      <c r="H153" s="626">
        <f>'Stock Rawmaterial'!G593</f>
        <v>0</v>
      </c>
      <c r="I153" s="1240" t="e">
        <f>'Stock Rawmaterial'!#REF!</f>
        <v>#REF!</v>
      </c>
      <c r="J153" s="1240">
        <f>'Stock Rawmaterial'!H593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Rawmaterial'!I593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Rawmaterial'!J593</f>
        <v>0</v>
      </c>
      <c r="S153" s="1240" t="e">
        <f>'Stock Rawmaterial'!#REF!</f>
        <v>#REF!</v>
      </c>
      <c r="T153" s="1240">
        <f>'Stock Rawmaterial'!K593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Rawmaterial'!L593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Rawmaterial'!M594</f>
        <v/>
      </c>
      <c r="Z154" s="366">
        <f>IFERROR(X154/Y154,0)</f>
        <v>0</v>
      </c>
      <c r="AA154" s="59">
        <f>'Stock Rawmaterial'!O594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87" t="str">
        <f>IF(X158=0,"",MAX($A$14:A154)+1)</f>
        <v/>
      </c>
      <c r="B155" s="2079" t="s">
        <v>1325</v>
      </c>
      <c r="C155" s="574" t="str">
        <f>'Stock Rawmaterial'!C564</f>
        <v>A19.1</v>
      </c>
      <c r="D155" s="881" t="str">
        <f>'Stock Rawmaterial'!D335</f>
        <v>Rec.</v>
      </c>
      <c r="E155" s="882">
        <f>'Stock Rawmaterial'!E564</f>
        <v>45135</v>
      </c>
      <c r="F155" s="1240">
        <f>'Stock Rawmaterial'!F564</f>
        <v>1126</v>
      </c>
      <c r="G155" s="574" t="e">
        <f>'Stock Rawmaterial'!#REF!</f>
        <v>#REF!</v>
      </c>
      <c r="H155" s="1263">
        <f>'Stock Rawmaterial'!G564</f>
        <v>0</v>
      </c>
      <c r="I155" s="1240" t="e">
        <f>'Stock Rawmaterial'!#REF!</f>
        <v>#REF!</v>
      </c>
      <c r="J155" s="1240">
        <f>'Stock Rawmaterial'!H564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Rawmaterial'!I564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Rawmaterial'!J564</f>
        <v>0</v>
      </c>
      <c r="S155" s="1240" t="e">
        <f>'Stock Rawmaterial'!#REF!</f>
        <v>#REF!</v>
      </c>
      <c r="T155" s="1240">
        <f>'Stock Rawmaterial'!K564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Rawmaterial'!L564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87"/>
      <c r="B156" s="2079"/>
      <c r="C156" s="574">
        <f>'Stock Rawmaterial'!C565</f>
        <v>0</v>
      </c>
      <c r="D156" s="881" t="str">
        <f>'Stock Rawmaterial'!D336</f>
        <v>Rec.</v>
      </c>
      <c r="E156" s="882">
        <f>'Stock Rawmaterial'!E565</f>
        <v>45135</v>
      </c>
      <c r="F156" s="1240">
        <f>'Stock Rawmaterial'!F565</f>
        <v>1126</v>
      </c>
      <c r="G156" s="574" t="e">
        <f>'Stock Rawmaterial'!#REF!</f>
        <v>#REF!</v>
      </c>
      <c r="H156" s="1263">
        <f>'Stock Rawmaterial'!G565</f>
        <v>0</v>
      </c>
      <c r="I156" s="1240" t="e">
        <f>'Stock Rawmaterial'!#REF!</f>
        <v>#REF!</v>
      </c>
      <c r="J156" s="1240">
        <f>'Stock Rawmaterial'!H565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Rawmaterial'!I565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Rawmaterial'!J543</f>
        <v>0</v>
      </c>
      <c r="S156" s="1240" t="e">
        <f>'Stock Rawmaterial'!#REF!</f>
        <v>#REF!</v>
      </c>
      <c r="T156" s="1240">
        <f>'Stock Rawmaterial'!K565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Rawmaterial'!L565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87"/>
      <c r="B157" s="2079"/>
      <c r="C157" s="1092" t="str">
        <f>'Stock Rawmaterial'!C566</f>
        <v>Feedmil</v>
      </c>
      <c r="D157" s="881" t="str">
        <f>'Stock Rawmaterial'!D337</f>
        <v>Rec.</v>
      </c>
      <c r="E157" s="882">
        <f>'Stock Rawmaterial'!E566</f>
        <v>45135</v>
      </c>
      <c r="F157" s="1240">
        <f>'Stock Rawmaterial'!F566</f>
        <v>1126</v>
      </c>
      <c r="G157" s="574" t="e">
        <f>'Stock Rawmaterial'!#REF!</f>
        <v>#REF!</v>
      </c>
      <c r="H157" s="1263">
        <f>'Stock Rawmaterial'!G566</f>
        <v>0</v>
      </c>
      <c r="I157" s="1240" t="e">
        <f>'Stock Rawmaterial'!#REF!</f>
        <v>#REF!</v>
      </c>
      <c r="J157" s="1240">
        <f>'Stock Rawmaterial'!H566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Rawmaterial'!I566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Rawmaterial'!J566</f>
        <v>0</v>
      </c>
      <c r="S157" s="1240" t="e">
        <f>'Stock Rawmaterial'!#REF!</f>
        <v>#REF!</v>
      </c>
      <c r="T157" s="1240">
        <f>'Stock Rawmaterial'!K566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Rawmaterial'!L566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Rawmaterial'!M598</f>
        <v/>
      </c>
      <c r="Z158" s="366">
        <f>IFERROR(X158/Y158,0)</f>
        <v>0</v>
      </c>
      <c r="AA158" s="59">
        <f>'Stock Rawmaterial'!O598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35" t="s">
        <v>972</v>
      </c>
      <c r="B159" s="2209"/>
      <c r="C159" s="2209"/>
      <c r="D159" s="2209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Rawmaterial'!L1355++'Stock Rawmaterial'!L1369+'Stock Rawmaterial'!L1375+'Stock Rawmaterial'!L1390+'Stock Rawmaterial'!L598+'Stock Rawmaterial'!L1396+'Stock Rawmaterial'!L1405+'Stock Rawmaterial'!L1409+'Stock Rawmaterial'!L1413+'Stock Rawmaterial'!L1417+'Stock Rawmaterial'!L1423+'Stock Rawmaterial'!L525+'Stock Rawmaterial'!L318+'Stock Rawmaterial'!L582+'Stock Rawmaterial'!L586+'Stock Rawmaterial'!L1438+'Stock Rawmaterial'!L1442+'Stock Rawmaterial'!L1446+'Stock Rawmaterial'!L590+'Stock Rawmaterial'!L594+'Stock Rawmaterial'!L1450+'Stock Rawmaterial'!L1454+'Stock Rawmaterial'!L1462+'Stock Rawmaterial'!L567+'Stock Rawmaterial'!L1458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4" t="s">
        <v>332</v>
      </c>
      <c r="B165" s="2184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4" t="s">
        <v>333</v>
      </c>
      <c r="B166" s="2184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4" t="s">
        <v>334</v>
      </c>
      <c r="B167" s="2184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K47" sqref="K47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1236867.1800000002</v>
      </c>
      <c r="J2" s="1173">
        <f>SUMIF($O$13:$BB$13,"26903",$O$16:$BB$16)+SUMIF($O$13:$BB$13,"26904",$O$16:$BB$16)</f>
        <v>67206.28</v>
      </c>
      <c r="K2" s="1065">
        <f>I2-J2</f>
        <v>1169660.9000000001</v>
      </c>
      <c r="L2" s="2336" t="s">
        <v>892</v>
      </c>
      <c r="M2" s="2337"/>
      <c r="N2" s="1066">
        <f>M51</f>
        <v>109502.23999999999</v>
      </c>
      <c r="O2" t="s">
        <v>2249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3081</v>
      </c>
      <c r="X2">
        <v>3602</v>
      </c>
      <c r="Y2">
        <v>3603</v>
      </c>
      <c r="Z2">
        <v>3606</v>
      </c>
      <c r="AA2">
        <v>3607</v>
      </c>
      <c r="AB2">
        <v>3618</v>
      </c>
      <c r="AC2">
        <v>5116</v>
      </c>
      <c r="AD2">
        <v>5118</v>
      </c>
      <c r="AE2">
        <v>5121</v>
      </c>
      <c r="AF2">
        <v>5123</v>
      </c>
      <c r="AG2">
        <v>10252</v>
      </c>
      <c r="AH2">
        <v>21201</v>
      </c>
      <c r="AI2">
        <v>21201</v>
      </c>
      <c r="AJ2">
        <v>21211</v>
      </c>
      <c r="AK2">
        <v>25201</v>
      </c>
      <c r="AL2">
        <v>26903</v>
      </c>
      <c r="AM2">
        <v>43234</v>
      </c>
      <c r="AN2">
        <v>50118</v>
      </c>
      <c r="AO2">
        <v>104112</v>
      </c>
      <c r="AP2">
        <v>219752</v>
      </c>
      <c r="AQ2">
        <v>220183</v>
      </c>
      <c r="AR2">
        <v>311235</v>
      </c>
      <c r="AS2">
        <v>335147</v>
      </c>
      <c r="AT2">
        <v>452136</v>
      </c>
      <c r="AU2">
        <v>561428</v>
      </c>
      <c r="AV2">
        <v>600136</v>
      </c>
      <c r="AW2">
        <v>610315</v>
      </c>
      <c r="AX2">
        <v>620115</v>
      </c>
      <c r="AY2">
        <v>630028</v>
      </c>
      <c r="AZ2">
        <v>630028</v>
      </c>
      <c r="BA2">
        <v>740725</v>
      </c>
      <c r="BB2">
        <v>790401</v>
      </c>
      <c r="BC2">
        <v>791820</v>
      </c>
      <c r="BD2">
        <v>800123</v>
      </c>
      <c r="BE2">
        <v>800211</v>
      </c>
      <c r="BF2">
        <v>801211</v>
      </c>
      <c r="BG2">
        <v>811000</v>
      </c>
      <c r="BH2">
        <v>811003</v>
      </c>
      <c r="BI2">
        <v>820098</v>
      </c>
      <c r="BJ2">
        <v>820098</v>
      </c>
      <c r="BK2">
        <v>820207</v>
      </c>
      <c r="BL2">
        <v>820207</v>
      </c>
      <c r="BM2">
        <v>820217</v>
      </c>
      <c r="BN2">
        <v>820300</v>
      </c>
      <c r="BO2">
        <v>820498</v>
      </c>
      <c r="BP2">
        <v>820500</v>
      </c>
      <c r="BQ2">
        <v>830603</v>
      </c>
      <c r="BR2">
        <v>831001</v>
      </c>
      <c r="BS2">
        <v>831003</v>
      </c>
      <c r="BT2">
        <v>831918</v>
      </c>
      <c r="BU2">
        <v>831951</v>
      </c>
      <c r="BV2">
        <v>831951</v>
      </c>
      <c r="BW2">
        <v>833101</v>
      </c>
      <c r="BX2">
        <v>840002</v>
      </c>
      <c r="BY2">
        <v>840002</v>
      </c>
      <c r="BZ2" t="s">
        <v>2250</v>
      </c>
      <c r="CA2" t="s">
        <v>2251</v>
      </c>
      <c r="CB2" t="s">
        <v>2252</v>
      </c>
      <c r="CC2">
        <v>840012</v>
      </c>
      <c r="CD2">
        <v>840019</v>
      </c>
      <c r="CE2">
        <v>840020</v>
      </c>
      <c r="CF2">
        <v>840030</v>
      </c>
      <c r="CG2" t="s">
        <v>2253</v>
      </c>
      <c r="CH2">
        <v>840032</v>
      </c>
      <c r="CI2">
        <v>840035</v>
      </c>
      <c r="CJ2">
        <v>840041</v>
      </c>
      <c r="CK2">
        <v>840058</v>
      </c>
      <c r="CL2">
        <v>840101</v>
      </c>
      <c r="CM2">
        <v>840155</v>
      </c>
      <c r="CN2">
        <v>840194</v>
      </c>
      <c r="CO2">
        <v>840224</v>
      </c>
      <c r="CP2">
        <v>840245</v>
      </c>
      <c r="CQ2">
        <v>840255</v>
      </c>
      <c r="CR2">
        <v>840305</v>
      </c>
      <c r="CS2">
        <v>840358</v>
      </c>
      <c r="CT2">
        <v>840400</v>
      </c>
      <c r="CU2">
        <v>840537</v>
      </c>
      <c r="CV2">
        <v>840550</v>
      </c>
      <c r="CW2">
        <v>840929</v>
      </c>
      <c r="CX2">
        <v>841299</v>
      </c>
      <c r="CY2">
        <v>841327</v>
      </c>
      <c r="CZ2">
        <v>842107</v>
      </c>
      <c r="DA2">
        <v>842109</v>
      </c>
      <c r="DB2">
        <v>842123</v>
      </c>
      <c r="DC2">
        <v>842133</v>
      </c>
      <c r="DD2">
        <v>842154</v>
      </c>
      <c r="DE2">
        <v>842206</v>
      </c>
      <c r="DF2">
        <v>842259</v>
      </c>
      <c r="DG2">
        <v>842300</v>
      </c>
      <c r="DH2">
        <v>842523</v>
      </c>
      <c r="DI2">
        <v>842704</v>
      </c>
      <c r="DJ2">
        <v>842841</v>
      </c>
      <c r="DK2">
        <v>842880</v>
      </c>
      <c r="DL2">
        <v>842903</v>
      </c>
      <c r="DM2">
        <v>842906</v>
      </c>
      <c r="DN2">
        <v>842922</v>
      </c>
      <c r="DO2">
        <v>842930</v>
      </c>
      <c r="DP2">
        <v>842931</v>
      </c>
      <c r="DQ2">
        <v>842934</v>
      </c>
      <c r="DR2">
        <v>842984</v>
      </c>
      <c r="DS2">
        <v>842994</v>
      </c>
      <c r="DT2">
        <v>843081</v>
      </c>
      <c r="DU2">
        <v>843084</v>
      </c>
      <c r="DV2">
        <v>843125</v>
      </c>
      <c r="DW2">
        <v>843140</v>
      </c>
      <c r="DX2">
        <v>843274</v>
      </c>
      <c r="DY2">
        <v>890000</v>
      </c>
      <c r="DZ2">
        <v>911101</v>
      </c>
      <c r="EA2">
        <v>911121</v>
      </c>
      <c r="EB2">
        <v>911125</v>
      </c>
      <c r="EC2">
        <v>911401</v>
      </c>
      <c r="ED2">
        <v>912101</v>
      </c>
      <c r="EE2">
        <v>913501</v>
      </c>
      <c r="EF2">
        <v>913511</v>
      </c>
      <c r="EG2">
        <v>913521</v>
      </c>
      <c r="EH2">
        <v>913561</v>
      </c>
      <c r="EI2">
        <v>913572</v>
      </c>
      <c r="EJ2">
        <v>914001</v>
      </c>
      <c r="EK2">
        <v>914521</v>
      </c>
      <c r="EL2">
        <v>917004</v>
      </c>
      <c r="EM2" t="s">
        <v>2254</v>
      </c>
      <c r="EN2">
        <v>917302</v>
      </c>
      <c r="EO2" t="s">
        <v>2255</v>
      </c>
      <c r="EP2" t="s">
        <v>2256</v>
      </c>
      <c r="EQ2" t="s">
        <v>2257</v>
      </c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50.04</v>
      </c>
      <c r="E3" s="1063">
        <v>50.04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50.04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2258</v>
      </c>
      <c r="P3" t="s">
        <v>2259</v>
      </c>
      <c r="Q3" t="s">
        <v>2260</v>
      </c>
      <c r="R3" t="s">
        <v>2261</v>
      </c>
      <c r="S3" t="s">
        <v>2262</v>
      </c>
      <c r="T3" t="s">
        <v>2263</v>
      </c>
      <c r="U3" t="s">
        <v>2264</v>
      </c>
      <c r="V3" t="s">
        <v>2265</v>
      </c>
      <c r="W3" t="s">
        <v>2266</v>
      </c>
      <c r="X3" t="s">
        <v>2267</v>
      </c>
      <c r="Y3" t="s">
        <v>2268</v>
      </c>
      <c r="Z3" t="s">
        <v>1647</v>
      </c>
      <c r="AA3" t="s">
        <v>2269</v>
      </c>
      <c r="AB3" t="s">
        <v>1790</v>
      </c>
      <c r="AC3" t="s">
        <v>2100</v>
      </c>
      <c r="AD3" t="s">
        <v>1789</v>
      </c>
      <c r="AE3" t="s">
        <v>1876</v>
      </c>
      <c r="AF3" t="s">
        <v>1837</v>
      </c>
      <c r="AG3" t="s">
        <v>2270</v>
      </c>
      <c r="AH3" t="s">
        <v>2271</v>
      </c>
      <c r="AI3" t="s">
        <v>2271</v>
      </c>
      <c r="AJ3" t="s">
        <v>2272</v>
      </c>
      <c r="AK3" t="s">
        <v>2273</v>
      </c>
      <c r="AL3" t="s">
        <v>2274</v>
      </c>
      <c r="AM3" t="s">
        <v>2275</v>
      </c>
      <c r="AN3" t="s">
        <v>2276</v>
      </c>
      <c r="AO3" t="s">
        <v>2277</v>
      </c>
      <c r="AP3" t="s">
        <v>2278</v>
      </c>
      <c r="AQ3" t="s">
        <v>2279</v>
      </c>
      <c r="AR3" t="s">
        <v>996</v>
      </c>
      <c r="AS3" t="s">
        <v>2280</v>
      </c>
      <c r="AT3" t="s">
        <v>2281</v>
      </c>
      <c r="AU3" t="s">
        <v>2282</v>
      </c>
      <c r="AV3" t="s">
        <v>2283</v>
      </c>
      <c r="AW3" t="s">
        <v>2284</v>
      </c>
      <c r="AX3" t="s">
        <v>2285</v>
      </c>
      <c r="AY3" t="s">
        <v>2286</v>
      </c>
      <c r="AZ3" t="s">
        <v>2286</v>
      </c>
      <c r="BA3" t="s">
        <v>2287</v>
      </c>
      <c r="BB3" t="s">
        <v>2288</v>
      </c>
      <c r="BC3" t="s">
        <v>2289</v>
      </c>
      <c r="BD3" t="s">
        <v>2290</v>
      </c>
      <c r="BE3" t="s">
        <v>2291</v>
      </c>
      <c r="BF3" t="s">
        <v>998</v>
      </c>
      <c r="BG3" t="s">
        <v>2292</v>
      </c>
      <c r="BH3" t="s">
        <v>2293</v>
      </c>
      <c r="BI3" t="s">
        <v>2294</v>
      </c>
      <c r="BJ3" t="s">
        <v>2294</v>
      </c>
      <c r="BK3" t="s">
        <v>2295</v>
      </c>
      <c r="BL3" t="s">
        <v>2296</v>
      </c>
      <c r="BM3" t="s">
        <v>2297</v>
      </c>
      <c r="BN3" t="s">
        <v>500</v>
      </c>
      <c r="BO3" t="s">
        <v>2298</v>
      </c>
      <c r="BP3" t="s">
        <v>664</v>
      </c>
      <c r="BQ3" t="s">
        <v>828</v>
      </c>
      <c r="BR3" t="s">
        <v>2299</v>
      </c>
      <c r="BS3" t="s">
        <v>2300</v>
      </c>
      <c r="BT3" t="s">
        <v>2301</v>
      </c>
      <c r="BU3" t="s">
        <v>2302</v>
      </c>
      <c r="BV3" t="s">
        <v>2303</v>
      </c>
      <c r="BW3" t="s">
        <v>2304</v>
      </c>
      <c r="BX3" t="s">
        <v>2305</v>
      </c>
      <c r="BY3" t="s">
        <v>2305</v>
      </c>
      <c r="BZ3" t="s">
        <v>2306</v>
      </c>
      <c r="CA3" t="s">
        <v>2307</v>
      </c>
      <c r="CB3" t="s">
        <v>2308</v>
      </c>
      <c r="CC3" t="s">
        <v>2309</v>
      </c>
      <c r="CD3" t="s">
        <v>1314</v>
      </c>
      <c r="CE3" t="s">
        <v>2310</v>
      </c>
      <c r="CF3" t="s">
        <v>2311</v>
      </c>
      <c r="CG3" t="s">
        <v>2312</v>
      </c>
      <c r="CH3" t="s">
        <v>2313</v>
      </c>
      <c r="CI3" t="s">
        <v>1263</v>
      </c>
      <c r="CJ3" t="s">
        <v>2314</v>
      </c>
      <c r="CK3" t="s">
        <v>2315</v>
      </c>
      <c r="CL3" t="s">
        <v>2316</v>
      </c>
      <c r="CM3" t="s">
        <v>1350</v>
      </c>
      <c r="CN3" t="s">
        <v>2317</v>
      </c>
      <c r="CO3" t="s">
        <v>2318</v>
      </c>
      <c r="CP3" t="s">
        <v>1112</v>
      </c>
      <c r="CQ3" t="s">
        <v>2319</v>
      </c>
      <c r="CR3" t="s">
        <v>2320</v>
      </c>
      <c r="CS3" t="s">
        <v>2321</v>
      </c>
      <c r="CT3" t="s">
        <v>2322</v>
      </c>
      <c r="CU3" t="s">
        <v>2323</v>
      </c>
      <c r="CV3" t="s">
        <v>1774</v>
      </c>
      <c r="CW3" t="s">
        <v>2324</v>
      </c>
      <c r="CX3" t="s">
        <v>380</v>
      </c>
      <c r="CY3" t="s">
        <v>2325</v>
      </c>
      <c r="CZ3" t="s">
        <v>2326</v>
      </c>
      <c r="DA3" t="s">
        <v>63</v>
      </c>
      <c r="DB3" t="s">
        <v>2327</v>
      </c>
      <c r="DC3" t="s">
        <v>2328</v>
      </c>
      <c r="DD3" t="s">
        <v>2329</v>
      </c>
      <c r="DE3" t="s">
        <v>2330</v>
      </c>
      <c r="DF3" t="s">
        <v>2331</v>
      </c>
      <c r="DG3" t="s">
        <v>2332</v>
      </c>
      <c r="DH3" t="s">
        <v>462</v>
      </c>
      <c r="DI3" t="s">
        <v>2333</v>
      </c>
      <c r="DJ3" t="s">
        <v>2334</v>
      </c>
      <c r="DK3" t="s">
        <v>2335</v>
      </c>
      <c r="DL3" t="s">
        <v>2336</v>
      </c>
      <c r="DM3" t="s">
        <v>1000</v>
      </c>
      <c r="DN3" t="s">
        <v>2337</v>
      </c>
      <c r="DO3" t="s">
        <v>2338</v>
      </c>
      <c r="DP3" t="s">
        <v>2339</v>
      </c>
      <c r="DQ3" t="s">
        <v>2340</v>
      </c>
      <c r="DR3" t="s">
        <v>2341</v>
      </c>
      <c r="DS3" t="s">
        <v>2342</v>
      </c>
      <c r="DT3" t="s">
        <v>2343</v>
      </c>
      <c r="DU3" t="s">
        <v>2344</v>
      </c>
      <c r="DV3" t="s">
        <v>2345</v>
      </c>
      <c r="DW3" t="s">
        <v>2346</v>
      </c>
      <c r="DX3" t="s">
        <v>2347</v>
      </c>
      <c r="DY3" t="s">
        <v>2348</v>
      </c>
      <c r="DZ3" t="s">
        <v>2349</v>
      </c>
      <c r="EA3" t="s">
        <v>2350</v>
      </c>
      <c r="EB3" t="s">
        <v>2351</v>
      </c>
      <c r="EC3" t="s">
        <v>2352</v>
      </c>
      <c r="ED3" t="s">
        <v>2353</v>
      </c>
      <c r="EE3" t="s">
        <v>2354</v>
      </c>
      <c r="EF3" t="s">
        <v>2355</v>
      </c>
      <c r="EG3" t="s">
        <v>2356</v>
      </c>
      <c r="EH3" t="s">
        <v>2357</v>
      </c>
      <c r="EI3" t="s">
        <v>2358</v>
      </c>
      <c r="EJ3" t="s">
        <v>2359</v>
      </c>
      <c r="EK3" t="s">
        <v>2360</v>
      </c>
      <c r="EL3" t="s">
        <v>1002</v>
      </c>
      <c r="EM3" t="s">
        <v>1002</v>
      </c>
      <c r="EN3" t="s">
        <v>1682</v>
      </c>
      <c r="EO3" t="s">
        <v>2255</v>
      </c>
      <c r="EP3" t="s">
        <v>2361</v>
      </c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20.02</v>
      </c>
      <c r="E4" s="1063">
        <v>20.02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20.02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2362</v>
      </c>
      <c r="P4">
        <v>50.04</v>
      </c>
      <c r="Q4">
        <v>20.02</v>
      </c>
      <c r="R4">
        <v>20.02</v>
      </c>
      <c r="S4">
        <v>100.09</v>
      </c>
      <c r="T4">
        <v>20.02</v>
      </c>
      <c r="U4">
        <v>62.02</v>
      </c>
      <c r="V4">
        <v>1100.98</v>
      </c>
      <c r="W4">
        <v>3.2</v>
      </c>
      <c r="X4">
        <v>249.82</v>
      </c>
      <c r="Y4">
        <v>3161.91</v>
      </c>
      <c r="Z4">
        <v>516.25</v>
      </c>
      <c r="AA4">
        <v>133.80000000000001</v>
      </c>
      <c r="AB4">
        <v>2.44</v>
      </c>
      <c r="AC4">
        <v>67.63</v>
      </c>
      <c r="AD4">
        <v>707.64</v>
      </c>
      <c r="AE4">
        <v>3309.36</v>
      </c>
      <c r="AF4">
        <v>80</v>
      </c>
      <c r="AG4">
        <v>22816.51</v>
      </c>
      <c r="AH4">
        <v>964313.25</v>
      </c>
      <c r="AI4">
        <v>4500</v>
      </c>
      <c r="AJ4">
        <v>8375.1299999999992</v>
      </c>
      <c r="AK4">
        <v>160872.6</v>
      </c>
      <c r="AL4">
        <v>98640</v>
      </c>
      <c r="AM4">
        <v>45349.18</v>
      </c>
      <c r="AN4">
        <v>5562.63</v>
      </c>
      <c r="AO4">
        <v>51978.65</v>
      </c>
      <c r="AP4">
        <v>12632.32</v>
      </c>
      <c r="AQ4">
        <v>6552</v>
      </c>
      <c r="AR4">
        <v>10623.27</v>
      </c>
      <c r="AS4">
        <v>338471.13</v>
      </c>
      <c r="AT4">
        <v>9773.57</v>
      </c>
      <c r="AU4">
        <v>113956.25</v>
      </c>
      <c r="AV4">
        <v>107608.35</v>
      </c>
      <c r="AW4">
        <v>14876.53</v>
      </c>
      <c r="AX4">
        <v>4472.59</v>
      </c>
      <c r="AY4">
        <v>13963.97</v>
      </c>
      <c r="AZ4">
        <v>3051.26</v>
      </c>
      <c r="BA4">
        <v>83552.27</v>
      </c>
      <c r="BB4">
        <v>1114.8599999999999</v>
      </c>
      <c r="BC4">
        <v>20.78</v>
      </c>
      <c r="BD4">
        <v>160</v>
      </c>
      <c r="BE4">
        <v>12064.73</v>
      </c>
      <c r="BF4">
        <v>672</v>
      </c>
      <c r="BG4">
        <v>31041.4</v>
      </c>
      <c r="BH4">
        <v>5539.68</v>
      </c>
      <c r="BI4">
        <v>12536.34</v>
      </c>
      <c r="BJ4">
        <v>250</v>
      </c>
      <c r="BK4">
        <v>17471.91</v>
      </c>
      <c r="BL4">
        <v>8339.51</v>
      </c>
      <c r="BM4">
        <v>840</v>
      </c>
      <c r="BN4">
        <v>2055.58</v>
      </c>
      <c r="BO4">
        <v>5779.2</v>
      </c>
      <c r="BP4">
        <v>690.94</v>
      </c>
      <c r="BQ4">
        <v>500</v>
      </c>
      <c r="BR4">
        <v>1450</v>
      </c>
      <c r="BS4">
        <v>2350</v>
      </c>
      <c r="BT4">
        <v>1120</v>
      </c>
      <c r="BU4">
        <v>960</v>
      </c>
      <c r="BV4">
        <v>500</v>
      </c>
      <c r="BW4">
        <v>720</v>
      </c>
      <c r="BX4">
        <v>766.47</v>
      </c>
      <c r="BY4">
        <v>2244.3200000000002</v>
      </c>
      <c r="BZ4">
        <v>650</v>
      </c>
      <c r="CA4">
        <v>3031.15</v>
      </c>
      <c r="CB4">
        <v>1035.44</v>
      </c>
      <c r="CC4">
        <v>5457.28</v>
      </c>
      <c r="CD4">
        <v>1106.4100000000001</v>
      </c>
      <c r="CE4">
        <v>464.26</v>
      </c>
      <c r="CF4">
        <v>573.52</v>
      </c>
      <c r="CG4">
        <v>1540.7</v>
      </c>
      <c r="CH4">
        <v>577.04</v>
      </c>
      <c r="CI4">
        <v>155.91999999999999</v>
      </c>
      <c r="CJ4">
        <v>1241.53</v>
      </c>
      <c r="CK4">
        <v>1639.89</v>
      </c>
      <c r="CL4">
        <v>4</v>
      </c>
      <c r="CM4">
        <v>287.76</v>
      </c>
      <c r="CN4">
        <v>127.68</v>
      </c>
      <c r="CO4">
        <v>22.68</v>
      </c>
      <c r="CP4">
        <v>37.799999999999997</v>
      </c>
      <c r="CQ4">
        <v>75.599999999999994</v>
      </c>
      <c r="CR4">
        <v>21.6</v>
      </c>
      <c r="CS4">
        <v>9.4</v>
      </c>
      <c r="CT4">
        <v>360</v>
      </c>
      <c r="CU4">
        <v>6.37</v>
      </c>
      <c r="CV4">
        <v>6.5</v>
      </c>
      <c r="CW4">
        <v>63.84</v>
      </c>
      <c r="CX4">
        <v>203</v>
      </c>
      <c r="CY4">
        <v>32.049999999999997</v>
      </c>
      <c r="CZ4">
        <v>295.36</v>
      </c>
      <c r="DA4">
        <v>210</v>
      </c>
      <c r="DB4">
        <v>218.4</v>
      </c>
      <c r="DC4">
        <v>142.80000000000001</v>
      </c>
      <c r="DD4">
        <v>50.4</v>
      </c>
      <c r="DE4">
        <v>35.700000000000003</v>
      </c>
      <c r="DF4">
        <v>239.4</v>
      </c>
      <c r="DG4">
        <v>124.64</v>
      </c>
      <c r="DH4">
        <v>60.48</v>
      </c>
      <c r="DI4">
        <v>16.8</v>
      </c>
      <c r="DJ4">
        <v>4.2</v>
      </c>
      <c r="DK4">
        <v>264.47000000000003</v>
      </c>
      <c r="DL4">
        <v>187.34</v>
      </c>
      <c r="DM4">
        <v>1796.29</v>
      </c>
      <c r="DN4">
        <v>340.68</v>
      </c>
      <c r="DO4">
        <v>29.4</v>
      </c>
      <c r="DP4">
        <v>377.2</v>
      </c>
      <c r="DQ4">
        <v>829</v>
      </c>
      <c r="DR4">
        <v>188.8</v>
      </c>
      <c r="DS4">
        <v>12.8</v>
      </c>
      <c r="DT4">
        <v>9.1</v>
      </c>
      <c r="DU4">
        <v>27.84</v>
      </c>
      <c r="DV4">
        <v>77.55</v>
      </c>
      <c r="DW4">
        <v>2</v>
      </c>
      <c r="DX4">
        <v>58.8</v>
      </c>
      <c r="DY4">
        <v>63420.01</v>
      </c>
      <c r="DZ4">
        <v>182.7</v>
      </c>
      <c r="EA4">
        <v>8.4</v>
      </c>
      <c r="EB4">
        <v>16.8</v>
      </c>
      <c r="EC4">
        <v>235.2</v>
      </c>
      <c r="ED4">
        <v>309.12</v>
      </c>
      <c r="EE4">
        <v>120</v>
      </c>
      <c r="EF4">
        <v>344.4</v>
      </c>
      <c r="EG4">
        <v>214.2</v>
      </c>
      <c r="EH4">
        <v>109.2</v>
      </c>
      <c r="EI4">
        <v>142.80000000000001</v>
      </c>
      <c r="EJ4">
        <v>757.44</v>
      </c>
      <c r="EK4">
        <v>403.2</v>
      </c>
      <c r="EL4">
        <v>125.4</v>
      </c>
      <c r="EM4">
        <v>240</v>
      </c>
      <c r="EN4">
        <v>667.8</v>
      </c>
      <c r="EO4">
        <v>2030</v>
      </c>
      <c r="EP4">
        <v>2094</v>
      </c>
      <c r="EQ4">
        <v>9471.5400000000009</v>
      </c>
      <c r="ER4">
        <v>2305957.48</v>
      </c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20.02</v>
      </c>
      <c r="E5" s="1063">
        <v>20.190000000000001</v>
      </c>
      <c r="F5" s="1063">
        <v>0.17</v>
      </c>
      <c r="G5" s="1063">
        <v>0.86</v>
      </c>
      <c r="H5" s="1066" t="str">
        <f t="shared" si="1"/>
        <v>CORN</v>
      </c>
      <c r="I5" s="1068">
        <f t="shared" si="3"/>
        <v>20.190000000000001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2363</v>
      </c>
      <c r="P5">
        <v>50.04</v>
      </c>
      <c r="Q5">
        <v>20.02</v>
      </c>
      <c r="R5">
        <v>20.190000000000001</v>
      </c>
      <c r="S5">
        <v>92.18</v>
      </c>
      <c r="T5">
        <v>20.2</v>
      </c>
      <c r="U5">
        <v>61.15</v>
      </c>
      <c r="V5">
        <v>1103.4000000000001</v>
      </c>
      <c r="W5">
        <v>3.2</v>
      </c>
      <c r="X5">
        <v>249.82</v>
      </c>
      <c r="Y5">
        <v>3200</v>
      </c>
      <c r="Z5">
        <v>516.25</v>
      </c>
      <c r="AA5">
        <v>133.80000000000001</v>
      </c>
      <c r="AB5">
        <v>2.44</v>
      </c>
      <c r="AC5">
        <v>67.63</v>
      </c>
      <c r="AD5">
        <v>707.64</v>
      </c>
      <c r="AE5">
        <v>3310</v>
      </c>
      <c r="AF5">
        <v>78.5</v>
      </c>
      <c r="AG5">
        <v>22859</v>
      </c>
      <c r="AH5">
        <v>963390</v>
      </c>
      <c r="AI5">
        <v>4500</v>
      </c>
      <c r="AJ5">
        <v>8355</v>
      </c>
      <c r="AK5">
        <v>160676</v>
      </c>
      <c r="AL5">
        <v>98579</v>
      </c>
      <c r="AM5">
        <v>45342</v>
      </c>
      <c r="AN5">
        <v>5577</v>
      </c>
      <c r="AO5">
        <v>51599</v>
      </c>
      <c r="AP5">
        <v>12267</v>
      </c>
      <c r="AQ5">
        <v>6460</v>
      </c>
      <c r="AR5">
        <v>10716</v>
      </c>
      <c r="AS5">
        <v>338505</v>
      </c>
      <c r="AT5">
        <v>9855</v>
      </c>
      <c r="AU5">
        <v>114340</v>
      </c>
      <c r="AV5">
        <v>107787</v>
      </c>
      <c r="AW5">
        <v>14865</v>
      </c>
      <c r="AX5">
        <v>4473</v>
      </c>
      <c r="AY5">
        <v>14144</v>
      </c>
      <c r="AZ5">
        <v>3051.26</v>
      </c>
      <c r="BA5">
        <v>83414</v>
      </c>
      <c r="BB5">
        <v>1096</v>
      </c>
      <c r="BC5">
        <v>20.66</v>
      </c>
      <c r="BD5">
        <v>158.4</v>
      </c>
      <c r="BE5">
        <v>11909.3</v>
      </c>
      <c r="BF5">
        <v>672</v>
      </c>
      <c r="BG5">
        <v>31041.4</v>
      </c>
      <c r="BH5">
        <v>5461.4</v>
      </c>
      <c r="BI5">
        <v>12532.4</v>
      </c>
      <c r="BJ5">
        <v>250</v>
      </c>
      <c r="BK5">
        <v>17446</v>
      </c>
      <c r="BL5">
        <v>8413.5</v>
      </c>
      <c r="BM5">
        <v>836.5</v>
      </c>
      <c r="BN5">
        <v>2045.5</v>
      </c>
      <c r="BO5">
        <v>5739.1</v>
      </c>
      <c r="BP5">
        <v>691.7</v>
      </c>
      <c r="BQ5">
        <v>498</v>
      </c>
      <c r="BR5">
        <v>1440</v>
      </c>
      <c r="BS5">
        <v>2349</v>
      </c>
      <c r="BT5">
        <v>1120</v>
      </c>
      <c r="BU5">
        <v>956</v>
      </c>
      <c r="BV5">
        <v>500</v>
      </c>
      <c r="BW5">
        <v>716.5</v>
      </c>
      <c r="BX5">
        <v>766.83</v>
      </c>
      <c r="BY5">
        <v>2235</v>
      </c>
      <c r="BZ5">
        <v>650</v>
      </c>
      <c r="CA5">
        <v>3038.25</v>
      </c>
      <c r="CB5">
        <v>1036.95</v>
      </c>
      <c r="CC5">
        <v>5419.6</v>
      </c>
      <c r="CD5">
        <v>1105.19</v>
      </c>
      <c r="CE5">
        <v>463.26</v>
      </c>
      <c r="CF5">
        <v>571.1</v>
      </c>
      <c r="CG5">
        <v>1545.65</v>
      </c>
      <c r="CH5">
        <v>574.05999999999995</v>
      </c>
      <c r="CI5">
        <v>154.72</v>
      </c>
      <c r="CJ5">
        <v>1228.07</v>
      </c>
      <c r="CK5">
        <v>1625.4</v>
      </c>
      <c r="CL5">
        <v>3.96</v>
      </c>
      <c r="CM5">
        <v>287.76</v>
      </c>
      <c r="CN5">
        <v>125.93</v>
      </c>
      <c r="CO5">
        <v>22.68</v>
      </c>
      <c r="CP5">
        <v>37.799999999999997</v>
      </c>
      <c r="CQ5">
        <v>75.599999999999994</v>
      </c>
      <c r="CR5">
        <v>21.64</v>
      </c>
      <c r="CS5">
        <v>9.4</v>
      </c>
      <c r="CT5">
        <v>356.2</v>
      </c>
      <c r="CU5">
        <v>6.37</v>
      </c>
      <c r="CV5">
        <v>6.5</v>
      </c>
      <c r="CW5">
        <v>63.37</v>
      </c>
      <c r="CX5">
        <v>203.5</v>
      </c>
      <c r="CY5">
        <v>32.049999999999997</v>
      </c>
      <c r="CZ5">
        <v>294.38</v>
      </c>
      <c r="DA5">
        <v>210.84</v>
      </c>
      <c r="DB5">
        <v>217.96</v>
      </c>
      <c r="DC5">
        <v>141.28</v>
      </c>
      <c r="DD5">
        <v>50.4</v>
      </c>
      <c r="DE5">
        <v>35.43</v>
      </c>
      <c r="DF5">
        <v>237.98</v>
      </c>
      <c r="DG5">
        <v>125.16</v>
      </c>
      <c r="DH5">
        <v>60.48</v>
      </c>
      <c r="DI5">
        <v>16.8</v>
      </c>
      <c r="DJ5">
        <v>4.2</v>
      </c>
      <c r="DK5">
        <v>264.47000000000003</v>
      </c>
      <c r="DL5">
        <v>187.79</v>
      </c>
      <c r="DM5">
        <v>1796.4</v>
      </c>
      <c r="DN5">
        <v>339.26</v>
      </c>
      <c r="DO5">
        <v>29.35</v>
      </c>
      <c r="DP5">
        <v>375.04</v>
      </c>
      <c r="DQ5">
        <v>819.86</v>
      </c>
      <c r="DR5">
        <v>189.45</v>
      </c>
      <c r="DS5">
        <v>12.85</v>
      </c>
      <c r="DT5">
        <v>9.1</v>
      </c>
      <c r="DU5">
        <v>27.84</v>
      </c>
      <c r="DV5">
        <v>77.55</v>
      </c>
      <c r="DW5">
        <v>2</v>
      </c>
      <c r="DX5">
        <v>58.8</v>
      </c>
      <c r="DY5">
        <v>64521</v>
      </c>
      <c r="DZ5">
        <v>181.42</v>
      </c>
      <c r="EA5">
        <v>8.32</v>
      </c>
      <c r="EB5">
        <v>16.579999999999998</v>
      </c>
      <c r="EC5">
        <v>237.14</v>
      </c>
      <c r="ED5">
        <v>309.10000000000002</v>
      </c>
      <c r="EE5">
        <v>119.4</v>
      </c>
      <c r="EF5">
        <v>341.58</v>
      </c>
      <c r="EG5">
        <v>212.98</v>
      </c>
      <c r="EH5">
        <v>108.11</v>
      </c>
      <c r="EI5">
        <v>141.41999999999999</v>
      </c>
      <c r="EJ5">
        <v>755.96</v>
      </c>
      <c r="EK5">
        <v>404.28</v>
      </c>
      <c r="EL5">
        <v>124.92</v>
      </c>
      <c r="EM5">
        <v>240</v>
      </c>
      <c r="EN5">
        <v>656.4</v>
      </c>
      <c r="EO5">
        <v>2053.86</v>
      </c>
      <c r="EP5">
        <v>2098.71</v>
      </c>
      <c r="EQ5">
        <v>9482.7099999999991</v>
      </c>
      <c r="ER5">
        <v>2305549.4900000002</v>
      </c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100.09</v>
      </c>
      <c r="E6" s="1063">
        <v>92.18</v>
      </c>
      <c r="F6" s="1063">
        <v>-7.91</v>
      </c>
      <c r="G6" s="1063">
        <v>-7.9</v>
      </c>
      <c r="H6" s="1066" t="str">
        <f t="shared" si="1"/>
        <v>CORN</v>
      </c>
      <c r="I6" s="1068">
        <f t="shared" si="3"/>
        <v>92.18</v>
      </c>
      <c r="J6" s="836">
        <v>31138.87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2364</v>
      </c>
      <c r="P6">
        <v>0</v>
      </c>
      <c r="Q6">
        <v>0</v>
      </c>
      <c r="R6">
        <v>0.17</v>
      </c>
      <c r="S6">
        <v>-7.91</v>
      </c>
      <c r="T6">
        <v>0.18</v>
      </c>
      <c r="U6">
        <v>-0.87</v>
      </c>
      <c r="V6">
        <v>2.42</v>
      </c>
      <c r="W6">
        <v>0</v>
      </c>
      <c r="X6">
        <v>0</v>
      </c>
      <c r="Y6">
        <v>38.090000000000003</v>
      </c>
      <c r="Z6">
        <v>0</v>
      </c>
      <c r="AA6">
        <v>0</v>
      </c>
      <c r="AB6">
        <v>0</v>
      </c>
      <c r="AC6">
        <v>0</v>
      </c>
      <c r="AD6">
        <v>0</v>
      </c>
      <c r="AE6">
        <v>0.64</v>
      </c>
      <c r="AF6">
        <v>-1.5</v>
      </c>
      <c r="AG6">
        <v>42.49</v>
      </c>
      <c r="AH6">
        <v>-923.25</v>
      </c>
      <c r="AI6">
        <v>0</v>
      </c>
      <c r="AJ6">
        <v>-20.13</v>
      </c>
      <c r="AK6">
        <v>-196.6</v>
      </c>
      <c r="AL6">
        <v>-61</v>
      </c>
      <c r="AM6">
        <v>-7.18</v>
      </c>
      <c r="AN6">
        <v>14.37</v>
      </c>
      <c r="AO6">
        <v>-379.65</v>
      </c>
      <c r="AP6">
        <v>-365.32</v>
      </c>
      <c r="AQ6">
        <v>-92</v>
      </c>
      <c r="AR6">
        <v>92.73</v>
      </c>
      <c r="AS6">
        <v>33.869999999999997</v>
      </c>
      <c r="AT6">
        <v>81.430000000000007</v>
      </c>
      <c r="AU6">
        <v>383.75</v>
      </c>
      <c r="AV6">
        <v>178.65</v>
      </c>
      <c r="AW6">
        <v>-11.53</v>
      </c>
      <c r="AX6">
        <v>0.41</v>
      </c>
      <c r="AY6">
        <v>180.03</v>
      </c>
      <c r="AZ6">
        <v>0</v>
      </c>
      <c r="BA6">
        <v>-138.27000000000001</v>
      </c>
      <c r="BB6">
        <v>-18.86</v>
      </c>
      <c r="BC6">
        <v>-0.12</v>
      </c>
      <c r="BD6">
        <v>-1.6</v>
      </c>
      <c r="BE6">
        <v>-155.43</v>
      </c>
      <c r="BF6">
        <v>0</v>
      </c>
      <c r="BG6">
        <v>0</v>
      </c>
      <c r="BH6">
        <v>-78.28</v>
      </c>
      <c r="BI6">
        <v>-3.94</v>
      </c>
      <c r="BJ6">
        <v>0</v>
      </c>
      <c r="BK6">
        <v>-25.91</v>
      </c>
      <c r="BL6">
        <v>73.989999999999995</v>
      </c>
      <c r="BM6">
        <v>-3.5</v>
      </c>
      <c r="BN6">
        <v>-10.08</v>
      </c>
      <c r="BO6">
        <v>-40.1</v>
      </c>
      <c r="BP6">
        <v>0.76</v>
      </c>
      <c r="BQ6">
        <v>-2</v>
      </c>
      <c r="BR6">
        <v>-10</v>
      </c>
      <c r="BS6">
        <v>-1</v>
      </c>
      <c r="BT6">
        <v>0</v>
      </c>
      <c r="BU6">
        <v>-4</v>
      </c>
      <c r="BV6">
        <v>0</v>
      </c>
      <c r="BW6">
        <v>-3.5</v>
      </c>
      <c r="BX6">
        <v>0.36</v>
      </c>
      <c r="BY6">
        <v>-9.32</v>
      </c>
      <c r="BZ6">
        <v>0</v>
      </c>
      <c r="CA6">
        <v>7.1</v>
      </c>
      <c r="CB6">
        <v>1.51</v>
      </c>
      <c r="CC6">
        <v>-37.68</v>
      </c>
      <c r="CD6">
        <v>-1.22</v>
      </c>
      <c r="CE6">
        <v>-1</v>
      </c>
      <c r="CF6">
        <v>-2.42</v>
      </c>
      <c r="CG6">
        <v>4.95</v>
      </c>
      <c r="CH6">
        <v>-2.98</v>
      </c>
      <c r="CI6">
        <v>-1.2</v>
      </c>
      <c r="CJ6">
        <v>-13.46</v>
      </c>
      <c r="CK6">
        <v>-14.49</v>
      </c>
      <c r="CL6">
        <v>-0.04</v>
      </c>
      <c r="CM6">
        <v>0</v>
      </c>
      <c r="CN6">
        <v>-1.75</v>
      </c>
      <c r="CO6">
        <v>0</v>
      </c>
      <c r="CP6">
        <v>0</v>
      </c>
      <c r="CQ6">
        <v>0</v>
      </c>
      <c r="CR6">
        <v>0.04</v>
      </c>
      <c r="CS6">
        <v>0</v>
      </c>
      <c r="CT6">
        <v>-3.8</v>
      </c>
      <c r="CU6">
        <v>0</v>
      </c>
      <c r="CV6">
        <v>0</v>
      </c>
      <c r="CW6">
        <v>-0.47</v>
      </c>
      <c r="CX6">
        <v>0.5</v>
      </c>
      <c r="CY6">
        <v>0</v>
      </c>
      <c r="CZ6">
        <v>-0.98</v>
      </c>
      <c r="DA6">
        <v>0.84</v>
      </c>
      <c r="DB6">
        <v>-0.44</v>
      </c>
      <c r="DC6">
        <v>-1.52</v>
      </c>
      <c r="DD6">
        <v>0</v>
      </c>
      <c r="DE6">
        <v>-0.27</v>
      </c>
      <c r="DF6">
        <v>-1.42</v>
      </c>
      <c r="DG6">
        <v>0.52</v>
      </c>
      <c r="DH6">
        <v>0</v>
      </c>
      <c r="DI6">
        <v>0</v>
      </c>
      <c r="DJ6">
        <v>0</v>
      </c>
      <c r="DK6">
        <v>0</v>
      </c>
      <c r="DL6">
        <v>0.45</v>
      </c>
      <c r="DM6">
        <v>0.11</v>
      </c>
      <c r="DN6">
        <v>-1.42</v>
      </c>
      <c r="DO6">
        <v>-0.05</v>
      </c>
      <c r="DP6">
        <v>-2.16</v>
      </c>
      <c r="DQ6">
        <v>-9.14</v>
      </c>
      <c r="DR6">
        <v>0.65</v>
      </c>
      <c r="DS6">
        <v>0.05</v>
      </c>
      <c r="DT6">
        <v>0</v>
      </c>
      <c r="DU6">
        <v>0</v>
      </c>
      <c r="DV6">
        <v>0</v>
      </c>
      <c r="DW6">
        <v>0</v>
      </c>
      <c r="DX6">
        <v>0</v>
      </c>
      <c r="DY6">
        <v>1100.99</v>
      </c>
      <c r="DZ6">
        <v>-1.28</v>
      </c>
      <c r="EA6">
        <v>-0.08</v>
      </c>
      <c r="EB6">
        <v>-0.22</v>
      </c>
      <c r="EC6">
        <v>1.94</v>
      </c>
      <c r="ED6">
        <v>-0.02</v>
      </c>
      <c r="EE6">
        <v>-0.6</v>
      </c>
      <c r="EF6">
        <v>-2.82</v>
      </c>
      <c r="EG6">
        <v>-1.22</v>
      </c>
      <c r="EH6">
        <v>-1.0900000000000001</v>
      </c>
      <c r="EI6">
        <v>-1.38</v>
      </c>
      <c r="EJ6">
        <v>-1.48</v>
      </c>
      <c r="EK6">
        <v>1.08</v>
      </c>
      <c r="EL6">
        <v>-0.48</v>
      </c>
      <c r="EM6">
        <v>0</v>
      </c>
      <c r="EN6">
        <v>-11.4</v>
      </c>
      <c r="EO6">
        <v>23.86</v>
      </c>
      <c r="EP6">
        <v>4.71</v>
      </c>
      <c r="EQ6">
        <v>11.17</v>
      </c>
      <c r="ER6">
        <v>-408</v>
      </c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20.02</v>
      </c>
      <c r="E7" s="1063">
        <v>20.2</v>
      </c>
      <c r="F7" s="1063">
        <v>0.18</v>
      </c>
      <c r="G7" s="1063">
        <v>0.91</v>
      </c>
      <c r="H7" s="1066" t="str">
        <f t="shared" si="1"/>
        <v>CORN</v>
      </c>
      <c r="I7" s="1068">
        <f t="shared" si="3"/>
        <v>20.2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2365</v>
      </c>
      <c r="P7">
        <v>0</v>
      </c>
      <c r="Q7">
        <v>0</v>
      </c>
      <c r="R7">
        <v>0.86</v>
      </c>
      <c r="S7">
        <v>-7.9</v>
      </c>
      <c r="T7">
        <v>0.91</v>
      </c>
      <c r="U7">
        <v>-1.4</v>
      </c>
      <c r="V7">
        <v>0.22</v>
      </c>
      <c r="W7">
        <v>0</v>
      </c>
      <c r="X7">
        <v>0</v>
      </c>
      <c r="Y7">
        <v>1.2</v>
      </c>
      <c r="Z7">
        <v>0</v>
      </c>
      <c r="AA7">
        <v>0</v>
      </c>
      <c r="AB7">
        <v>0</v>
      </c>
      <c r="AC7">
        <v>0</v>
      </c>
      <c r="AD7">
        <v>0</v>
      </c>
      <c r="AE7">
        <v>0.02</v>
      </c>
      <c r="AF7">
        <v>-1.87</v>
      </c>
      <c r="AG7">
        <v>0.19</v>
      </c>
      <c r="AH7">
        <v>-0.1</v>
      </c>
      <c r="AI7">
        <v>0</v>
      </c>
      <c r="AJ7">
        <v>-0.24</v>
      </c>
      <c r="AK7">
        <v>-0.12</v>
      </c>
      <c r="AL7">
        <v>-0.06</v>
      </c>
      <c r="AM7">
        <v>-0.02</v>
      </c>
      <c r="AN7">
        <v>0.26</v>
      </c>
      <c r="AO7">
        <v>-0.73</v>
      </c>
      <c r="AP7">
        <v>-2.89</v>
      </c>
      <c r="AQ7">
        <v>-1.4</v>
      </c>
      <c r="AR7">
        <v>0.87</v>
      </c>
      <c r="AS7">
        <v>0.01</v>
      </c>
      <c r="AT7">
        <v>0.83</v>
      </c>
      <c r="AU7">
        <v>0.34</v>
      </c>
      <c r="AV7">
        <v>0.17</v>
      </c>
      <c r="AW7">
        <v>-0.08</v>
      </c>
      <c r="AX7">
        <v>0.01</v>
      </c>
      <c r="AY7">
        <v>1.29</v>
      </c>
      <c r="AZ7">
        <v>0</v>
      </c>
      <c r="BA7">
        <v>-0.17</v>
      </c>
      <c r="BB7">
        <v>-1.69</v>
      </c>
      <c r="BC7">
        <v>-0.57999999999999996</v>
      </c>
      <c r="BD7">
        <v>-1</v>
      </c>
      <c r="BE7">
        <v>-1.29</v>
      </c>
      <c r="BF7">
        <v>0</v>
      </c>
      <c r="BG7">
        <v>0</v>
      </c>
      <c r="BH7">
        <v>-1.41</v>
      </c>
      <c r="BI7">
        <v>-0.03</v>
      </c>
      <c r="BJ7">
        <v>0</v>
      </c>
      <c r="BK7">
        <v>-0.15</v>
      </c>
      <c r="BL7">
        <v>0.89</v>
      </c>
      <c r="BM7">
        <v>-0.42</v>
      </c>
      <c r="BN7">
        <v>-0.49</v>
      </c>
      <c r="BO7">
        <v>-0.69</v>
      </c>
      <c r="BP7">
        <v>0.11</v>
      </c>
      <c r="BQ7">
        <v>-0.4</v>
      </c>
      <c r="BR7">
        <v>-0.69</v>
      </c>
      <c r="BS7">
        <v>-0.04</v>
      </c>
      <c r="BT7">
        <v>0</v>
      </c>
      <c r="BU7">
        <v>-0.42</v>
      </c>
      <c r="BV7">
        <v>0</v>
      </c>
      <c r="BW7">
        <v>-0.49</v>
      </c>
      <c r="BX7">
        <v>0.05</v>
      </c>
      <c r="BY7">
        <v>-0.42</v>
      </c>
      <c r="BZ7">
        <v>0</v>
      </c>
      <c r="CA7">
        <v>0.23</v>
      </c>
      <c r="CB7">
        <v>0.15</v>
      </c>
      <c r="CC7">
        <v>-0.69</v>
      </c>
      <c r="CD7">
        <v>-0.11</v>
      </c>
      <c r="CE7">
        <v>-0.22</v>
      </c>
      <c r="CF7">
        <v>-0.42</v>
      </c>
      <c r="CG7">
        <v>0.32</v>
      </c>
      <c r="CH7">
        <v>-0.52</v>
      </c>
      <c r="CI7">
        <v>-0.77</v>
      </c>
      <c r="CJ7">
        <v>-1.08</v>
      </c>
      <c r="CK7">
        <v>-0.88</v>
      </c>
      <c r="CL7">
        <v>-1</v>
      </c>
      <c r="CM7">
        <v>0</v>
      </c>
      <c r="CN7">
        <v>-1.37</v>
      </c>
      <c r="CO7">
        <v>0</v>
      </c>
      <c r="CP7">
        <v>0</v>
      </c>
      <c r="CQ7">
        <v>0</v>
      </c>
      <c r="CR7">
        <v>0.19</v>
      </c>
      <c r="CS7">
        <v>0</v>
      </c>
      <c r="CT7">
        <v>-1.06</v>
      </c>
      <c r="CU7">
        <v>0</v>
      </c>
      <c r="CV7">
        <v>0</v>
      </c>
      <c r="CW7">
        <v>-0.74</v>
      </c>
      <c r="CX7">
        <v>0.25</v>
      </c>
      <c r="CY7">
        <v>0</v>
      </c>
      <c r="CZ7">
        <v>-0.33</v>
      </c>
      <c r="DA7">
        <v>0.4</v>
      </c>
      <c r="DB7">
        <v>-0.2</v>
      </c>
      <c r="DC7">
        <v>-1.06</v>
      </c>
      <c r="DD7">
        <v>0</v>
      </c>
      <c r="DE7">
        <v>-0.76</v>
      </c>
      <c r="DF7">
        <v>-0.59</v>
      </c>
      <c r="DG7">
        <v>0.42</v>
      </c>
      <c r="DH7">
        <v>0</v>
      </c>
      <c r="DI7">
        <v>0</v>
      </c>
      <c r="DJ7">
        <v>0</v>
      </c>
      <c r="DK7">
        <v>0</v>
      </c>
      <c r="DL7">
        <v>0.24</v>
      </c>
      <c r="DM7">
        <v>0.01</v>
      </c>
      <c r="DN7">
        <v>-0.42</v>
      </c>
      <c r="DO7">
        <v>-0.17</v>
      </c>
      <c r="DP7">
        <v>-0.56999999999999995</v>
      </c>
      <c r="DQ7">
        <v>-1.1000000000000001</v>
      </c>
      <c r="DR7">
        <v>0.34</v>
      </c>
      <c r="DS7">
        <v>0.39</v>
      </c>
      <c r="DT7">
        <v>0</v>
      </c>
      <c r="DU7">
        <v>0</v>
      </c>
      <c r="DV7">
        <v>0</v>
      </c>
      <c r="DW7">
        <v>0</v>
      </c>
      <c r="DX7">
        <v>0</v>
      </c>
      <c r="DY7">
        <v>1.74</v>
      </c>
      <c r="DZ7">
        <v>-0.7</v>
      </c>
      <c r="EA7">
        <v>-0.95</v>
      </c>
      <c r="EB7">
        <v>-1.31</v>
      </c>
      <c r="EC7">
        <v>0.82</v>
      </c>
      <c r="ED7">
        <v>-0.01</v>
      </c>
      <c r="EE7">
        <v>-0.5</v>
      </c>
      <c r="EF7">
        <v>-0.82</v>
      </c>
      <c r="EG7">
        <v>-0.56999999999999995</v>
      </c>
      <c r="EH7">
        <v>-1</v>
      </c>
      <c r="EI7">
        <v>-0.97</v>
      </c>
      <c r="EJ7">
        <v>-0.2</v>
      </c>
      <c r="EK7">
        <v>0.27</v>
      </c>
      <c r="EL7">
        <v>-0.38</v>
      </c>
      <c r="EM7">
        <v>0</v>
      </c>
      <c r="EN7">
        <v>-1.71</v>
      </c>
      <c r="EO7">
        <v>1.18</v>
      </c>
      <c r="EP7">
        <v>0.23</v>
      </c>
      <c r="EQ7">
        <v>0.12</v>
      </c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62.02</v>
      </c>
      <c r="E8" s="1063">
        <v>61.15</v>
      </c>
      <c r="F8" s="1063">
        <v>-0.87</v>
      </c>
      <c r="G8" s="1063">
        <v>-1.4</v>
      </c>
      <c r="H8" s="1066" t="str">
        <f t="shared" si="1"/>
        <v>CORN</v>
      </c>
      <c r="I8" s="1068">
        <f t="shared" si="3"/>
        <v>61.15</v>
      </c>
      <c r="J8" s="832"/>
      <c r="K8" s="1063"/>
      <c r="L8" s="1190" t="s">
        <v>1670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1100.98</v>
      </c>
      <c r="E9" s="1063">
        <v>1103.4000000000001</v>
      </c>
      <c r="F9" s="1063">
        <v>2.42</v>
      </c>
      <c r="G9" s="1063">
        <v>0.22</v>
      </c>
      <c r="H9" s="1066" t="str">
        <f t="shared" si="1"/>
        <v>CORN</v>
      </c>
      <c r="I9" s="1068">
        <f t="shared" si="3"/>
        <v>1103.4000000000001</v>
      </c>
      <c r="J9" s="835" t="s">
        <v>941</v>
      </c>
      <c r="K9" s="835" t="s">
        <v>1696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3081</v>
      </c>
      <c r="B10" s="1063">
        <v>3081</v>
      </c>
      <c r="C10" s="1063" t="str">
        <v>DOXAN 50</v>
      </c>
      <c r="D10" s="1063">
        <v>3.2</v>
      </c>
      <c r="E10" s="1063">
        <v>3.2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256</v>
      </c>
      <c r="K10" s="1893">
        <f>SUMIF($B:$B,"840155",$E:$E)</f>
        <v>287.76</v>
      </c>
      <c r="L10" s="833" t="s">
        <v>1568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3602</v>
      </c>
      <c r="B11" s="1063">
        <v>3602</v>
      </c>
      <c r="C11" s="1063" t="str">
        <v>Kessent Mf Dry</v>
      </c>
      <c r="D11" s="1063">
        <v>249.82</v>
      </c>
      <c r="E11" s="1063">
        <v>249.82</v>
      </c>
      <c r="F11" s="1063">
        <v>0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3603</v>
      </c>
      <c r="B12" s="1063">
        <v>3603</v>
      </c>
      <c r="C12" s="1063" t="str">
        <v>Rumifatplus</v>
      </c>
      <c r="D12" s="1063">
        <v>3161.91</v>
      </c>
      <c r="E12" s="1063">
        <v>3200</v>
      </c>
      <c r="F12" s="1063">
        <v>38.090000000000003</v>
      </c>
      <c r="G12" s="1063">
        <v>1.2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1523</v>
      </c>
      <c r="L12" s="1190" t="s">
        <v>1627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3606</v>
      </c>
      <c r="B13" s="1063">
        <v>3606</v>
      </c>
      <c r="C13" s="1063" t="str">
        <v>Rumifat R100</v>
      </c>
      <c r="D13" s="1063">
        <v>516.25</v>
      </c>
      <c r="E13" s="1063">
        <v>516.25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2098.71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2366</v>
      </c>
      <c r="P13">
        <v>26903</v>
      </c>
      <c r="Q13">
        <v>112001</v>
      </c>
      <c r="R13">
        <v>112901</v>
      </c>
      <c r="S13">
        <v>113301</v>
      </c>
      <c r="T13" t="s">
        <v>2367</v>
      </c>
      <c r="U13">
        <v>114901</v>
      </c>
      <c r="V13">
        <v>123701</v>
      </c>
      <c r="W13">
        <v>12700832</v>
      </c>
      <c r="X13">
        <v>201501</v>
      </c>
      <c r="Y13">
        <v>203101</v>
      </c>
      <c r="Z13">
        <v>203501</v>
      </c>
      <c r="AA13">
        <v>204501</v>
      </c>
      <c r="AB13">
        <v>216201</v>
      </c>
      <c r="AC13">
        <v>312001</v>
      </c>
      <c r="AD13">
        <v>314001</v>
      </c>
      <c r="AE13">
        <v>314008</v>
      </c>
      <c r="AF13">
        <v>31411831</v>
      </c>
      <c r="AG13">
        <v>320001</v>
      </c>
      <c r="AH13">
        <v>320008</v>
      </c>
      <c r="AI13">
        <v>320101</v>
      </c>
      <c r="AJ13">
        <v>321101</v>
      </c>
      <c r="AK13">
        <v>321181</v>
      </c>
      <c r="AL13">
        <v>332211</v>
      </c>
      <c r="AM13">
        <v>332301</v>
      </c>
      <c r="AN13">
        <v>366201</v>
      </c>
      <c r="AO13">
        <v>366301</v>
      </c>
      <c r="AP13">
        <v>36730825</v>
      </c>
      <c r="AQ13">
        <v>36730831</v>
      </c>
      <c r="AR13">
        <v>433777</v>
      </c>
      <c r="AS13">
        <v>433780</v>
      </c>
      <c r="AT13">
        <v>433787</v>
      </c>
      <c r="AU13">
        <v>433791</v>
      </c>
      <c r="AV13">
        <v>433792</v>
      </c>
      <c r="AW13">
        <v>433794</v>
      </c>
      <c r="AX13">
        <v>542000</v>
      </c>
      <c r="AY13">
        <v>546001</v>
      </c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3607</v>
      </c>
      <c r="B14" s="1063">
        <v>3607</v>
      </c>
      <c r="C14" s="1063" t="str">
        <v>VNM Premix</v>
      </c>
      <c r="D14" s="1063">
        <v>133.80000000000001</v>
      </c>
      <c r="E14" s="1063">
        <v>133.80000000000001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1746</v>
      </c>
      <c r="M14" s="834" t="s">
        <v>804</v>
      </c>
      <c r="N14" s="1069">
        <f t="shared" si="4"/>
        <v>0</v>
      </c>
      <c r="O14" t="s">
        <v>2258</v>
      </c>
      <c r="P14" t="s">
        <v>2274</v>
      </c>
      <c r="Q14" t="s">
        <v>2368</v>
      </c>
      <c r="R14" t="s">
        <v>2369</v>
      </c>
      <c r="S14" t="s">
        <v>2370</v>
      </c>
      <c r="T14" t="s">
        <v>2371</v>
      </c>
      <c r="U14" t="s">
        <v>2372</v>
      </c>
      <c r="V14" t="s">
        <v>2373</v>
      </c>
      <c r="W14" t="s">
        <v>2374</v>
      </c>
      <c r="X14" t="s">
        <v>2375</v>
      </c>
      <c r="Y14" t="s">
        <v>2376</v>
      </c>
      <c r="Z14" t="s">
        <v>2377</v>
      </c>
      <c r="AA14" t="s">
        <v>2378</v>
      </c>
      <c r="AB14" t="s">
        <v>2379</v>
      </c>
      <c r="AC14" t="s">
        <v>2380</v>
      </c>
      <c r="AD14" t="s">
        <v>2381</v>
      </c>
      <c r="AE14" t="s">
        <v>2382</v>
      </c>
      <c r="AF14" t="s">
        <v>2383</v>
      </c>
      <c r="AG14" t="s">
        <v>2384</v>
      </c>
      <c r="AH14" t="s">
        <v>2385</v>
      </c>
      <c r="AI14" t="s">
        <v>2386</v>
      </c>
      <c r="AJ14" t="s">
        <v>2387</v>
      </c>
      <c r="AK14" t="s">
        <v>2388</v>
      </c>
      <c r="AL14" t="s">
        <v>2389</v>
      </c>
      <c r="AM14" t="s">
        <v>2390</v>
      </c>
      <c r="AN14" t="s">
        <v>2391</v>
      </c>
      <c r="AO14" t="s">
        <v>2392</v>
      </c>
      <c r="AP14" t="s">
        <v>2393</v>
      </c>
      <c r="AQ14" t="s">
        <v>2394</v>
      </c>
      <c r="AR14" t="s">
        <v>2395</v>
      </c>
      <c r="AS14" t="s">
        <v>2396</v>
      </c>
      <c r="AT14" t="s">
        <v>2397</v>
      </c>
      <c r="AU14" t="s">
        <v>2398</v>
      </c>
      <c r="AV14" t="s">
        <v>2399</v>
      </c>
      <c r="AW14" t="s">
        <v>2400</v>
      </c>
      <c r="AX14" t="s">
        <v>2401</v>
      </c>
      <c r="AY14" t="s">
        <v>2402</v>
      </c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3618</v>
      </c>
      <c r="B15" s="1063">
        <v>3618</v>
      </c>
      <c r="C15" s="1063" t="str">
        <v>KemZin 2000 CP</v>
      </c>
      <c r="D15" s="1063">
        <v>2.44</v>
      </c>
      <c r="E15" s="1063">
        <v>2.44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24.3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2362</v>
      </c>
      <c r="P15">
        <v>67290</v>
      </c>
      <c r="Q15">
        <v>50864</v>
      </c>
      <c r="R15">
        <v>16884</v>
      </c>
      <c r="S15">
        <v>16884</v>
      </c>
      <c r="T15">
        <v>76173.72</v>
      </c>
      <c r="U15">
        <v>50652</v>
      </c>
      <c r="V15">
        <v>16800</v>
      </c>
      <c r="W15">
        <v>16800</v>
      </c>
      <c r="X15">
        <v>16800</v>
      </c>
      <c r="Y15">
        <v>25201.74</v>
      </c>
      <c r="Z15">
        <v>84000</v>
      </c>
      <c r="AA15">
        <v>84000</v>
      </c>
      <c r="AB15">
        <v>25200</v>
      </c>
      <c r="AC15">
        <v>16234.67</v>
      </c>
      <c r="AD15">
        <v>32379.38</v>
      </c>
      <c r="AE15">
        <v>7996</v>
      </c>
      <c r="AF15">
        <v>64320</v>
      </c>
      <c r="AG15">
        <v>42210</v>
      </c>
      <c r="AH15">
        <v>25326</v>
      </c>
      <c r="AI15">
        <v>631822.64</v>
      </c>
      <c r="AJ15">
        <v>86690</v>
      </c>
      <c r="AK15">
        <v>210000</v>
      </c>
      <c r="AL15">
        <v>93293.2</v>
      </c>
      <c r="AM15">
        <v>42000</v>
      </c>
      <c r="AN15">
        <v>50400</v>
      </c>
      <c r="AO15">
        <v>168000</v>
      </c>
      <c r="AP15">
        <v>59537.31</v>
      </c>
      <c r="AQ15">
        <v>84998.86</v>
      </c>
      <c r="AR15">
        <v>16000</v>
      </c>
      <c r="AS15">
        <v>12000</v>
      </c>
      <c r="AT15">
        <v>16400</v>
      </c>
      <c r="AU15">
        <v>9200</v>
      </c>
      <c r="AV15">
        <v>24000</v>
      </c>
      <c r="AW15">
        <v>32000</v>
      </c>
      <c r="AX15">
        <v>16800</v>
      </c>
      <c r="AY15">
        <v>16800</v>
      </c>
      <c r="AZ15">
        <v>2305957.48</v>
      </c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5116</v>
      </c>
      <c r="B16" s="1063">
        <v>5116</v>
      </c>
      <c r="C16" s="1063" t="str">
        <v>Stearolac 90</v>
      </c>
      <c r="D16" s="1063">
        <v>67.63</v>
      </c>
      <c r="E16" s="1063">
        <v>67.63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2363</v>
      </c>
      <c r="P16">
        <v>67206.28</v>
      </c>
      <c r="Q16">
        <v>50883.519999999997</v>
      </c>
      <c r="R16">
        <v>16868.75</v>
      </c>
      <c r="S16">
        <v>16814.52</v>
      </c>
      <c r="T16">
        <v>76079.929999999993</v>
      </c>
      <c r="U16">
        <v>50618.85</v>
      </c>
      <c r="V16">
        <v>16743.82</v>
      </c>
      <c r="W16">
        <v>16764.95</v>
      </c>
      <c r="X16">
        <v>16811.580000000002</v>
      </c>
      <c r="Y16">
        <v>25169.72</v>
      </c>
      <c r="Z16">
        <v>84015.43</v>
      </c>
      <c r="AA16">
        <v>84043.5</v>
      </c>
      <c r="AB16">
        <v>25166.85</v>
      </c>
      <c r="AC16">
        <v>16239.59</v>
      </c>
      <c r="AD16">
        <v>32378.400000000001</v>
      </c>
      <c r="AE16">
        <v>7986.81</v>
      </c>
      <c r="AF16">
        <v>64306.5</v>
      </c>
      <c r="AG16">
        <v>42205.56</v>
      </c>
      <c r="AH16">
        <v>25333.32</v>
      </c>
      <c r="AI16">
        <v>632124.99</v>
      </c>
      <c r="AJ16">
        <v>86693.16</v>
      </c>
      <c r="AK16">
        <v>210057.59</v>
      </c>
      <c r="AL16">
        <v>93186.52</v>
      </c>
      <c r="AM16">
        <v>41906.33</v>
      </c>
      <c r="AN16">
        <v>50432.800000000003</v>
      </c>
      <c r="AO16">
        <v>167786.66</v>
      </c>
      <c r="AP16">
        <v>59521.120000000003</v>
      </c>
      <c r="AQ16">
        <v>84974.73</v>
      </c>
      <c r="AR16">
        <v>16009.79</v>
      </c>
      <c r="AS16">
        <v>12012.37</v>
      </c>
      <c r="AT16">
        <v>16382.08</v>
      </c>
      <c r="AU16">
        <v>9193.93</v>
      </c>
      <c r="AV16">
        <v>24043.82</v>
      </c>
      <c r="AW16">
        <v>32047.41</v>
      </c>
      <c r="AX16">
        <v>16774.8</v>
      </c>
      <c r="AY16">
        <v>16763.509999999998</v>
      </c>
      <c r="AZ16">
        <v>2305549.4900000002</v>
      </c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5118</v>
      </c>
      <c r="B17" s="1063">
        <v>5118</v>
      </c>
      <c r="C17" s="1063" t="str">
        <v>Nutracor</v>
      </c>
      <c r="D17" s="1063">
        <v>707.64</v>
      </c>
      <c r="E17" s="1063">
        <v>707.64</v>
      </c>
      <c r="F17" s="1063">
        <v>0</v>
      </c>
      <c r="G17" s="1063">
        <v>0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2364</v>
      </c>
      <c r="P17">
        <v>-83.71</v>
      </c>
      <c r="Q17">
        <v>19.52</v>
      </c>
      <c r="R17">
        <v>-15.25</v>
      </c>
      <c r="S17">
        <v>-69.48</v>
      </c>
      <c r="T17">
        <v>-93.79</v>
      </c>
      <c r="U17">
        <v>-33.14</v>
      </c>
      <c r="V17">
        <v>-56.18</v>
      </c>
      <c r="W17">
        <v>-35.049999999999997</v>
      </c>
      <c r="X17">
        <v>11.58</v>
      </c>
      <c r="Y17">
        <v>-32.01</v>
      </c>
      <c r="Z17">
        <v>15.43</v>
      </c>
      <c r="AA17">
        <v>43.5</v>
      </c>
      <c r="AB17">
        <v>-33.15</v>
      </c>
      <c r="AC17">
        <v>4.93</v>
      </c>
      <c r="AD17">
        <v>-0.98</v>
      </c>
      <c r="AE17">
        <v>-9.19</v>
      </c>
      <c r="AF17">
        <v>-13.5</v>
      </c>
      <c r="AG17">
        <v>-4.4400000000000004</v>
      </c>
      <c r="AH17">
        <v>7.32</v>
      </c>
      <c r="AI17">
        <v>302.36</v>
      </c>
      <c r="AJ17">
        <v>3.16</v>
      </c>
      <c r="AK17">
        <v>57.6</v>
      </c>
      <c r="AL17">
        <v>-106.68</v>
      </c>
      <c r="AM17">
        <v>-93.67</v>
      </c>
      <c r="AN17">
        <v>32.799999999999997</v>
      </c>
      <c r="AO17">
        <v>-213.33</v>
      </c>
      <c r="AP17">
        <v>-16.190000000000001</v>
      </c>
      <c r="AQ17">
        <v>-24.13</v>
      </c>
      <c r="AR17">
        <v>9.7899999999999991</v>
      </c>
      <c r="AS17">
        <v>12.37</v>
      </c>
      <c r="AT17">
        <v>-17.920000000000002</v>
      </c>
      <c r="AU17">
        <v>-6.07</v>
      </c>
      <c r="AV17">
        <v>43.83</v>
      </c>
      <c r="AW17">
        <v>47.41</v>
      </c>
      <c r="AX17">
        <v>-25.2</v>
      </c>
      <c r="AY17">
        <v>-36.49</v>
      </c>
      <c r="AZ17">
        <v>-408</v>
      </c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5121</v>
      </c>
      <c r="B18" s="1063">
        <v>5121</v>
      </c>
      <c r="C18" s="1063" t="str">
        <v>Amino Plus</v>
      </c>
      <c r="D18" s="1063">
        <v>3309.36</v>
      </c>
      <c r="E18" s="1063">
        <v>3310</v>
      </c>
      <c r="F18" s="1063">
        <v>0.64</v>
      </c>
      <c r="G18" s="1063">
        <v>0.02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MNS",$E:$E)+2235</f>
        <v>2235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2365</v>
      </c>
      <c r="P18">
        <v>-0.12</v>
      </c>
      <c r="Q18">
        <v>0.04</v>
      </c>
      <c r="R18">
        <v>-0.09</v>
      </c>
      <c r="S18">
        <v>-0.41</v>
      </c>
      <c r="T18">
        <v>-0.12</v>
      </c>
      <c r="U18">
        <v>-7.0000000000000007E-2</v>
      </c>
      <c r="V18">
        <v>-0.33</v>
      </c>
      <c r="W18">
        <v>-0.21</v>
      </c>
      <c r="X18">
        <v>7.0000000000000007E-2</v>
      </c>
      <c r="Y18">
        <v>-0.13</v>
      </c>
      <c r="Z18">
        <v>0.02</v>
      </c>
      <c r="AA18">
        <v>0.05</v>
      </c>
      <c r="AB18">
        <v>-0.13</v>
      </c>
      <c r="AC18">
        <v>0.03</v>
      </c>
      <c r="AD18">
        <v>0</v>
      </c>
      <c r="AE18">
        <v>-0.11</v>
      </c>
      <c r="AF18">
        <v>-0.02</v>
      </c>
      <c r="AG18">
        <v>-0.01</v>
      </c>
      <c r="AH18">
        <v>0.03</v>
      </c>
      <c r="AI18">
        <v>0.05</v>
      </c>
      <c r="AJ18">
        <v>0</v>
      </c>
      <c r="AK18">
        <v>0.03</v>
      </c>
      <c r="AL18">
        <v>-0.11</v>
      </c>
      <c r="AM18">
        <v>-0.22</v>
      </c>
      <c r="AN18">
        <v>7.0000000000000007E-2</v>
      </c>
      <c r="AO18">
        <v>-0.13</v>
      </c>
      <c r="AP18">
        <v>-0.03</v>
      </c>
      <c r="AQ18">
        <v>-0.03</v>
      </c>
      <c r="AR18">
        <v>0.06</v>
      </c>
      <c r="AS18">
        <v>0.1</v>
      </c>
      <c r="AT18">
        <v>-0.11</v>
      </c>
      <c r="AU18">
        <v>-7.0000000000000007E-2</v>
      </c>
      <c r="AV18">
        <v>0.18</v>
      </c>
      <c r="AW18">
        <v>0.15</v>
      </c>
      <c r="AX18">
        <v>-0.15</v>
      </c>
      <c r="AY18">
        <v>-0.22</v>
      </c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5123</v>
      </c>
      <c r="B19" s="1063">
        <v>5123</v>
      </c>
      <c r="C19" s="1063" t="str">
        <v>RHODIMET 88%</v>
      </c>
      <c r="D19" s="1063">
        <v>80</v>
      </c>
      <c r="E19" s="1063">
        <v>78.5</v>
      </c>
      <c r="F19" s="1063">
        <v>-1.5</v>
      </c>
      <c r="G19" s="1063">
        <v>-1.87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10252</v>
      </c>
      <c r="B20" s="1063">
        <v>10252</v>
      </c>
      <c r="C20" s="1063" t="str">
        <v>CORN#2_ EXT 8.2%</v>
      </c>
      <c r="D20" s="1063">
        <v>22816.51</v>
      </c>
      <c r="E20" s="1063">
        <v>22859</v>
      </c>
      <c r="F20" s="1063">
        <v>42.49</v>
      </c>
      <c r="G20" s="1063">
        <v>0.19</v>
      </c>
      <c r="H20" s="1066">
        <f t="shared" si="1"/>
        <v>0</v>
      </c>
      <c r="I20" s="1068">
        <f t="shared" si="3"/>
        <v>0</v>
      </c>
      <c r="J20" s="2339" t="s">
        <v>990</v>
      </c>
      <c r="K20" s="2340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21201</v>
      </c>
      <c r="B21" s="1063">
        <v>21201</v>
      </c>
      <c r="C21" s="1063" t="str">
        <v>CORN # USA</v>
      </c>
      <c r="D21" s="1063">
        <v>964313.25</v>
      </c>
      <c r="E21" s="1063">
        <v>963390</v>
      </c>
      <c r="F21" s="1063">
        <v>-923.25</v>
      </c>
      <c r="G21" s="1063">
        <v>-0.1</v>
      </c>
      <c r="H21" s="1066" t="str">
        <f t="shared" si="1"/>
        <v>CORN</v>
      </c>
      <c r="I21" s="1068">
        <f t="shared" si="3"/>
        <v>963390</v>
      </c>
      <c r="J21" s="1169" t="s">
        <v>936</v>
      </c>
      <c r="K21" s="1170">
        <f>+usage!I254+usage!I221+usage!J68</f>
        <v>2162358.48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21201</v>
      </c>
      <c r="B22" s="1063">
        <v>21201</v>
      </c>
      <c r="C22" s="1063" t="str">
        <v>CORN # USA</v>
      </c>
      <c r="D22" s="1063">
        <v>4500</v>
      </c>
      <c r="E22" s="1063">
        <v>4500</v>
      </c>
      <c r="F22" s="1063">
        <v>0</v>
      </c>
      <c r="G22" s="1063">
        <v>0</v>
      </c>
      <c r="H22" s="1066" t="str">
        <f t="shared" si="1"/>
        <v>CORN</v>
      </c>
      <c r="I22" s="1068">
        <f t="shared" si="3"/>
        <v>4500</v>
      </c>
      <c r="J22" s="837" t="s">
        <v>938</v>
      </c>
      <c r="K22" s="1071">
        <f>+J2+N2-J15-J10-J6-J13-K13</f>
        <v>143190.64000000001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21211</v>
      </c>
      <c r="B23" s="1063">
        <v>21211</v>
      </c>
      <c r="C23" s="1063" t="str">
        <v>CORN  # USA 8x8</v>
      </c>
      <c r="D23" s="1063">
        <v>8375.1299999999992</v>
      </c>
      <c r="E23" s="1063">
        <v>8355</v>
      </c>
      <c r="F23" s="1063">
        <v>-20.13</v>
      </c>
      <c r="G23" s="1063">
        <v>-0.24</v>
      </c>
      <c r="H23" s="1066" t="str">
        <f t="shared" si="1"/>
        <v>CORN</v>
      </c>
      <c r="I23" s="1068">
        <f t="shared" si="3"/>
        <v>8355</v>
      </c>
      <c r="J23" s="837" t="s">
        <v>937</v>
      </c>
      <c r="K23" s="1266">
        <f>+K21+K22+M60</f>
        <v>2305549.12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25201</v>
      </c>
      <c r="B24" s="1063">
        <v>25201</v>
      </c>
      <c r="C24" s="1063" t="str">
        <v>CRNArg #2 7.0% (3X3)</v>
      </c>
      <c r="D24" s="1063">
        <v>160872.6</v>
      </c>
      <c r="E24" s="1063">
        <v>160676</v>
      </c>
      <c r="F24" s="1063">
        <v>-196.6</v>
      </c>
      <c r="G24" s="1063">
        <v>-0.12</v>
      </c>
      <c r="H24" s="1066" t="str">
        <f t="shared" si="1"/>
        <v>CORN</v>
      </c>
      <c r="I24" s="1068">
        <f t="shared" si="3"/>
        <v>160676</v>
      </c>
      <c r="J24" s="838" t="s">
        <v>935</v>
      </c>
      <c r="K24" s="839">
        <f>MAX(E3:E156)</f>
        <v>2305549.4900000002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26903</v>
      </c>
      <c r="B25" s="1063">
        <v>26903</v>
      </c>
      <c r="C25" s="1063" t="str">
        <v>CLEARLINE 1/8</v>
      </c>
      <c r="D25" s="1063">
        <v>98640</v>
      </c>
      <c r="E25" s="1063">
        <v>98579</v>
      </c>
      <c r="F25" s="1063">
        <v>-61</v>
      </c>
      <c r="G25" s="1063">
        <v>-0.06</v>
      </c>
      <c r="H25" s="1066" t="str">
        <f t="shared" si="1"/>
        <v>CORN</v>
      </c>
      <c r="I25" s="1068">
        <f t="shared" si="3"/>
        <v>98579</v>
      </c>
      <c r="J25" s="1086" t="s">
        <v>943</v>
      </c>
      <c r="K25" s="1072">
        <f>+K23-K24-M60</f>
        <v>-0.37000000011175871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43234</v>
      </c>
      <c r="B26" s="1063">
        <v>43234</v>
      </c>
      <c r="C26" s="1063" t="str">
        <v>TAP BP Fiber high</v>
      </c>
      <c r="D26" s="1063">
        <v>45349.18</v>
      </c>
      <c r="E26" s="1063">
        <v>45342</v>
      </c>
      <c r="F26" s="1063">
        <v>-7.18</v>
      </c>
      <c r="G26" s="1063">
        <v>-0.02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50118</v>
      </c>
      <c r="B27" s="1209">
        <v>50118</v>
      </c>
      <c r="C27" s="1063" t="str">
        <v>RCE. BR 8.2%</v>
      </c>
      <c r="D27" s="1063">
        <v>5562.63</v>
      </c>
      <c r="E27" s="1063">
        <v>5577</v>
      </c>
      <c r="F27" s="1063">
        <v>14.37</v>
      </c>
      <c r="G27" s="1063">
        <v>0.26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104112</v>
      </c>
      <c r="B28" s="1063">
        <v>104112</v>
      </c>
      <c r="C28" s="1063" t="str">
        <v>WHEAT ARG</v>
      </c>
      <c r="D28" s="1063">
        <v>51978.65</v>
      </c>
      <c r="E28" s="1063">
        <v>51599</v>
      </c>
      <c r="F28" s="1063">
        <v>-379.65</v>
      </c>
      <c r="G28" s="1063">
        <v>-0.73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219752</v>
      </c>
      <c r="B29" s="1063">
        <v>219752</v>
      </c>
      <c r="C29" s="1063" t="str">
        <v>MBM 52%</v>
      </c>
      <c r="D29" s="1063">
        <v>12632.32</v>
      </c>
      <c r="E29" s="1063">
        <v>12267</v>
      </c>
      <c r="F29" s="1063">
        <v>-365.32</v>
      </c>
      <c r="G29" s="1063">
        <v>-2.89</v>
      </c>
      <c r="H29" s="1066">
        <f t="shared" si="1"/>
        <v>0</v>
      </c>
      <c r="I29" s="1068">
        <f t="shared" si="3"/>
        <v>0</v>
      </c>
      <c r="J29" s="2339" t="s">
        <v>991</v>
      </c>
      <c r="K29" s="2340"/>
      <c r="L29" s="2338" t="s">
        <v>966</v>
      </c>
      <c r="M29" s="2338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220183</v>
      </c>
      <c r="B30" s="1063">
        <v>220183</v>
      </c>
      <c r="C30" s="1063" t="str">
        <v>FEM 83%</v>
      </c>
      <c r="D30" s="1063">
        <v>6552</v>
      </c>
      <c r="E30" s="1063">
        <v>6460</v>
      </c>
      <c r="F30" s="1063">
        <v>-92</v>
      </c>
      <c r="G30" s="1063">
        <v>-1.4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2305549.4900000002</v>
      </c>
      <c r="L30" s="1816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311235</v>
      </c>
      <c r="B31" s="1063">
        <v>311235</v>
      </c>
      <c r="C31" s="1063" t="str">
        <v>FFSUsa35/19</v>
      </c>
      <c r="D31" s="1063">
        <v>10623.27</v>
      </c>
      <c r="E31" s="1063">
        <v>10716</v>
      </c>
      <c r="F31" s="1063">
        <v>92.73</v>
      </c>
      <c r="G31" s="1063">
        <v>0.87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2305549.4900000002</v>
      </c>
      <c r="L31" s="1816">
        <v>842704</v>
      </c>
      <c r="M31" s="1228">
        <f t="shared" ref="M31:M50" si="5">SUMIF($A:$A,L31,$E:$E)</f>
        <v>16.8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335147</v>
      </c>
      <c r="B32" s="1063">
        <v>335147</v>
      </c>
      <c r="C32" s="1063" t="str">
        <v>SBM.AGR 47%</v>
      </c>
      <c r="D32" s="1063">
        <v>338471.13</v>
      </c>
      <c r="E32" s="1063">
        <v>338505</v>
      </c>
      <c r="F32" s="1063">
        <v>33.869999999999997</v>
      </c>
      <c r="G32" s="1063">
        <v>0.01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31041.4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452136</v>
      </c>
      <c r="B33" s="1063">
        <v>452136</v>
      </c>
      <c r="C33" s="1063" t="str">
        <v>CANOLA 36%</v>
      </c>
      <c r="D33" s="1063">
        <v>9773.57</v>
      </c>
      <c r="E33" s="1063">
        <v>9855</v>
      </c>
      <c r="F33" s="1063">
        <v>81.430000000000007</v>
      </c>
      <c r="G33" s="1063">
        <v>0.83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64521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561428</v>
      </c>
      <c r="B34" s="1063">
        <v>561428</v>
      </c>
      <c r="C34" s="1063" t="str">
        <v>DDGS Fat 8%</v>
      </c>
      <c r="D34" s="1063">
        <v>113956.25</v>
      </c>
      <c r="E34" s="1063">
        <v>114340</v>
      </c>
      <c r="F34" s="1063">
        <v>383.75</v>
      </c>
      <c r="G34" s="1063">
        <v>0.34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600136</v>
      </c>
      <c r="B35" s="1063">
        <v>600136</v>
      </c>
      <c r="C35" s="1063" t="str">
        <v>RBF FAT CAO</v>
      </c>
      <c r="D35" s="1063">
        <v>107608.35</v>
      </c>
      <c r="E35" s="1063">
        <v>107787</v>
      </c>
      <c r="F35" s="1063">
        <v>178.65</v>
      </c>
      <c r="G35" s="1063">
        <v>0.17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2053.86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610315</v>
      </c>
      <c r="B36" s="1063">
        <v>610315</v>
      </c>
      <c r="C36" s="1063" t="str">
        <v>RB_S 15%</v>
      </c>
      <c r="D36" s="1063">
        <v>14876.53</v>
      </c>
      <c r="E36" s="1063">
        <v>14865</v>
      </c>
      <c r="F36" s="1063">
        <v>-11.53</v>
      </c>
      <c r="G36" s="1063">
        <v>-0.08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620115</v>
      </c>
      <c r="B37" s="1063">
        <v>620115</v>
      </c>
      <c r="C37" s="1063" t="str">
        <v>WB 15%</v>
      </c>
      <c r="D37" s="1063">
        <v>4472.59</v>
      </c>
      <c r="E37" s="1063">
        <v>4473</v>
      </c>
      <c r="F37" s="1063">
        <v>0.41</v>
      </c>
      <c r="G37" s="1063">
        <v>0.01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630028</v>
      </c>
      <c r="B38" s="1063">
        <v>630028</v>
      </c>
      <c r="C38" s="1063" t="str">
        <v>BDG_DRY 28%</v>
      </c>
      <c r="D38" s="1063">
        <v>13963.97</v>
      </c>
      <c r="E38" s="1063">
        <v>14144</v>
      </c>
      <c r="F38" s="1063">
        <v>180.03</v>
      </c>
      <c r="G38" s="1063">
        <v>1.29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2130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630028</v>
      </c>
      <c r="B39" s="1063">
        <v>630028</v>
      </c>
      <c r="C39" s="1063" t="str">
        <v>BDG_DRY 28%</v>
      </c>
      <c r="D39" s="1063">
        <v>3051.26</v>
      </c>
      <c r="E39" s="1063">
        <v>3051.26</v>
      </c>
      <c r="F39" s="1063">
        <v>0</v>
      </c>
      <c r="G39" s="1063">
        <v>0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2184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740725</v>
      </c>
      <c r="B40" s="1063">
        <v>740725</v>
      </c>
      <c r="C40" s="1063" t="str">
        <v>palm meal</v>
      </c>
      <c r="D40" s="1063">
        <v>83552.27</v>
      </c>
      <c r="E40" s="1063">
        <v>83414</v>
      </c>
      <c r="F40" s="1063">
        <v>-138.27000000000001</v>
      </c>
      <c r="G40" s="1063">
        <v>-0.17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1877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790401</v>
      </c>
      <c r="B41" s="1063">
        <v>790401</v>
      </c>
      <c r="C41" s="1063" t="str">
        <v>SOY-HULL</v>
      </c>
      <c r="D41" s="1063">
        <v>1114.8599999999999</v>
      </c>
      <c r="E41" s="1063">
        <v>1096</v>
      </c>
      <c r="F41" s="1063">
        <v>-18.86</v>
      </c>
      <c r="G41" s="1063">
        <v>-1.69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287.76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791820</v>
      </c>
      <c r="B42" s="1063">
        <v>791820</v>
      </c>
      <c r="C42" s="1063" t="str">
        <v>LEVUCELL</v>
      </c>
      <c r="D42" s="1063">
        <v>20.78</v>
      </c>
      <c r="E42" s="1063">
        <v>20.66</v>
      </c>
      <c r="F42" s="1063">
        <v>-0.12</v>
      </c>
      <c r="G42" s="1063">
        <v>-0.57999999999999996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1827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800123</v>
      </c>
      <c r="B43" s="1063">
        <v>800123</v>
      </c>
      <c r="C43" s="1063" t="str">
        <v>SO</v>
      </c>
      <c r="D43" s="1063">
        <v>160</v>
      </c>
      <c r="E43" s="1063">
        <v>158.4</v>
      </c>
      <c r="F43" s="1063">
        <v>-1.6</v>
      </c>
      <c r="G43" s="1063">
        <v>-1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2143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800211</v>
      </c>
      <c r="B44" s="1063">
        <v>800211</v>
      </c>
      <c r="C44" s="1063" t="str">
        <v>FO BASA VNF</v>
      </c>
      <c r="D44" s="1063">
        <v>12064.73</v>
      </c>
      <c r="E44" s="1063">
        <v>11909.3</v>
      </c>
      <c r="F44" s="1063">
        <v>-155.43</v>
      </c>
      <c r="G44" s="1063">
        <v>-1.29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1730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801211</v>
      </c>
      <c r="B45" s="1063">
        <v>801211</v>
      </c>
      <c r="C45" s="1063" t="str">
        <v>FO BASA VNF (D)</v>
      </c>
      <c r="D45" s="1063">
        <v>672</v>
      </c>
      <c r="E45" s="1063">
        <v>672</v>
      </c>
      <c r="F45" s="1063">
        <v>0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1132</v>
      </c>
      <c r="M45" s="1228">
        <f t="shared" si="5"/>
        <v>11581.419999999998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811000</v>
      </c>
      <c r="B46" s="1063">
        <v>811000</v>
      </c>
      <c r="C46" s="1063" t="str">
        <v>molasses Vnf</v>
      </c>
      <c r="D46" s="1063">
        <v>31041.4</v>
      </c>
      <c r="E46" s="1063">
        <v>31041.4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31041.4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811003</v>
      </c>
      <c r="B47" s="1063">
        <v>811003</v>
      </c>
      <c r="C47" s="1063" t="str">
        <v>VEDANFEED</v>
      </c>
      <c r="D47" s="1063">
        <v>5539.68</v>
      </c>
      <c r="E47" s="1063">
        <v>5461.4</v>
      </c>
      <c r="F47" s="1063">
        <v>-78.28</v>
      </c>
      <c r="G47" s="1063">
        <v>-1.41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1436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820098</v>
      </c>
      <c r="B48" s="1063">
        <v>820098</v>
      </c>
      <c r="C48" s="1063" t="str">
        <v>M DCP</v>
      </c>
      <c r="D48" s="1063">
        <v>12536.34</v>
      </c>
      <c r="E48" s="1063">
        <v>12532.4</v>
      </c>
      <c r="F48" s="1063">
        <v>-3.94</v>
      </c>
      <c r="G48" s="1063">
        <v>-0.03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820098</v>
      </c>
      <c r="B49" s="1063">
        <v>820098</v>
      </c>
      <c r="C49" s="1063" t="str">
        <v>M DCP</v>
      </c>
      <c r="D49" s="1063">
        <v>250</v>
      </c>
      <c r="E49" s="1063">
        <v>250</v>
      </c>
      <c r="F49" s="1063">
        <v>0</v>
      </c>
      <c r="G49" s="1063">
        <v>0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2129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820207</v>
      </c>
      <c r="B50" s="1063">
        <v>820207</v>
      </c>
      <c r="C50" s="1063" t="str">
        <v>L.S</v>
      </c>
      <c r="D50" s="1063">
        <v>17471.91</v>
      </c>
      <c r="E50" s="1063">
        <v>17446</v>
      </c>
      <c r="F50" s="1063">
        <v>-25.91</v>
      </c>
      <c r="G50" s="1063">
        <v>-0.15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1866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820207</v>
      </c>
      <c r="B51" s="1063">
        <v>820207</v>
      </c>
      <c r="C51" s="1063" t="str">
        <v>LS</v>
      </c>
      <c r="D51" s="1063">
        <v>8339.51</v>
      </c>
      <c r="E51" s="1063">
        <v>8413.5</v>
      </c>
      <c r="F51" s="1063">
        <v>73.989999999999995</v>
      </c>
      <c r="G51" s="1063">
        <v>0.89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109502.23999999999</v>
      </c>
      <c r="N51" s="1069">
        <f t="shared" si="4"/>
        <v>0</v>
      </c>
    </row>
    <row r="52" spans="1:14" x14ac:dyDescent="0.2">
      <c r="A52" s="1062" t="str">
        <f t="shared" si="0"/>
        <v>820217</v>
      </c>
      <c r="B52" s="1063">
        <v>820217</v>
      </c>
      <c r="C52" s="1063" t="str">
        <v>LS_C 38%</v>
      </c>
      <c r="D52" s="1063">
        <v>840</v>
      </c>
      <c r="E52" s="1063">
        <v>836.5</v>
      </c>
      <c r="F52" s="1063">
        <v>-3.5</v>
      </c>
      <c r="G52" s="1063">
        <v>-0.42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820300</v>
      </c>
      <c r="B53" s="1063">
        <v>820300</v>
      </c>
      <c r="C53" s="1063" t="str">
        <v>CALCIUM FEED</v>
      </c>
      <c r="D53" s="1063">
        <v>2055.58</v>
      </c>
      <c r="E53" s="1063">
        <v>2045.5</v>
      </c>
      <c r="F53" s="1063">
        <v>-10.08</v>
      </c>
      <c r="G53" s="1063">
        <v>-0.49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820498</v>
      </c>
      <c r="B54" s="1063">
        <v>820498</v>
      </c>
      <c r="C54" s="1063" t="str">
        <v>SALT F98%</v>
      </c>
      <c r="D54" s="1063">
        <v>5779.2</v>
      </c>
      <c r="E54" s="1063">
        <v>5739.1</v>
      </c>
      <c r="F54" s="1063">
        <v>-40.1</v>
      </c>
      <c r="G54" s="1063">
        <v>-0.69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820500</v>
      </c>
      <c r="B55" s="1063">
        <v>820500</v>
      </c>
      <c r="C55" s="1063" t="str">
        <v>Sodium Bicabonate</v>
      </c>
      <c r="D55" s="1063">
        <v>690.94</v>
      </c>
      <c r="E55" s="1063">
        <v>691.7</v>
      </c>
      <c r="F55" s="1063">
        <v>0.76</v>
      </c>
      <c r="G55" s="1063">
        <v>0.11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830603</v>
      </c>
      <c r="B56" s="1063">
        <v>830603</v>
      </c>
      <c r="C56" s="1063" t="str">
        <v>DEXTROSE</v>
      </c>
      <c r="D56" s="1063">
        <v>500</v>
      </c>
      <c r="E56" s="1063">
        <v>498</v>
      </c>
      <c r="F56" s="1063">
        <v>-2</v>
      </c>
      <c r="G56" s="1063">
        <v>-0.4</v>
      </c>
      <c r="H56" s="1066">
        <f t="shared" si="1"/>
        <v>0</v>
      </c>
      <c r="I56" s="1068">
        <f t="shared" si="3"/>
        <v>0</v>
      </c>
      <c r="J56" s="1063"/>
      <c r="K56" s="1063"/>
      <c r="L56" s="2341" t="s">
        <v>1492</v>
      </c>
      <c r="M56" s="2342"/>
      <c r="N56" s="1069">
        <f t="shared" si="4"/>
        <v>0</v>
      </c>
    </row>
    <row r="57" spans="1:14" x14ac:dyDescent="0.2">
      <c r="A57" s="1062" t="str">
        <f t="shared" si="0"/>
        <v>831001</v>
      </c>
      <c r="B57" s="1063">
        <v>831001</v>
      </c>
      <c r="C57" s="1063" t="str">
        <v>WY SWEET 11.5%</v>
      </c>
      <c r="D57" s="1063">
        <v>1450</v>
      </c>
      <c r="E57" s="1063">
        <v>1440</v>
      </c>
      <c r="F57" s="1063">
        <v>-10</v>
      </c>
      <c r="G57" s="1063">
        <v>-0.69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1196</v>
      </c>
      <c r="M57" s="1708"/>
      <c r="N57" s="1069">
        <f t="shared" si="4"/>
        <v>0</v>
      </c>
    </row>
    <row r="58" spans="1:14" x14ac:dyDescent="0.2">
      <c r="A58" s="1062" t="str">
        <f t="shared" si="0"/>
        <v>831003</v>
      </c>
      <c r="B58" s="1063">
        <v>831003</v>
      </c>
      <c r="C58" s="1063" t="str">
        <v>WY DEPRO 3.6%</v>
      </c>
      <c r="D58" s="1063">
        <v>2350</v>
      </c>
      <c r="E58" s="1063">
        <v>2349</v>
      </c>
      <c r="F58" s="1063">
        <v>-1</v>
      </c>
      <c r="G58" s="1063">
        <v>-0.04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1718</v>
      </c>
      <c r="M58" s="1708"/>
      <c r="N58" s="1069">
        <f t="shared" si="4"/>
        <v>0</v>
      </c>
    </row>
    <row r="59" spans="1:14" x14ac:dyDescent="0.2">
      <c r="A59" s="1062" t="str">
        <f t="shared" si="0"/>
        <v>831918</v>
      </c>
      <c r="B59" s="1063">
        <v>831918</v>
      </c>
      <c r="C59" s="1063" t="str">
        <v>DPS50</v>
      </c>
      <c r="D59" s="1063">
        <v>1120</v>
      </c>
      <c r="E59" s="1063">
        <v>1120</v>
      </c>
      <c r="F59" s="1063">
        <v>0</v>
      </c>
      <c r="G59" s="1063">
        <v>0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831951</v>
      </c>
      <c r="B60" s="1063">
        <v>831951</v>
      </c>
      <c r="C60" s="1063" t="str">
        <v>PROVISOY</v>
      </c>
      <c r="D60" s="1063">
        <v>960</v>
      </c>
      <c r="E60" s="1063">
        <v>956</v>
      </c>
      <c r="F60" s="1063">
        <v>-4</v>
      </c>
      <c r="G60" s="1063">
        <v>-0.42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831951</v>
      </c>
      <c r="B61" s="1063">
        <v>831951</v>
      </c>
      <c r="C61" s="1063" t="str">
        <v>PROVISOY.</v>
      </c>
      <c r="D61" s="1063">
        <v>500</v>
      </c>
      <c r="E61" s="1063">
        <v>500</v>
      </c>
      <c r="F61" s="1063">
        <v>0</v>
      </c>
      <c r="G61" s="1063">
        <v>0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833101</v>
      </c>
      <c r="B62" s="1063">
        <v>833101</v>
      </c>
      <c r="C62" s="1063" t="str">
        <v>CAROMIC/TRIGARROFA/ EURO BIOSWEET/CARANI</v>
      </c>
      <c r="D62" s="1063">
        <v>720</v>
      </c>
      <c r="E62" s="1063">
        <v>716.5</v>
      </c>
      <c r="F62" s="1063">
        <v>-3.5</v>
      </c>
      <c r="G62" s="1063">
        <v>-0.49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840002</v>
      </c>
      <c r="B63" s="1063">
        <v>840002</v>
      </c>
      <c r="C63" s="1063" t="str">
        <v>D-L 99%</v>
      </c>
      <c r="D63" s="1063">
        <v>766.47</v>
      </c>
      <c r="E63" s="1063">
        <v>766.83</v>
      </c>
      <c r="F63" s="1063">
        <v>0.36</v>
      </c>
      <c r="G63" s="1063">
        <v>0.05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840002</v>
      </c>
      <c r="B64" s="1063">
        <v>840002</v>
      </c>
      <c r="C64" s="1063" t="str">
        <v>D-L 99%</v>
      </c>
      <c r="D64" s="1063">
        <v>2244.3200000000002</v>
      </c>
      <c r="E64" s="1063">
        <v>2235</v>
      </c>
      <c r="F64" s="1063">
        <v>-9.32</v>
      </c>
      <c r="G64" s="1063">
        <v>-0.42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840011</v>
      </c>
      <c r="B65" s="1063" t="str">
        <v>840011.HA</v>
      </c>
      <c r="C65" s="1063" t="str">
        <v>L-LYSINE 78%.HA</v>
      </c>
      <c r="D65" s="1063">
        <v>650</v>
      </c>
      <c r="E65" s="1063">
        <v>650</v>
      </c>
      <c r="F65" s="1063">
        <v>0</v>
      </c>
      <c r="G65" s="1063">
        <v>0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840011</v>
      </c>
      <c r="B66" s="1063" t="str">
        <v>840011.MNS</v>
      </c>
      <c r="C66" s="1063" t="str">
        <v>L-LYSINE 78%</v>
      </c>
      <c r="D66" s="1063">
        <v>3031.15</v>
      </c>
      <c r="E66" s="1063">
        <v>3038.25</v>
      </c>
      <c r="F66" s="1063">
        <v>7.1</v>
      </c>
      <c r="G66" s="1063">
        <v>0.23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840012</v>
      </c>
      <c r="B67" s="1063" t="str">
        <v>840012 MNS</v>
      </c>
      <c r="C67" s="1063" t="str">
        <v>LL 55% M</v>
      </c>
      <c r="D67" s="1063">
        <v>1035.44</v>
      </c>
      <c r="E67" s="1063">
        <v>1036.95</v>
      </c>
      <c r="F67" s="1063">
        <v>1.51</v>
      </c>
      <c r="G67" s="1063">
        <v>0.15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840012</v>
      </c>
      <c r="B68" s="1063">
        <v>840012</v>
      </c>
      <c r="C68" s="1063" t="str">
        <v>L-L55%</v>
      </c>
      <c r="D68" s="1063">
        <v>5457.28</v>
      </c>
      <c r="E68" s="1063">
        <v>5419.6</v>
      </c>
      <c r="F68" s="1063">
        <v>-37.68</v>
      </c>
      <c r="G68" s="1063">
        <v>-0.69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840019</v>
      </c>
      <c r="B69" s="1063">
        <v>840019</v>
      </c>
      <c r="C69" s="1063" t="str">
        <v>LL50%</v>
      </c>
      <c r="D69" s="1063">
        <v>1106.4100000000001</v>
      </c>
      <c r="E69" s="1063">
        <v>1105.19</v>
      </c>
      <c r="F69" s="1063">
        <v>-1.22</v>
      </c>
      <c r="G69" s="1063">
        <v>-0.11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840020</v>
      </c>
      <c r="B70" s="1063">
        <v>840020</v>
      </c>
      <c r="C70" s="1063" t="str">
        <v>L-TRYTOPHAN</v>
      </c>
      <c r="D70" s="1063">
        <v>464.26</v>
      </c>
      <c r="E70" s="1063">
        <v>463.26</v>
      </c>
      <c r="F70" s="1063">
        <v>-1</v>
      </c>
      <c r="G70" s="1063">
        <v>-0.22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840030</v>
      </c>
      <c r="B71" s="1063">
        <v>840030</v>
      </c>
      <c r="C71" s="1063" t="str">
        <v>L-THREONINE 98.5%</v>
      </c>
      <c r="D71" s="1063">
        <v>573.52</v>
      </c>
      <c r="E71" s="1063">
        <v>571.1</v>
      </c>
      <c r="F71" s="1063">
        <v>-2.42</v>
      </c>
      <c r="G71" s="1063">
        <v>-0.42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840030</v>
      </c>
      <c r="B72" s="1063" t="str">
        <v>840030 Mini</v>
      </c>
      <c r="C72" s="1063" t="str">
        <v>L-THREONINE Mine scale</v>
      </c>
      <c r="D72" s="1063">
        <v>1540.7</v>
      </c>
      <c r="E72" s="1063">
        <v>1545.65</v>
      </c>
      <c r="F72" s="1063">
        <v>4.95</v>
      </c>
      <c r="G72" s="1063">
        <v>0.32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840032</v>
      </c>
      <c r="B73" s="1063">
        <v>840032</v>
      </c>
      <c r="C73" s="1063" t="str">
        <v>L-VALINE</v>
      </c>
      <c r="D73" s="1063">
        <v>577.04</v>
      </c>
      <c r="E73" s="1063">
        <v>574.05999999999995</v>
      </c>
      <c r="F73" s="1063">
        <v>-2.98</v>
      </c>
      <c r="G73" s="1063">
        <v>-0.52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840035</v>
      </c>
      <c r="B74" s="1063">
        <v>840035</v>
      </c>
      <c r="C74" s="1063" t="str">
        <v>L-ARG 99.7%</v>
      </c>
      <c r="D74" s="1063">
        <v>155.91999999999999</v>
      </c>
      <c r="E74" s="1063">
        <v>154.72</v>
      </c>
      <c r="F74" s="1063">
        <v>-1.2</v>
      </c>
      <c r="G74" s="1063">
        <v>-0.77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840041</v>
      </c>
      <c r="B75" s="1063">
        <v>840041</v>
      </c>
      <c r="C75" s="1063" t="str">
        <v>Ch_CH 75%</v>
      </c>
      <c r="D75" s="1063">
        <v>1241.53</v>
      </c>
      <c r="E75" s="1063">
        <v>1228.07</v>
      </c>
      <c r="F75" s="1063">
        <v>-13.46</v>
      </c>
      <c r="G75" s="1063">
        <v>-1.08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840058</v>
      </c>
      <c r="B76" s="1063">
        <v>840058</v>
      </c>
      <c r="C76" s="1063" t="str">
        <v>betafin liqiud 38%</v>
      </c>
      <c r="D76" s="1063">
        <v>1639.89</v>
      </c>
      <c r="E76" s="1063">
        <v>1625.4</v>
      </c>
      <c r="F76" s="1063">
        <v>-14.49</v>
      </c>
      <c r="G76" s="1063">
        <v>-0.88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840101</v>
      </c>
      <c r="B77" s="1063">
        <v>840101</v>
      </c>
      <c r="C77" s="1063" t="str">
        <v>Axtra# PRIME 501 T</v>
      </c>
      <c r="D77" s="1063">
        <v>4</v>
      </c>
      <c r="E77" s="1063">
        <v>3.96</v>
      </c>
      <c r="F77" s="1063">
        <v>-0.04</v>
      </c>
      <c r="G77" s="1063">
        <v>-1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840155</v>
      </c>
      <c r="B78" s="1063">
        <v>840155</v>
      </c>
      <c r="C78" s="1063" t="str">
        <v>Rovabio Advance Phy L</v>
      </c>
      <c r="D78" s="1063">
        <v>287.76</v>
      </c>
      <c r="E78" s="1063">
        <v>287.76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287.76</v>
      </c>
    </row>
    <row r="79" spans="1:14" x14ac:dyDescent="0.2">
      <c r="A79" s="1062" t="str">
        <f t="shared" si="6"/>
        <v>840194</v>
      </c>
      <c r="B79" s="1063">
        <v>840194</v>
      </c>
      <c r="C79" s="1063" t="str">
        <v>ROVABIO ADVNCE T-FLEX 25</v>
      </c>
      <c r="D79" s="1063">
        <v>127.68</v>
      </c>
      <c r="E79" s="1063">
        <v>125.93</v>
      </c>
      <c r="F79" s="1063">
        <v>-1.75</v>
      </c>
      <c r="G79" s="1063">
        <v>-1.37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840224</v>
      </c>
      <c r="B80" s="1063">
        <v>840224</v>
      </c>
      <c r="C80" s="1063" t="str">
        <v>LUCATINRED10%/LeaderRed/Canthaxanthin10%</v>
      </c>
      <c r="D80" s="1063">
        <v>22.68</v>
      </c>
      <c r="E80" s="1063">
        <v>22.68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840245</v>
      </c>
      <c r="B81" s="1063">
        <v>840245</v>
      </c>
      <c r="C81" s="1063" t="str">
        <v>TARTRAZINE 50%</v>
      </c>
      <c r="D81" s="1063">
        <v>37.799999999999997</v>
      </c>
      <c r="E81" s="1063">
        <v>37.799999999999997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840255</v>
      </c>
      <c r="B82" s="1063">
        <v>840255</v>
      </c>
      <c r="C82" s="1063" t="str">
        <v>LEADER  YELLOW</v>
      </c>
      <c r="D82" s="1063">
        <v>75.599999999999994</v>
      </c>
      <c r="E82" s="1063">
        <v>75.599999999999994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840305</v>
      </c>
      <c r="B83" s="1063">
        <v>840305</v>
      </c>
      <c r="C83" s="1063" t="str">
        <v>PIGOR TEX659</v>
      </c>
      <c r="D83" s="1063">
        <v>21.6</v>
      </c>
      <c r="E83" s="1063">
        <v>21.64</v>
      </c>
      <c r="F83" s="1063">
        <v>0.04</v>
      </c>
      <c r="G83" s="1063">
        <v>0.19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840358</v>
      </c>
      <c r="B84" s="1063">
        <v>840358</v>
      </c>
      <c r="C84" s="1063" t="str">
        <v xml:space="preserve">Sucram 5S </v>
      </c>
      <c r="D84" s="1063">
        <v>9.4</v>
      </c>
      <c r="E84" s="1063">
        <v>9.4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840400</v>
      </c>
      <c r="B85" s="1063">
        <v>840400</v>
      </c>
      <c r="C85" s="1063" t="str">
        <v>ACID LAC PREMIUM</v>
      </c>
      <c r="D85" s="1063">
        <v>360</v>
      </c>
      <c r="E85" s="1063">
        <v>356.2</v>
      </c>
      <c r="F85" s="1063">
        <v>-3.8</v>
      </c>
      <c r="G85" s="1063">
        <v>-1.06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840537</v>
      </c>
      <c r="B86" s="1063">
        <v>840537</v>
      </c>
      <c r="C86" s="1063" t="str">
        <v>VITAMIN E</v>
      </c>
      <c r="D86" s="1063">
        <v>6.37</v>
      </c>
      <c r="E86" s="1063">
        <v>6.37</v>
      </c>
      <c r="F86" s="1063">
        <v>0</v>
      </c>
      <c r="G86" s="1063">
        <v>0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840550</v>
      </c>
      <c r="B87" s="1063">
        <v>840550</v>
      </c>
      <c r="C87" s="1063" t="str">
        <v>BIOTIN(2%)</v>
      </c>
      <c r="D87" s="1063">
        <v>6.5</v>
      </c>
      <c r="E87" s="1063">
        <v>6.5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840929</v>
      </c>
      <c r="B88" s="1063">
        <v>840929</v>
      </c>
      <c r="C88" s="1063" t="str">
        <v>Rovabio PHY</v>
      </c>
      <c r="D88" s="1063">
        <v>63.84</v>
      </c>
      <c r="E88" s="1063">
        <v>63.37</v>
      </c>
      <c r="F88" s="1063">
        <v>-0.47</v>
      </c>
      <c r="G88" s="1063">
        <v>-0.74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841299</v>
      </c>
      <c r="B89" s="1063">
        <v>841299</v>
      </c>
      <c r="C89" s="1063" t="str">
        <v>Avi-multop</v>
      </c>
      <c r="D89" s="1063">
        <v>203</v>
      </c>
      <c r="E89" s="1063">
        <v>203.5</v>
      </c>
      <c r="F89" s="1063">
        <v>0.5</v>
      </c>
      <c r="G89" s="1063">
        <v>0.25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841327</v>
      </c>
      <c r="B90" s="1063">
        <v>841327</v>
      </c>
      <c r="C90" s="1063" t="str">
        <v>Lysofrte Dry</v>
      </c>
      <c r="D90" s="1063">
        <v>32.049999999999997</v>
      </c>
      <c r="E90" s="1063">
        <v>32.049999999999997</v>
      </c>
      <c r="F90" s="1063">
        <v>0</v>
      </c>
      <c r="G90" s="1063">
        <v>0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842107</v>
      </c>
      <c r="B91" s="1063">
        <v>842107</v>
      </c>
      <c r="C91" s="1063" t="str">
        <v xml:space="preserve">M-TOX PLUS </v>
      </c>
      <c r="D91" s="1063">
        <v>295.36</v>
      </c>
      <c r="E91" s="1063">
        <v>294.38</v>
      </c>
      <c r="F91" s="1063">
        <v>-0.98</v>
      </c>
      <c r="G91" s="1063">
        <v>-0.33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842109</v>
      </c>
      <c r="B92" s="1063">
        <v>842109</v>
      </c>
      <c r="C92" s="1063" t="str">
        <v>Novasil Plus</v>
      </c>
      <c r="D92" s="1063">
        <v>210</v>
      </c>
      <c r="E92" s="1063">
        <v>210.84</v>
      </c>
      <c r="F92" s="1063">
        <v>0.84</v>
      </c>
      <c r="G92" s="1063">
        <v>0.4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842123</v>
      </c>
      <c r="B93" s="1063">
        <v>842123</v>
      </c>
      <c r="C93" s="1063" t="str">
        <v>MYCOFIX Plux 3.0</v>
      </c>
      <c r="D93" s="1063">
        <v>218.4</v>
      </c>
      <c r="E93" s="1063">
        <v>217.96</v>
      </c>
      <c r="F93" s="1063">
        <v>-0.44</v>
      </c>
      <c r="G93" s="1063">
        <v>-0.2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842133</v>
      </c>
      <c r="B94" s="1063">
        <v>842133</v>
      </c>
      <c r="C94" s="1063" t="str">
        <v>Toxy-nil dry</v>
      </c>
      <c r="D94" s="1063">
        <v>142.80000000000001</v>
      </c>
      <c r="E94" s="1063">
        <v>141.28</v>
      </c>
      <c r="F94" s="1063">
        <v>-1.52</v>
      </c>
      <c r="G94" s="1063">
        <v>-1.06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842154</v>
      </c>
      <c r="B95" s="1063">
        <v>842154</v>
      </c>
      <c r="C95" s="1063" t="str">
        <v>BENTONITE</v>
      </c>
      <c r="D95" s="1063">
        <v>50.4</v>
      </c>
      <c r="E95" s="1063">
        <v>50.4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842206</v>
      </c>
      <c r="B96" s="1063">
        <v>842206</v>
      </c>
      <c r="C96" s="1063" t="str">
        <v>BIOMIN</v>
      </c>
      <c r="D96" s="1063">
        <v>35.700000000000003</v>
      </c>
      <c r="E96" s="1063">
        <v>35.43</v>
      </c>
      <c r="F96" s="1063">
        <v>-0.27</v>
      </c>
      <c r="G96" s="1063">
        <v>-0.76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842259</v>
      </c>
      <c r="B97" s="1063">
        <v>842259</v>
      </c>
      <c r="C97" s="1063" t="str">
        <v>GalliPro Tect(Probiotic)</v>
      </c>
      <c r="D97" s="1063">
        <v>239.4</v>
      </c>
      <c r="E97" s="1063">
        <v>237.98</v>
      </c>
      <c r="F97" s="1063">
        <v>-1.42</v>
      </c>
      <c r="G97" s="1063">
        <v>-0.59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842300</v>
      </c>
      <c r="B98" s="1063">
        <v>842300</v>
      </c>
      <c r="C98" s="1063" t="str">
        <v>ENDOX</v>
      </c>
      <c r="D98" s="1063">
        <v>124.64</v>
      </c>
      <c r="E98" s="1063">
        <v>125.16</v>
      </c>
      <c r="F98" s="1063">
        <v>0.52</v>
      </c>
      <c r="G98" s="1063">
        <v>0.42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842523</v>
      </c>
      <c r="B99" s="1063">
        <v>842523</v>
      </c>
      <c r="C99" s="1063" t="str">
        <v>MAXIBAN</v>
      </c>
      <c r="D99" s="1063">
        <v>60.48</v>
      </c>
      <c r="E99" s="1063">
        <v>60.48</v>
      </c>
      <c r="F99" s="1063">
        <v>0</v>
      </c>
      <c r="G99" s="1063">
        <v>0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842704</v>
      </c>
      <c r="B100" s="1063">
        <v>842704</v>
      </c>
      <c r="C100" s="1063" t="str">
        <v>SALCURB</v>
      </c>
      <c r="D100" s="1063">
        <v>16.8</v>
      </c>
      <c r="E100" s="1063">
        <v>16.8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16.8</v>
      </c>
    </row>
    <row r="101" spans="1:14" x14ac:dyDescent="0.2">
      <c r="A101" s="1062" t="str">
        <f t="shared" si="6"/>
        <v>842841</v>
      </c>
      <c r="B101" s="1063">
        <v>842841</v>
      </c>
      <c r="C101" s="1063" t="str">
        <v>ENRADIN 8%</v>
      </c>
      <c r="D101" s="1063">
        <v>4.2</v>
      </c>
      <c r="E101" s="1063">
        <v>4.2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842880</v>
      </c>
      <c r="B102" s="1063">
        <v>842880</v>
      </c>
      <c r="C102" s="1063" t="str">
        <v>Acid Buf 10</v>
      </c>
      <c r="D102" s="1063">
        <v>264.47000000000003</v>
      </c>
      <c r="E102" s="1063">
        <v>264.47000000000003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842903</v>
      </c>
      <c r="B103" s="1063">
        <v>842903</v>
      </c>
      <c r="C103" s="1063" t="str">
        <v>COPPER CHLORIDE 58%Caliton</v>
      </c>
      <c r="D103" s="1063">
        <v>187.34</v>
      </c>
      <c r="E103" s="1063">
        <v>187.79</v>
      </c>
      <c r="F103" s="1063">
        <v>0.45</v>
      </c>
      <c r="G103" s="1063">
        <v>0.24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842906</v>
      </c>
      <c r="B104" s="1063">
        <v>842906</v>
      </c>
      <c r="C104" s="1063" t="str">
        <v>UREA FINE</v>
      </c>
      <c r="D104" s="1063">
        <v>1796.29</v>
      </c>
      <c r="E104" s="1063">
        <v>1796.4</v>
      </c>
      <c r="F104" s="1063">
        <v>0.11</v>
      </c>
      <c r="G104" s="1063">
        <v>0.01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842922</v>
      </c>
      <c r="B105" s="1063">
        <v>842922</v>
      </c>
      <c r="C105" s="1063" t="str">
        <v>AVAILA Zn</v>
      </c>
      <c r="D105" s="1063">
        <v>340.68</v>
      </c>
      <c r="E105" s="1063">
        <v>339.26</v>
      </c>
      <c r="F105" s="1063">
        <v>-1.42</v>
      </c>
      <c r="G105" s="1063">
        <v>-0.42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842930</v>
      </c>
      <c r="B106" s="1063">
        <v>842930</v>
      </c>
      <c r="C106" s="1063" t="str">
        <v>ALLPLEX -B</v>
      </c>
      <c r="D106" s="1063">
        <v>29.4</v>
      </c>
      <c r="E106" s="1063">
        <v>29.35</v>
      </c>
      <c r="F106" s="1063">
        <v>-0.05</v>
      </c>
      <c r="G106" s="1063">
        <v>-0.17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842931</v>
      </c>
      <c r="B107" s="1063">
        <v>842931</v>
      </c>
      <c r="C107" s="1063" t="str">
        <v>ALLPLEX -S</v>
      </c>
      <c r="D107" s="1063">
        <v>377.2</v>
      </c>
      <c r="E107" s="1063">
        <v>375.04</v>
      </c>
      <c r="F107" s="1063">
        <v>-2.16</v>
      </c>
      <c r="G107" s="1063">
        <v>-0.56999999999999995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842934</v>
      </c>
      <c r="B108" s="1063">
        <v>842934</v>
      </c>
      <c r="C108" s="1063" t="str">
        <v>ALLPLEX -GF</v>
      </c>
      <c r="D108" s="1063">
        <v>829</v>
      </c>
      <c r="E108" s="1063">
        <v>819.86</v>
      </c>
      <c r="F108" s="1063">
        <v>-9.14</v>
      </c>
      <c r="G108" s="1063">
        <v>-1.1000000000000001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842984</v>
      </c>
      <c r="B109" s="1063">
        <v>842984</v>
      </c>
      <c r="C109" s="1063" t="str">
        <v>ZN OXIDE 75%</v>
      </c>
      <c r="D109" s="1063">
        <v>188.8</v>
      </c>
      <c r="E109" s="1063">
        <v>189.45</v>
      </c>
      <c r="F109" s="1063">
        <v>0.65</v>
      </c>
      <c r="G109" s="1063">
        <v>0.34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842994</v>
      </c>
      <c r="B110" s="1063">
        <v>842994</v>
      </c>
      <c r="C110" s="1063" t="str">
        <v>HIZOX</v>
      </c>
      <c r="D110" s="1063">
        <v>12.8</v>
      </c>
      <c r="E110" s="1063">
        <v>12.85</v>
      </c>
      <c r="F110" s="1063">
        <v>0.05</v>
      </c>
      <c r="G110" s="1063">
        <v>0.39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843081</v>
      </c>
      <c r="B111" s="1063">
        <v>843081</v>
      </c>
      <c r="C111" s="1063" t="str">
        <v>Salinomycin</v>
      </c>
      <c r="D111" s="1063">
        <v>9.1</v>
      </c>
      <c r="E111" s="1063">
        <v>9.1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843084</v>
      </c>
      <c r="B112" s="1063">
        <v>843084</v>
      </c>
      <c r="C112" s="1063" t="str">
        <v>TIOTILIN 80%</v>
      </c>
      <c r="D112" s="1063">
        <v>27.84</v>
      </c>
      <c r="E112" s="1063">
        <v>27.84</v>
      </c>
      <c r="F112" s="1063">
        <v>0</v>
      </c>
      <c r="G112" s="1063">
        <v>0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843125</v>
      </c>
      <c r="B113" s="1063">
        <v>843125</v>
      </c>
      <c r="C113" s="1063" t="str">
        <v>Amoxycillin 80%</v>
      </c>
      <c r="D113" s="1063">
        <v>77.55</v>
      </c>
      <c r="E113" s="1063">
        <v>77.55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843140</v>
      </c>
      <c r="B114" s="1063">
        <v>843140</v>
      </c>
      <c r="C114" s="1063" t="str">
        <v>Denagard 80%</v>
      </c>
      <c r="D114" s="1063">
        <v>2</v>
      </c>
      <c r="E114" s="1063">
        <v>2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843274</v>
      </c>
      <c r="B115" s="1063">
        <v>843274</v>
      </c>
      <c r="C115" s="1063" t="str">
        <v>Tilmovet/Pulmotil/Timicox/Miclozan 200</v>
      </c>
      <c r="D115" s="1063">
        <v>58.8</v>
      </c>
      <c r="E115" s="1063">
        <v>58.8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890000</v>
      </c>
      <c r="B116" s="1063">
        <v>890000</v>
      </c>
      <c r="C116" s="1063" t="str">
        <v>IR/FR (SWINE)</v>
      </c>
      <c r="D116" s="1063">
        <v>63420.01</v>
      </c>
      <c r="E116" s="1063">
        <v>64521</v>
      </c>
      <c r="F116" s="1063">
        <v>1100.99</v>
      </c>
      <c r="G116" s="1063">
        <v>1.74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64521</v>
      </c>
    </row>
    <row r="117" spans="1:14" x14ac:dyDescent="0.2">
      <c r="A117" s="1062" t="str">
        <f t="shared" si="6"/>
        <v>911101</v>
      </c>
      <c r="B117" s="1063">
        <v>911101</v>
      </c>
      <c r="C117" s="1063" t="str">
        <v>PX 10V</v>
      </c>
      <c r="D117" s="1063">
        <v>182.7</v>
      </c>
      <c r="E117" s="1063">
        <v>181.42</v>
      </c>
      <c r="F117" s="1063">
        <v>-1.28</v>
      </c>
      <c r="G117" s="1063">
        <v>-0.7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911121</v>
      </c>
      <c r="B118" s="1063">
        <v>911121</v>
      </c>
      <c r="C118" s="1063" t="str">
        <v>PX_21V</v>
      </c>
      <c r="D118" s="1063">
        <v>8.4</v>
      </c>
      <c r="E118" s="1063">
        <v>8.32</v>
      </c>
      <c r="F118" s="1063">
        <v>-0.08</v>
      </c>
      <c r="G118" s="1063">
        <v>-0.95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911125</v>
      </c>
      <c r="B119" s="1063">
        <v>911125</v>
      </c>
      <c r="C119" s="1063" t="str">
        <v>px 25v</v>
      </c>
      <c r="D119" s="1063">
        <v>16.8</v>
      </c>
      <c r="E119" s="1063">
        <v>16.579999999999998</v>
      </c>
      <c r="F119" s="1063">
        <v>-0.22</v>
      </c>
      <c r="G119" s="1063">
        <v>-1.31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911401</v>
      </c>
      <c r="B120" s="1063">
        <v>911401</v>
      </c>
      <c r="C120" s="1063" t="str">
        <v>PX_48V</v>
      </c>
      <c r="D120" s="1063">
        <v>235.2</v>
      </c>
      <c r="E120" s="1063">
        <v>237.14</v>
      </c>
      <c r="F120" s="1063">
        <v>1.94</v>
      </c>
      <c r="G120" s="1063">
        <v>0.82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912101</v>
      </c>
      <c r="B121" s="1063">
        <v>912101</v>
      </c>
      <c r="C121" s="1063" t="str">
        <v>PX 10M</v>
      </c>
      <c r="D121" s="1063">
        <v>309.12</v>
      </c>
      <c r="E121" s="1063">
        <v>309.10000000000002</v>
      </c>
      <c r="F121" s="1063">
        <v>-0.02</v>
      </c>
      <c r="G121" s="1063">
        <v>-0.01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913501</v>
      </c>
      <c r="B122" s="1063">
        <v>913501</v>
      </c>
      <c r="C122" s="1063" t="str">
        <v>PX 51V</v>
      </c>
      <c r="D122" s="1063">
        <v>120</v>
      </c>
      <c r="E122" s="1063">
        <v>119.4</v>
      </c>
      <c r="F122" s="1063">
        <v>-0.6</v>
      </c>
      <c r="G122" s="1063">
        <v>-0.5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913511</v>
      </c>
      <c r="B123" s="1063">
        <v>913511</v>
      </c>
      <c r="C123" s="1063" t="str">
        <v>PX 52SV</v>
      </c>
      <c r="D123" s="1063">
        <v>344.4</v>
      </c>
      <c r="E123" s="1063">
        <v>341.58</v>
      </c>
      <c r="F123" s="1063">
        <v>-2.82</v>
      </c>
      <c r="G123" s="1063">
        <v>-0.82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913521</v>
      </c>
      <c r="B124" s="1063">
        <v>913521</v>
      </c>
      <c r="C124" s="1063" t="str">
        <v>PX52V</v>
      </c>
      <c r="D124" s="1063">
        <v>214.2</v>
      </c>
      <c r="E124" s="1063">
        <v>212.98</v>
      </c>
      <c r="F124" s="1063">
        <v>-1.22</v>
      </c>
      <c r="G124" s="1063">
        <v>-0.56999999999999995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913561</v>
      </c>
      <c r="B125" s="1063">
        <v>913561</v>
      </c>
      <c r="C125" s="1063" t="str">
        <v>PX-66V</v>
      </c>
      <c r="D125" s="1063">
        <v>109.2</v>
      </c>
      <c r="E125" s="1063">
        <v>108.11</v>
      </c>
      <c r="F125" s="1063">
        <v>-1.0900000000000001</v>
      </c>
      <c r="G125" s="1063">
        <v>-1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913572</v>
      </c>
      <c r="B126" s="1063">
        <v>913572</v>
      </c>
      <c r="C126" s="1063" t="str">
        <v>PX-67SV</v>
      </c>
      <c r="D126" s="1063">
        <v>142.80000000000001</v>
      </c>
      <c r="E126" s="1063">
        <v>141.41999999999999</v>
      </c>
      <c r="F126" s="1063">
        <v>-1.38</v>
      </c>
      <c r="G126" s="1063">
        <v>-0.97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914001</v>
      </c>
      <c r="B127" s="1063">
        <v>914001</v>
      </c>
      <c r="C127" s="1063" t="str">
        <v>MS Swine 0314 (Biomin)</v>
      </c>
      <c r="D127" s="1063">
        <v>757.44</v>
      </c>
      <c r="E127" s="1063">
        <v>755.96</v>
      </c>
      <c r="F127" s="1063">
        <v>-1.48</v>
      </c>
      <c r="G127" s="1063">
        <v>-0.2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914521</v>
      </c>
      <c r="B128" s="1063">
        <v>914521</v>
      </c>
      <c r="C128" s="1063" t="str">
        <v>pX 52M</v>
      </c>
      <c r="D128" s="1063">
        <v>403.2</v>
      </c>
      <c r="E128" s="1063">
        <v>404.28</v>
      </c>
      <c r="F128" s="1063">
        <v>1.08</v>
      </c>
      <c r="G128" s="1063">
        <v>0.27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917004</v>
      </c>
      <c r="B129" s="1063">
        <v>917004</v>
      </c>
      <c r="C129" s="1063" t="str">
        <v>PMX 0.2% RED Premix</v>
      </c>
      <c r="D129" s="1063">
        <v>125.4</v>
      </c>
      <c r="E129" s="1063">
        <v>124.92</v>
      </c>
      <c r="F129" s="1063">
        <v>-0.48</v>
      </c>
      <c r="G129" s="1063">
        <v>-0.38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917004</v>
      </c>
      <c r="B130" s="1063" t="str">
        <v>917004 HA</v>
      </c>
      <c r="C130" s="1063" t="str">
        <v>PMX 0.2% RED Premix</v>
      </c>
      <c r="D130" s="1063">
        <v>240</v>
      </c>
      <c r="E130" s="1063">
        <v>240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917302</v>
      </c>
      <c r="B131" s="1063">
        <v>917302</v>
      </c>
      <c r="C131" s="1063" t="str">
        <v>PREMIX AMNIL</v>
      </c>
      <c r="D131" s="1063">
        <v>667.8</v>
      </c>
      <c r="E131" s="1063">
        <v>656.4</v>
      </c>
      <c r="F131" s="1063">
        <v>-11.4</v>
      </c>
      <c r="G131" s="1063">
        <v>-1.71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AVI WA</v>
      </c>
      <c r="B132" s="1063" t="str">
        <v>AVI WATER</v>
      </c>
      <c r="C132" s="1063" t="str">
        <v>AVI WATER</v>
      </c>
      <c r="D132" s="1063">
        <v>2030</v>
      </c>
      <c r="E132" s="1063">
        <v>2053.86</v>
      </c>
      <c r="F132" s="1063">
        <v>23.86</v>
      </c>
      <c r="G132" s="1063">
        <v>1.18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 xml:space="preserve">KOMOS </v>
      </c>
      <c r="B133" s="1063" t="str">
        <v>KOMOS MCL</v>
      </c>
      <c r="C133" s="1063" t="str">
        <v>MCL</v>
      </c>
      <c r="D133" s="1063">
        <v>2094</v>
      </c>
      <c r="E133" s="1063">
        <v>2098.71</v>
      </c>
      <c r="F133" s="1063">
        <v>4.71</v>
      </c>
      <c r="G133" s="1063">
        <v>0.23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 xml:space="preserve">KOMOS </v>
      </c>
      <c r="B134" s="1063" t="str">
        <v>KOMOS Water</v>
      </c>
      <c r="C134" s="1063">
        <v>0</v>
      </c>
      <c r="D134" s="1063">
        <v>9471.5400000000009</v>
      </c>
      <c r="E134" s="1063">
        <v>9482.7099999999991</v>
      </c>
      <c r="F134" s="1063">
        <v>11.17</v>
      </c>
      <c r="G134" s="1063">
        <v>0.12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2305957.48</v>
      </c>
      <c r="E135" s="1063">
        <v>2305549.4900000002</v>
      </c>
      <c r="F135" s="1063">
        <v>-408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2403</v>
      </c>
      <c r="C6" s="666" t="s">
        <v>2404</v>
      </c>
      <c r="D6" s="666" t="s">
        <v>2405</v>
      </c>
      <c r="E6" s="666" t="s">
        <v>2406</v>
      </c>
      <c r="F6" s="666" t="s">
        <v>2407</v>
      </c>
      <c r="G6" s="666" t="s">
        <v>2408</v>
      </c>
      <c r="H6" s="666" t="s">
        <v>2409</v>
      </c>
      <c r="I6" s="666" t="s">
        <v>2410</v>
      </c>
      <c r="J6" s="666" t="s">
        <v>2411</v>
      </c>
      <c r="K6" s="666" t="s">
        <v>2412</v>
      </c>
    </row>
    <row r="7" spans="1:27" x14ac:dyDescent="0.2">
      <c r="A7" s="1106" t="str">
        <f t="shared" si="0"/>
        <v/>
      </c>
      <c r="C7" s="666" t="s">
        <v>2413</v>
      </c>
      <c r="D7" s="1996">
        <v>46261.624305555553</v>
      </c>
      <c r="E7" s="1996">
        <v>46261.624305555553</v>
      </c>
    </row>
    <row r="8" spans="1:27" x14ac:dyDescent="0.2">
      <c r="A8" s="1106" t="str">
        <f t="shared" si="0"/>
        <v>Dextrose MonohydrateA18.346240</v>
      </c>
      <c r="B8" s="1997">
        <v>46261</v>
      </c>
      <c r="C8" s="1998">
        <v>8000095437</v>
      </c>
      <c r="D8" s="1998">
        <v>1</v>
      </c>
      <c r="E8" s="666" t="s">
        <v>36</v>
      </c>
      <c r="H8" s="1999">
        <v>46240</v>
      </c>
      <c r="I8" s="717">
        <v>0</v>
      </c>
      <c r="K8" s="666" t="s">
        <v>2414</v>
      </c>
      <c r="L8" s="666" t="s">
        <v>2109</v>
      </c>
      <c r="M8" s="666" t="s">
        <v>2415</v>
      </c>
      <c r="N8" s="717">
        <v>25</v>
      </c>
      <c r="O8" s="715">
        <v>100</v>
      </c>
      <c r="P8" s="717">
        <v>2500</v>
      </c>
      <c r="Q8" s="666" t="s">
        <v>2416</v>
      </c>
      <c r="R8" s="666" t="s">
        <v>2417</v>
      </c>
      <c r="AA8" s="1163"/>
    </row>
    <row r="9" spans="1:27" x14ac:dyDescent="0.2">
      <c r="A9" s="1106" t="str">
        <f t="shared" si="0"/>
        <v/>
      </c>
      <c r="C9" s="666" t="s">
        <v>2413</v>
      </c>
      <c r="D9" s="1996">
        <v>46261.624305555553</v>
      </c>
      <c r="E9" s="1996">
        <v>46261.624305555553</v>
      </c>
    </row>
    <row r="10" spans="1:27" ht="12.75" customHeight="1" x14ac:dyDescent="0.2">
      <c r="A10" s="1106" t="str">
        <f t="shared" si="0"/>
        <v>Dextrose MonohydrateB18.146245</v>
      </c>
      <c r="B10" s="1997">
        <v>46261</v>
      </c>
      <c r="C10" s="1998">
        <v>8000095437</v>
      </c>
      <c r="D10" s="1998">
        <v>2</v>
      </c>
      <c r="E10" s="666" t="s">
        <v>36</v>
      </c>
      <c r="H10" s="1999">
        <v>46245</v>
      </c>
      <c r="I10" s="717">
        <v>0</v>
      </c>
      <c r="K10" s="666" t="s">
        <v>2414</v>
      </c>
      <c r="L10" s="666" t="s">
        <v>1316</v>
      </c>
      <c r="M10" s="666" t="s">
        <v>2415</v>
      </c>
      <c r="N10" s="717">
        <v>25</v>
      </c>
      <c r="O10" s="715">
        <v>300</v>
      </c>
      <c r="P10" s="717">
        <v>7500</v>
      </c>
      <c r="Q10" s="666" t="s">
        <v>2416</v>
      </c>
      <c r="R10" s="666" t="s">
        <v>2417</v>
      </c>
    </row>
    <row r="11" spans="1:27" ht="12.75" customHeight="1" x14ac:dyDescent="0.2">
      <c r="A11" s="1106" t="str">
        <f t="shared" si="0"/>
        <v/>
      </c>
      <c r="B11" s="666" t="s">
        <v>2418</v>
      </c>
      <c r="C11" s="666" t="s">
        <v>2413</v>
      </c>
      <c r="D11" s="1996">
        <v>46261.625</v>
      </c>
      <c r="E11" s="1996">
        <v>46261.625</v>
      </c>
    </row>
    <row r="12" spans="1:27" ht="12.75" customHeight="1" x14ac:dyDescent="0.2">
      <c r="A12" s="1106" t="str">
        <f t="shared" si="0"/>
        <v>Limestone (Fine)B13.246232</v>
      </c>
      <c r="B12" s="1997">
        <v>46261</v>
      </c>
      <c r="C12" s="1998">
        <v>8000095437</v>
      </c>
      <c r="D12" s="1998">
        <v>3</v>
      </c>
      <c r="E12" s="666" t="s">
        <v>811</v>
      </c>
      <c r="H12" s="1999">
        <v>46232</v>
      </c>
      <c r="I12" s="717">
        <v>0</v>
      </c>
      <c r="J12" s="666" t="s">
        <v>2419</v>
      </c>
      <c r="K12" s="666" t="s">
        <v>2414</v>
      </c>
      <c r="L12" s="666" t="s">
        <v>1497</v>
      </c>
      <c r="M12" s="666" t="s">
        <v>2415</v>
      </c>
      <c r="N12" s="717">
        <v>1453.5</v>
      </c>
      <c r="O12" s="715">
        <v>14</v>
      </c>
      <c r="P12" s="717">
        <v>20349</v>
      </c>
      <c r="Q12" s="666" t="s">
        <v>2416</v>
      </c>
      <c r="R12" s="666" t="s">
        <v>2417</v>
      </c>
    </row>
    <row r="13" spans="1:27" x14ac:dyDescent="0.2">
      <c r="A13" s="1106" t="str">
        <f t="shared" si="0"/>
        <v/>
      </c>
      <c r="B13" s="666" t="s">
        <v>2420</v>
      </c>
      <c r="C13" s="666" t="s">
        <v>2413</v>
      </c>
      <c r="D13" s="1996">
        <v>46261.625</v>
      </c>
      <c r="E13" s="1996">
        <v>46261.625</v>
      </c>
    </row>
    <row r="14" spans="1:27" ht="12.75" customHeight="1" x14ac:dyDescent="0.2">
      <c r="A14" s="1106" t="str">
        <f t="shared" si="0"/>
        <v>Calcium feedA12.246248</v>
      </c>
      <c r="B14" s="1997">
        <v>46261</v>
      </c>
      <c r="C14" s="1998">
        <v>8000095437</v>
      </c>
      <c r="D14" s="1998">
        <v>4</v>
      </c>
      <c r="E14" s="666" t="s">
        <v>829</v>
      </c>
      <c r="H14" s="1999">
        <v>46248</v>
      </c>
      <c r="I14" s="717">
        <v>0</v>
      </c>
      <c r="J14" s="666" t="s">
        <v>2421</v>
      </c>
      <c r="K14" s="666" t="s">
        <v>2414</v>
      </c>
      <c r="L14" s="666" t="s">
        <v>1303</v>
      </c>
      <c r="M14" s="666" t="s">
        <v>2415</v>
      </c>
      <c r="N14" s="717">
        <v>1585.5</v>
      </c>
      <c r="O14" s="715">
        <v>2</v>
      </c>
      <c r="P14" s="717">
        <v>3171</v>
      </c>
      <c r="Q14" s="666" t="s">
        <v>2416</v>
      </c>
      <c r="R14" s="666" t="s">
        <v>2417</v>
      </c>
    </row>
    <row r="15" spans="1:27" ht="12.75" customHeight="1" x14ac:dyDescent="0.2">
      <c r="A15" s="1106" t="str">
        <f t="shared" si="0"/>
        <v/>
      </c>
      <c r="C15" s="666" t="s">
        <v>2413</v>
      </c>
      <c r="D15" s="1996">
        <v>46261.625</v>
      </c>
      <c r="E15" s="1996">
        <v>46261.625</v>
      </c>
    </row>
    <row r="16" spans="1:27" x14ac:dyDescent="0.2">
      <c r="A16" s="1106" t="str">
        <f t="shared" si="0"/>
        <v>Monocalcium Phosphate (China)B846256</v>
      </c>
      <c r="B16" s="1997">
        <v>46261</v>
      </c>
      <c r="C16" s="1998">
        <v>8000095437</v>
      </c>
      <c r="D16" s="1998">
        <v>5</v>
      </c>
      <c r="E16" s="666" t="s">
        <v>1585</v>
      </c>
      <c r="H16" s="1999">
        <v>46256</v>
      </c>
      <c r="I16" s="717">
        <v>0</v>
      </c>
      <c r="K16" s="666" t="s">
        <v>2414</v>
      </c>
      <c r="L16" s="666" t="s">
        <v>2121</v>
      </c>
      <c r="M16" s="666" t="s">
        <v>2415</v>
      </c>
      <c r="N16" s="717">
        <v>1000</v>
      </c>
      <c r="O16" s="715">
        <v>10</v>
      </c>
      <c r="P16" s="717">
        <v>10000</v>
      </c>
      <c r="Q16" s="666" t="s">
        <v>2416</v>
      </c>
      <c r="R16" s="666" t="s">
        <v>2417</v>
      </c>
    </row>
    <row r="17" spans="1:18" ht="12.75" customHeight="1" x14ac:dyDescent="0.2">
      <c r="A17" s="1106" t="str">
        <f t="shared" si="0"/>
        <v/>
      </c>
      <c r="B17" s="666" t="s">
        <v>2422</v>
      </c>
      <c r="C17" s="666" t="s">
        <v>2413</v>
      </c>
      <c r="D17" s="1996">
        <v>46261.625694444447</v>
      </c>
      <c r="E17" s="1996">
        <v>46261.625694444447</v>
      </c>
    </row>
    <row r="18" spans="1:18" ht="12.75" customHeight="1" x14ac:dyDescent="0.2">
      <c r="A18" s="1106" t="str">
        <f t="shared" si="0"/>
        <v>SaltB12.246255</v>
      </c>
      <c r="B18" s="1997">
        <v>46261</v>
      </c>
      <c r="C18" s="1998">
        <v>8000095437</v>
      </c>
      <c r="D18" s="1998">
        <v>6</v>
      </c>
      <c r="E18" s="666" t="s">
        <v>1586</v>
      </c>
      <c r="H18" s="1999">
        <v>46255</v>
      </c>
      <c r="I18" s="717">
        <v>0</v>
      </c>
      <c r="J18" s="666" t="s">
        <v>2423</v>
      </c>
      <c r="K18" s="666" t="s">
        <v>2414</v>
      </c>
      <c r="L18" s="666" t="s">
        <v>2122</v>
      </c>
      <c r="M18" s="666" t="s">
        <v>2415</v>
      </c>
      <c r="N18" s="717">
        <v>52.620000000000005</v>
      </c>
      <c r="O18" s="715">
        <v>120</v>
      </c>
      <c r="P18" s="717">
        <v>6314.4000000000005</v>
      </c>
      <c r="Q18" s="666" t="s">
        <v>2416</v>
      </c>
      <c r="R18" s="666" t="s">
        <v>2417</v>
      </c>
    </row>
    <row r="19" spans="1:18" x14ac:dyDescent="0.2">
      <c r="A19" s="1106" t="str">
        <f t="shared" si="0"/>
        <v/>
      </c>
      <c r="C19" s="666" t="s">
        <v>2413</v>
      </c>
      <c r="D19" s="1996">
        <v>46261.625694444447</v>
      </c>
      <c r="E19" s="1996">
        <v>46261.625694444447</v>
      </c>
    </row>
    <row r="20" spans="1:18" ht="12.75" customHeight="1" x14ac:dyDescent="0.2">
      <c r="A20" s="1106" t="str">
        <f t="shared" si="0"/>
        <v>Provisoy (VN)A22.446231</v>
      </c>
      <c r="B20" s="1997">
        <v>46261</v>
      </c>
      <c r="C20" s="1998">
        <v>8000095437</v>
      </c>
      <c r="D20" s="1998">
        <v>7</v>
      </c>
      <c r="E20" s="666" t="s">
        <v>1234</v>
      </c>
      <c r="H20" s="1999">
        <v>46231</v>
      </c>
      <c r="I20" s="717">
        <v>0</v>
      </c>
      <c r="K20" s="666" t="s">
        <v>2414</v>
      </c>
      <c r="L20" s="666" t="s">
        <v>284</v>
      </c>
      <c r="M20" s="666" t="s">
        <v>2415</v>
      </c>
      <c r="N20" s="717">
        <v>25</v>
      </c>
      <c r="O20" s="715">
        <v>600</v>
      </c>
      <c r="P20" s="717">
        <v>15000</v>
      </c>
      <c r="Q20" s="666" t="s">
        <v>2416</v>
      </c>
      <c r="R20" s="666" t="s">
        <v>2417</v>
      </c>
    </row>
    <row r="21" spans="1:18" ht="12.75" customHeight="1" x14ac:dyDescent="0.2">
      <c r="A21" s="1106" t="str">
        <f t="shared" si="0"/>
        <v/>
      </c>
      <c r="C21" s="666" t="s">
        <v>2413</v>
      </c>
      <c r="D21" s="1996">
        <v>46261.626388888886</v>
      </c>
      <c r="E21" s="1996">
        <v>46261.626388888886</v>
      </c>
    </row>
    <row r="22" spans="1:18" x14ac:dyDescent="0.2">
      <c r="A22" s="1106" t="str">
        <f t="shared" si="0"/>
        <v>Deproteinized WheyB15.146207</v>
      </c>
      <c r="B22" s="1997">
        <v>46261</v>
      </c>
      <c r="C22" s="1998">
        <v>8000095437</v>
      </c>
      <c r="D22" s="1998">
        <v>9</v>
      </c>
      <c r="E22" s="666" t="s">
        <v>39</v>
      </c>
      <c r="H22" s="1999">
        <v>46207</v>
      </c>
      <c r="I22" s="717">
        <v>0</v>
      </c>
      <c r="K22" s="666" t="s">
        <v>2414</v>
      </c>
      <c r="L22" s="666" t="s">
        <v>151</v>
      </c>
      <c r="M22" s="666" t="s">
        <v>2415</v>
      </c>
      <c r="N22" s="717">
        <v>25</v>
      </c>
      <c r="O22" s="715">
        <v>200</v>
      </c>
      <c r="P22" s="717">
        <v>5000</v>
      </c>
      <c r="Q22" s="666" t="s">
        <v>2416</v>
      </c>
      <c r="R22" s="666" t="s">
        <v>2417</v>
      </c>
    </row>
    <row r="23" spans="1:18" ht="12.75" customHeight="1" x14ac:dyDescent="0.2">
      <c r="A23" s="1106" t="str">
        <f t="shared" si="0"/>
        <v/>
      </c>
      <c r="C23" s="666" t="s">
        <v>2413</v>
      </c>
      <c r="D23" s="1996">
        <v>46261.626388888886</v>
      </c>
      <c r="E23" s="1996">
        <v>46261.626388888886</v>
      </c>
    </row>
    <row r="24" spans="1:18" ht="12.75" customHeight="1" x14ac:dyDescent="0.2">
      <c r="A24" s="1106" t="str">
        <f t="shared" si="0"/>
        <v>Deproteinized WheyA22.346226</v>
      </c>
      <c r="B24" s="1997">
        <v>46261</v>
      </c>
      <c r="C24" s="1998">
        <v>8000095437</v>
      </c>
      <c r="D24" s="1998">
        <v>10</v>
      </c>
      <c r="E24" s="666" t="s">
        <v>39</v>
      </c>
      <c r="H24" s="1999">
        <v>46226</v>
      </c>
      <c r="I24" s="717">
        <v>0</v>
      </c>
      <c r="K24" s="666" t="s">
        <v>2414</v>
      </c>
      <c r="L24" s="666" t="s">
        <v>1778</v>
      </c>
      <c r="M24" s="666" t="s">
        <v>2415</v>
      </c>
      <c r="N24" s="717">
        <v>25</v>
      </c>
      <c r="O24" s="715">
        <v>300</v>
      </c>
      <c r="P24" s="717">
        <v>7500</v>
      </c>
      <c r="Q24" s="666" t="s">
        <v>2416</v>
      </c>
      <c r="R24" s="666" t="s">
        <v>2417</v>
      </c>
    </row>
    <row r="25" spans="1:18" x14ac:dyDescent="0.2">
      <c r="A25" s="1106" t="str">
        <f t="shared" si="0"/>
        <v/>
      </c>
      <c r="C25" s="666" t="s">
        <v>2413</v>
      </c>
      <c r="D25" s="1996">
        <v>46261.488194444442</v>
      </c>
      <c r="E25" s="1996">
        <v>46261.488194444442</v>
      </c>
    </row>
    <row r="26" spans="1:18" ht="12.75" customHeight="1" x14ac:dyDescent="0.2">
      <c r="A26" s="1106" t="str">
        <f t="shared" si="0"/>
        <v>Sweet Whey Powder (Italy)C346246</v>
      </c>
      <c r="B26" s="1997">
        <v>46261</v>
      </c>
      <c r="C26" s="1998">
        <v>8000095435</v>
      </c>
      <c r="D26" s="1998">
        <v>1</v>
      </c>
      <c r="E26" s="666" t="s">
        <v>1589</v>
      </c>
      <c r="H26" s="1999">
        <v>46246</v>
      </c>
      <c r="I26" s="717">
        <v>0</v>
      </c>
      <c r="K26" s="666" t="s">
        <v>2414</v>
      </c>
      <c r="L26" s="666" t="s">
        <v>2183</v>
      </c>
      <c r="M26" s="666" t="s">
        <v>2415</v>
      </c>
      <c r="N26" s="717">
        <v>25</v>
      </c>
      <c r="O26" s="715">
        <v>400</v>
      </c>
      <c r="P26" s="717">
        <v>10000</v>
      </c>
      <c r="Q26" s="666" t="s">
        <v>2416</v>
      </c>
      <c r="R26" s="666" t="s">
        <v>2417</v>
      </c>
    </row>
    <row r="27" spans="1:18" ht="12.75" customHeight="1" x14ac:dyDescent="0.2">
      <c r="A27" s="1106" t="str">
        <f t="shared" si="0"/>
        <v/>
      </c>
      <c r="C27" s="666" t="s">
        <v>2413</v>
      </c>
      <c r="D27" s="1996">
        <v>46261.625694444447</v>
      </c>
      <c r="E27" s="1996">
        <v>46261.625694444447</v>
      </c>
    </row>
    <row r="28" spans="1:18" x14ac:dyDescent="0.2">
      <c r="A28" s="1106" t="str">
        <f t="shared" si="0"/>
        <v>Sweet Whey Powder (USA)C946225</v>
      </c>
      <c r="B28" s="1997">
        <v>46261</v>
      </c>
      <c r="C28" s="1998">
        <v>8000095437</v>
      </c>
      <c r="D28" s="1998">
        <v>8</v>
      </c>
      <c r="E28" s="666" t="s">
        <v>2126</v>
      </c>
      <c r="H28" s="1999">
        <v>46225</v>
      </c>
      <c r="I28" s="717">
        <v>0</v>
      </c>
      <c r="K28" s="666" t="s">
        <v>2414</v>
      </c>
      <c r="L28" s="666" t="s">
        <v>2111</v>
      </c>
      <c r="M28" s="666" t="s">
        <v>2415</v>
      </c>
      <c r="N28" s="717">
        <v>25</v>
      </c>
      <c r="O28" s="715">
        <v>90</v>
      </c>
      <c r="P28" s="717">
        <v>2250</v>
      </c>
      <c r="Q28" s="666" t="s">
        <v>2416</v>
      </c>
      <c r="R28" s="666" t="s">
        <v>2417</v>
      </c>
    </row>
    <row r="29" spans="1:18" ht="12.75" customHeight="1" x14ac:dyDescent="0.2">
      <c r="A29" s="1106" t="str">
        <f t="shared" si="0"/>
        <v/>
      </c>
      <c r="B29" s="666" t="s">
        <v>2424</v>
      </c>
      <c r="C29" s="666" t="s">
        <v>2413</v>
      </c>
      <c r="D29" s="1996">
        <v>46261.627083333333</v>
      </c>
      <c r="E29" s="1996">
        <v>46261.627083333333</v>
      </c>
    </row>
    <row r="30" spans="1:18" ht="12.75" customHeight="1" x14ac:dyDescent="0.2">
      <c r="A30" s="1106" t="str">
        <f t="shared" si="0"/>
        <v>Pork Meat Bone Meal (USA)B23.246259</v>
      </c>
      <c r="B30" s="1997">
        <v>46261</v>
      </c>
      <c r="C30" s="1998">
        <v>8000095437</v>
      </c>
      <c r="D30" s="1998">
        <v>11</v>
      </c>
      <c r="E30" s="666" t="s">
        <v>1590</v>
      </c>
      <c r="H30" s="1999">
        <v>46259</v>
      </c>
      <c r="I30" s="717">
        <v>49.84</v>
      </c>
      <c r="J30" s="666" t="s">
        <v>2425</v>
      </c>
      <c r="K30" s="666" t="s">
        <v>2414</v>
      </c>
      <c r="L30" s="666" t="s">
        <v>83</v>
      </c>
      <c r="M30" s="666" t="s">
        <v>2415</v>
      </c>
      <c r="N30" s="717">
        <v>1620</v>
      </c>
      <c r="O30" s="715">
        <v>5</v>
      </c>
      <c r="P30" s="717">
        <v>8100</v>
      </c>
      <c r="Q30" s="666" t="s">
        <v>2416</v>
      </c>
      <c r="R30" s="666" t="s">
        <v>2417</v>
      </c>
    </row>
    <row r="31" spans="1:18" x14ac:dyDescent="0.2">
      <c r="A31" s="1106" t="str">
        <f t="shared" si="0"/>
        <v/>
      </c>
      <c r="C31" s="666" t="s">
        <v>2413</v>
      </c>
      <c r="D31" s="1996">
        <v>46261.486805555556</v>
      </c>
      <c r="E31" s="1996">
        <v>46261.486805555556</v>
      </c>
    </row>
    <row r="32" spans="1:18" ht="12.75" customHeight="1" x14ac:dyDescent="0.2">
      <c r="A32" s="1106" t="str">
        <f t="shared" si="0"/>
        <v>Premix AmnilX2.246247</v>
      </c>
      <c r="B32" s="1997">
        <v>46261</v>
      </c>
      <c r="C32" s="1998">
        <v>8000095434</v>
      </c>
      <c r="D32" s="1998">
        <v>1</v>
      </c>
      <c r="E32" s="666" t="s">
        <v>1676</v>
      </c>
      <c r="H32" s="1999">
        <v>46247</v>
      </c>
      <c r="I32" s="717">
        <v>0</v>
      </c>
      <c r="K32" s="666" t="s">
        <v>2414</v>
      </c>
      <c r="L32" s="666" t="s">
        <v>1874</v>
      </c>
      <c r="M32" s="666" t="s">
        <v>2415</v>
      </c>
      <c r="N32" s="717">
        <v>30</v>
      </c>
      <c r="O32" s="715">
        <v>35</v>
      </c>
      <c r="P32" s="717">
        <v>1050</v>
      </c>
      <c r="Q32" s="666" t="s">
        <v>2416</v>
      </c>
      <c r="R32" s="666" t="s">
        <v>2417</v>
      </c>
    </row>
    <row r="33" spans="1:20" ht="12.75" customHeight="1" x14ac:dyDescent="0.2">
      <c r="A33" s="1106" t="str">
        <f t="shared" si="0"/>
        <v/>
      </c>
      <c r="C33" s="666" t="s">
        <v>2413</v>
      </c>
      <c r="D33" s="1996">
        <v>46261.487500000003</v>
      </c>
      <c r="E33" s="1996">
        <v>46261.487500000003</v>
      </c>
    </row>
    <row r="34" spans="1:20" x14ac:dyDescent="0.2">
      <c r="A34" s="1106" t="str">
        <f t="shared" si="0"/>
        <v>Premix 582X7.146247</v>
      </c>
      <c r="B34" s="1997">
        <v>46261</v>
      </c>
      <c r="C34" s="1998">
        <v>8000095434</v>
      </c>
      <c r="D34" s="1998">
        <v>2</v>
      </c>
      <c r="E34" s="666" t="s">
        <v>637</v>
      </c>
      <c r="H34" s="1999">
        <v>46247</v>
      </c>
      <c r="I34" s="717">
        <v>0</v>
      </c>
      <c r="K34" s="666" t="s">
        <v>2414</v>
      </c>
      <c r="L34" s="666" t="s">
        <v>1744</v>
      </c>
      <c r="M34" s="666" t="s">
        <v>2415</v>
      </c>
      <c r="N34" s="717">
        <v>30</v>
      </c>
      <c r="O34" s="715">
        <v>3</v>
      </c>
      <c r="P34" s="717">
        <v>90</v>
      </c>
      <c r="Q34" s="666" t="s">
        <v>2416</v>
      </c>
      <c r="R34" s="666" t="s">
        <v>2417</v>
      </c>
    </row>
    <row r="35" spans="1:20" ht="12.75" customHeight="1" x14ac:dyDescent="0.2">
      <c r="A35" s="1106" t="str">
        <f t="shared" si="0"/>
        <v/>
      </c>
      <c r="C35" s="666" t="s">
        <v>2413</v>
      </c>
      <c r="D35" s="1996">
        <v>46261.487500000003</v>
      </c>
      <c r="E35" s="1996">
        <v>46261.487500000003</v>
      </c>
    </row>
    <row r="36" spans="1:20" ht="12.75" customHeight="1" x14ac:dyDescent="0.2">
      <c r="A36" s="1106" t="str">
        <f t="shared" si="0"/>
        <v>Premix MC-0697BY7.146241</v>
      </c>
      <c r="B36" s="1997">
        <v>46261</v>
      </c>
      <c r="C36" s="1998">
        <v>8000095434</v>
      </c>
      <c r="D36" s="1998">
        <v>3</v>
      </c>
      <c r="E36" s="666" t="s">
        <v>639</v>
      </c>
      <c r="H36" s="1999">
        <v>46241</v>
      </c>
      <c r="I36" s="717">
        <v>0</v>
      </c>
      <c r="K36" s="666" t="s">
        <v>2414</v>
      </c>
      <c r="L36" s="666" t="s">
        <v>146</v>
      </c>
      <c r="M36" s="666" t="s">
        <v>2415</v>
      </c>
      <c r="N36" s="717">
        <v>30</v>
      </c>
      <c r="O36" s="715">
        <v>4</v>
      </c>
      <c r="P36" s="717">
        <v>120</v>
      </c>
      <c r="Q36" s="666" t="s">
        <v>2416</v>
      </c>
      <c r="R36" s="666" t="s">
        <v>2417</v>
      </c>
    </row>
    <row r="37" spans="1:20" x14ac:dyDescent="0.2">
      <c r="A37" s="1106" t="str">
        <f t="shared" si="0"/>
        <v/>
      </c>
      <c r="C37" s="666" t="s">
        <v>2413</v>
      </c>
      <c r="D37" s="1996">
        <v>46261.487500000003</v>
      </c>
      <c r="E37" s="1996">
        <v>46261.487500000003</v>
      </c>
    </row>
    <row r="38" spans="1:20" ht="12.75" customHeight="1" x14ac:dyDescent="0.2">
      <c r="A38" s="1106" t="str">
        <f t="shared" si="0"/>
        <v>Premix 51VX6.346247</v>
      </c>
      <c r="B38" s="1997">
        <v>46261</v>
      </c>
      <c r="C38" s="1998">
        <v>8000095434</v>
      </c>
      <c r="D38" s="1998">
        <v>4</v>
      </c>
      <c r="E38" s="666" t="s">
        <v>644</v>
      </c>
      <c r="H38" s="1999">
        <v>46247</v>
      </c>
      <c r="I38" s="717">
        <v>0</v>
      </c>
      <c r="K38" s="666" t="s">
        <v>2414</v>
      </c>
      <c r="L38" s="666" t="s">
        <v>2201</v>
      </c>
      <c r="M38" s="666" t="s">
        <v>2415</v>
      </c>
      <c r="N38" s="717">
        <v>30</v>
      </c>
      <c r="O38" s="715">
        <v>35</v>
      </c>
      <c r="P38" s="717">
        <v>1050</v>
      </c>
      <c r="Q38" s="666" t="s">
        <v>2416</v>
      </c>
      <c r="R38" s="666" t="s">
        <v>2417</v>
      </c>
    </row>
    <row r="39" spans="1:20" ht="12.75" customHeight="1" x14ac:dyDescent="0.2">
      <c r="A39" s="1106" t="str">
        <f t="shared" si="0"/>
        <v/>
      </c>
      <c r="C39" s="666" t="s">
        <v>2413</v>
      </c>
      <c r="D39" s="1996">
        <v>46261.487500000003</v>
      </c>
      <c r="E39" s="1996">
        <v>46261.487500000003</v>
      </c>
    </row>
    <row r="40" spans="1:20" x14ac:dyDescent="0.2">
      <c r="A40" s="1106" t="str">
        <f t="shared" si="0"/>
        <v>Premix 66VX1.146247</v>
      </c>
      <c r="B40" s="1997">
        <v>46261</v>
      </c>
      <c r="C40" s="1998">
        <v>8000095434</v>
      </c>
      <c r="D40" s="1998">
        <v>5</v>
      </c>
      <c r="E40" s="666" t="s">
        <v>649</v>
      </c>
      <c r="H40" s="1999">
        <v>46247</v>
      </c>
      <c r="I40" s="717">
        <v>0</v>
      </c>
      <c r="K40" s="666" t="s">
        <v>2414</v>
      </c>
      <c r="L40" s="666" t="s">
        <v>243</v>
      </c>
      <c r="M40" s="666" t="s">
        <v>2415</v>
      </c>
      <c r="N40" s="717">
        <v>30</v>
      </c>
      <c r="O40" s="715">
        <v>4</v>
      </c>
      <c r="P40" s="717">
        <v>120</v>
      </c>
      <c r="Q40" s="666" t="s">
        <v>2416</v>
      </c>
      <c r="R40" s="666" t="s">
        <v>2417</v>
      </c>
    </row>
    <row r="41" spans="1:20" ht="12.75" customHeight="1" x14ac:dyDescent="0.2">
      <c r="A41" s="1106" t="str">
        <f t="shared" si="0"/>
        <v/>
      </c>
      <c r="C41" s="666" t="s">
        <v>2413</v>
      </c>
      <c r="D41" s="1996">
        <v>46261.627083333333</v>
      </c>
      <c r="E41" s="1996">
        <v>46261.627083333333</v>
      </c>
    </row>
    <row r="42" spans="1:20" ht="12.75" customHeight="1" x14ac:dyDescent="0.2">
      <c r="A42" s="1106" t="str">
        <f t="shared" si="0"/>
        <v>AMINOPLUS# (USA)B21.146224</v>
      </c>
      <c r="B42" s="1997">
        <v>46261</v>
      </c>
      <c r="C42" s="1998">
        <v>8000095438</v>
      </c>
      <c r="D42" s="1998">
        <v>1</v>
      </c>
      <c r="E42" s="666" t="s">
        <v>1795</v>
      </c>
      <c r="H42" s="1999">
        <v>46224</v>
      </c>
      <c r="I42" s="717">
        <v>0</v>
      </c>
      <c r="K42" s="666" t="s">
        <v>2414</v>
      </c>
      <c r="L42" s="666" t="s">
        <v>1748</v>
      </c>
      <c r="M42" s="666" t="s">
        <v>2415</v>
      </c>
      <c r="N42" s="717">
        <v>39.779553571428572</v>
      </c>
      <c r="O42" s="715">
        <v>112</v>
      </c>
      <c r="P42" s="717">
        <v>4455.3100000000004</v>
      </c>
      <c r="Q42" s="666" t="s">
        <v>2416</v>
      </c>
      <c r="R42" s="666" t="s">
        <v>2417</v>
      </c>
    </row>
    <row r="43" spans="1:20" ht="13.5" customHeight="1" x14ac:dyDescent="0.2">
      <c r="A43" s="1106" t="str">
        <f t="shared" si="0"/>
        <v/>
      </c>
      <c r="C43" s="666" t="s">
        <v>2413</v>
      </c>
      <c r="D43" s="1996">
        <v>46261.490277777775</v>
      </c>
      <c r="E43" s="1996">
        <v>46261.490277777775</v>
      </c>
    </row>
    <row r="44" spans="1:20" ht="12.75" customHeight="1" x14ac:dyDescent="0.2">
      <c r="A44" s="1106" t="str">
        <f t="shared" si="0"/>
        <v>DH VITAMIN PREMIX (ViÖt Nam)Y3.146218</v>
      </c>
      <c r="B44" s="1997">
        <v>46261</v>
      </c>
      <c r="C44" s="1998">
        <v>8000095436</v>
      </c>
      <c r="D44" s="1998">
        <v>14</v>
      </c>
      <c r="E44" s="666" t="s">
        <v>1638</v>
      </c>
      <c r="H44" s="1999">
        <v>46218</v>
      </c>
      <c r="I44" s="717">
        <v>0</v>
      </c>
      <c r="K44" s="666" t="s">
        <v>2414</v>
      </c>
      <c r="L44" s="666" t="s">
        <v>250</v>
      </c>
      <c r="M44" s="666" t="s">
        <v>2415</v>
      </c>
      <c r="N44" s="717">
        <v>25</v>
      </c>
      <c r="O44" s="715">
        <v>3</v>
      </c>
      <c r="P44" s="717">
        <v>75</v>
      </c>
      <c r="Q44" s="666" t="s">
        <v>2416</v>
      </c>
      <c r="R44" s="666" t="s">
        <v>2417</v>
      </c>
    </row>
    <row r="45" spans="1:20" ht="12.75" customHeight="1" x14ac:dyDescent="0.2">
      <c r="A45" s="1106" t="str">
        <f t="shared" si="0"/>
        <v/>
      </c>
      <c r="C45" s="666" t="s">
        <v>2413</v>
      </c>
      <c r="D45" s="1996">
        <v>46261.489583333336</v>
      </c>
      <c r="E45" s="1996">
        <v>46261.489583333336</v>
      </c>
      <c r="S45" s="1201"/>
      <c r="T45" s="1201"/>
    </row>
    <row r="46" spans="1:20" x14ac:dyDescent="0.2">
      <c r="A46" s="1106" t="str">
        <f t="shared" si="0"/>
        <v>Allplex B (Local)V7.246220</v>
      </c>
      <c r="B46" s="1997">
        <v>46261</v>
      </c>
      <c r="C46" s="1998">
        <v>8000095436</v>
      </c>
      <c r="D46" s="1998">
        <v>10</v>
      </c>
      <c r="E46" s="666" t="s">
        <v>1208</v>
      </c>
      <c r="H46" s="1999">
        <v>46220</v>
      </c>
      <c r="I46" s="717">
        <v>0</v>
      </c>
      <c r="K46" s="666" t="s">
        <v>2414</v>
      </c>
      <c r="L46" s="666" t="s">
        <v>194</v>
      </c>
      <c r="M46" s="666" t="s">
        <v>2415</v>
      </c>
      <c r="N46" s="717">
        <v>25</v>
      </c>
      <c r="O46" s="715">
        <v>2</v>
      </c>
      <c r="P46" s="717">
        <v>50</v>
      </c>
      <c r="Q46" s="666" t="s">
        <v>2416</v>
      </c>
      <c r="R46" s="666" t="s">
        <v>2417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2413</v>
      </c>
      <c r="D47" s="1996">
        <v>46261.489583333336</v>
      </c>
      <c r="E47" s="1996">
        <v>46261.489583333336</v>
      </c>
      <c r="S47" s="1201"/>
      <c r="T47" s="1201"/>
    </row>
    <row r="48" spans="1:20" ht="12.75" customHeight="1" x14ac:dyDescent="0.2">
      <c r="A48" s="1106" t="str">
        <f t="shared" si="0"/>
        <v>Availa-ZN 120A19.646225</v>
      </c>
      <c r="B48" s="1997">
        <v>46261</v>
      </c>
      <c r="C48" s="1998">
        <v>8000095436</v>
      </c>
      <c r="D48" s="1998">
        <v>11</v>
      </c>
      <c r="E48" s="666" t="s">
        <v>839</v>
      </c>
      <c r="H48" s="1999">
        <v>46225</v>
      </c>
      <c r="I48" s="717">
        <v>0</v>
      </c>
      <c r="K48" s="666" t="s">
        <v>2414</v>
      </c>
      <c r="L48" s="666" t="s">
        <v>287</v>
      </c>
      <c r="M48" s="666" t="s">
        <v>2415</v>
      </c>
      <c r="N48" s="717">
        <v>25</v>
      </c>
      <c r="O48" s="715">
        <v>7</v>
      </c>
      <c r="P48" s="717">
        <v>175</v>
      </c>
      <c r="Q48" s="666" t="s">
        <v>2416</v>
      </c>
      <c r="R48" s="666" t="s">
        <v>2417</v>
      </c>
    </row>
    <row r="49" spans="1:18" x14ac:dyDescent="0.2">
      <c r="A49" s="1106" t="str">
        <f t="shared" si="0"/>
        <v/>
      </c>
      <c r="C49" s="666" t="s">
        <v>2413</v>
      </c>
      <c r="D49" s="1996">
        <v>46261.490277777775</v>
      </c>
      <c r="E49" s="1996">
        <v>46261.490277777775</v>
      </c>
    </row>
    <row r="50" spans="1:18" ht="12.75" customHeight="1" x14ac:dyDescent="0.2">
      <c r="A50" s="1106" t="str">
        <f t="shared" si="0"/>
        <v>Diamond V Original XPC Ultra (USA)Y2.146151</v>
      </c>
      <c r="B50" s="1997">
        <v>46261</v>
      </c>
      <c r="C50" s="1998">
        <v>8000095436</v>
      </c>
      <c r="D50" s="1998">
        <v>15</v>
      </c>
      <c r="E50" s="666" t="s">
        <v>1739</v>
      </c>
      <c r="H50" s="1999">
        <v>46151</v>
      </c>
      <c r="I50" s="717">
        <v>0</v>
      </c>
      <c r="K50" s="666" t="s">
        <v>2414</v>
      </c>
      <c r="L50" s="666" t="s">
        <v>1689</v>
      </c>
      <c r="M50" s="666" t="s">
        <v>2415</v>
      </c>
      <c r="N50" s="717">
        <v>25</v>
      </c>
      <c r="O50" s="715">
        <v>1</v>
      </c>
      <c r="P50" s="717">
        <v>25</v>
      </c>
      <c r="Q50" s="666" t="s">
        <v>2416</v>
      </c>
      <c r="R50" s="666" t="s">
        <v>2417</v>
      </c>
    </row>
    <row r="51" spans="1:18" ht="12.75" customHeight="1" x14ac:dyDescent="0.2">
      <c r="A51" s="1106" t="str">
        <f t="shared" si="0"/>
        <v/>
      </c>
      <c r="C51" s="666" t="s">
        <v>2413</v>
      </c>
      <c r="D51" s="1996">
        <v>46261.62777777778</v>
      </c>
      <c r="E51" s="1996">
        <v>46261.62777777778</v>
      </c>
    </row>
    <row r="52" spans="1:18" x14ac:dyDescent="0.2">
      <c r="A52" s="1106" t="str">
        <f t="shared" si="0"/>
        <v>DL-Methionine (Singapore)B13.146112</v>
      </c>
      <c r="B52" s="1997">
        <v>46261</v>
      </c>
      <c r="C52" s="1998">
        <v>8000095438</v>
      </c>
      <c r="D52" s="1998">
        <v>3</v>
      </c>
      <c r="E52" s="666" t="s">
        <v>652</v>
      </c>
      <c r="H52" s="1999">
        <v>46112</v>
      </c>
      <c r="I52" s="717">
        <v>0</v>
      </c>
      <c r="K52" s="666" t="s">
        <v>2414</v>
      </c>
      <c r="L52" s="666" t="s">
        <v>2138</v>
      </c>
      <c r="M52" s="666" t="s">
        <v>2415</v>
      </c>
      <c r="N52" s="717">
        <v>1000</v>
      </c>
      <c r="O52" s="715">
        <v>3</v>
      </c>
      <c r="P52" s="717">
        <v>3000</v>
      </c>
      <c r="Q52" s="666" t="s">
        <v>2416</v>
      </c>
      <c r="R52" s="666" t="s">
        <v>2417</v>
      </c>
    </row>
    <row r="53" spans="1:18" ht="12.75" customHeight="1" x14ac:dyDescent="0.2">
      <c r="A53" s="1106" t="str">
        <f t="shared" si="0"/>
        <v/>
      </c>
      <c r="C53" s="666" t="s">
        <v>2413</v>
      </c>
      <c r="D53" s="1996">
        <v>46261.491666666669</v>
      </c>
      <c r="E53" s="1996">
        <v>46261.491666666669</v>
      </c>
    </row>
    <row r="54" spans="1:18" ht="12.75" customHeight="1" x14ac:dyDescent="0.2">
      <c r="A54" s="1106" t="str">
        <f t="shared" si="0"/>
        <v>L-TryptophanV4.246241</v>
      </c>
      <c r="B54" s="1997">
        <v>46261</v>
      </c>
      <c r="C54" s="1998">
        <v>8000095436</v>
      </c>
      <c r="D54" s="1998">
        <v>23</v>
      </c>
      <c r="E54" s="666" t="s">
        <v>655</v>
      </c>
      <c r="H54" s="1999">
        <v>46241</v>
      </c>
      <c r="I54" s="717">
        <v>0</v>
      </c>
      <c r="K54" s="666" t="s">
        <v>2414</v>
      </c>
      <c r="L54" s="666" t="s">
        <v>2149</v>
      </c>
      <c r="M54" s="666" t="s">
        <v>2415</v>
      </c>
      <c r="N54" s="717">
        <v>20</v>
      </c>
      <c r="O54" s="715">
        <v>22</v>
      </c>
      <c r="P54" s="717">
        <v>440</v>
      </c>
      <c r="Q54" s="666" t="s">
        <v>2416</v>
      </c>
      <c r="R54" s="666" t="s">
        <v>2417</v>
      </c>
    </row>
    <row r="55" spans="1:18" x14ac:dyDescent="0.2">
      <c r="A55" s="1106" t="str">
        <f t="shared" si="0"/>
        <v/>
      </c>
      <c r="C55" s="666" t="s">
        <v>2413</v>
      </c>
      <c r="D55" s="1996">
        <v>46261.493055555555</v>
      </c>
      <c r="E55" s="1996">
        <v>46261.493055555555</v>
      </c>
    </row>
    <row r="56" spans="1:18" ht="12.75" customHeight="1" x14ac:dyDescent="0.2">
      <c r="A56" s="1106" t="str">
        <f t="shared" si="0"/>
        <v>SUCRAM 5S HYDRO (SWITZERLAND)V7.146233</v>
      </c>
      <c r="B56" s="1997">
        <v>46261</v>
      </c>
      <c r="C56" s="1998">
        <v>8000095436</v>
      </c>
      <c r="D56" s="1998">
        <v>31</v>
      </c>
      <c r="E56" s="666" t="s">
        <v>1721</v>
      </c>
      <c r="H56" s="1999">
        <v>46233</v>
      </c>
      <c r="I56" s="717">
        <v>0</v>
      </c>
      <c r="K56" s="666" t="s">
        <v>2414</v>
      </c>
      <c r="L56" s="666" t="s">
        <v>1310</v>
      </c>
      <c r="M56" s="666" t="s">
        <v>2415</v>
      </c>
      <c r="N56" s="717">
        <v>25</v>
      </c>
      <c r="O56" s="715">
        <v>2</v>
      </c>
      <c r="P56" s="717">
        <v>50</v>
      </c>
      <c r="Q56" s="666" t="s">
        <v>2416</v>
      </c>
      <c r="R56" s="666" t="s">
        <v>2417</v>
      </c>
    </row>
    <row r="57" spans="1:18" ht="12.75" customHeight="1" x14ac:dyDescent="0.2">
      <c r="A57" s="1106" t="str">
        <f t="shared" si="0"/>
        <v/>
      </c>
      <c r="C57" s="666" t="s">
        <v>2413</v>
      </c>
      <c r="D57" s="1996">
        <v>46261.489583333336</v>
      </c>
      <c r="E57" s="1996">
        <v>46261.489583333336</v>
      </c>
    </row>
    <row r="58" spans="1:18" x14ac:dyDescent="0.2">
      <c r="A58" s="1106" t="str">
        <f t="shared" si="0"/>
        <v>Axtra# PRIME 501 T (Singapore)Y3.246225</v>
      </c>
      <c r="B58" s="1997">
        <v>46261</v>
      </c>
      <c r="C58" s="1998">
        <v>8000095436</v>
      </c>
      <c r="D58" s="1998">
        <v>12</v>
      </c>
      <c r="E58" s="666" t="s">
        <v>1807</v>
      </c>
      <c r="H58" s="1999">
        <v>46225</v>
      </c>
      <c r="I58" s="717">
        <v>0</v>
      </c>
      <c r="K58" s="666" t="s">
        <v>2414</v>
      </c>
      <c r="L58" s="666" t="s">
        <v>1792</v>
      </c>
      <c r="M58" s="666" t="s">
        <v>2415</v>
      </c>
      <c r="N58" s="717">
        <v>25</v>
      </c>
      <c r="O58" s="715">
        <v>6</v>
      </c>
      <c r="P58" s="717">
        <v>150</v>
      </c>
      <c r="Q58" s="666" t="s">
        <v>2416</v>
      </c>
      <c r="R58" s="666" t="s">
        <v>2417</v>
      </c>
    </row>
    <row r="59" spans="1:18" ht="12.6" customHeight="1" x14ac:dyDescent="0.2">
      <c r="A59" s="1106" t="str">
        <f t="shared" si="0"/>
        <v/>
      </c>
      <c r="C59" s="666" t="s">
        <v>2413</v>
      </c>
      <c r="D59" s="1996">
        <v>46261.490277777775</v>
      </c>
      <c r="E59" s="1996">
        <v>46261.490277777775</v>
      </c>
    </row>
    <row r="60" spans="1:18" ht="12.6" customHeight="1" x14ac:dyDescent="0.2">
      <c r="A60" s="1106" t="str">
        <f t="shared" si="0"/>
        <v>Axtra# PRIME 501 T (Singapore)Y3.246233</v>
      </c>
      <c r="B60" s="1997">
        <v>46261</v>
      </c>
      <c r="C60" s="1998">
        <v>8000095436</v>
      </c>
      <c r="D60" s="1998">
        <v>13</v>
      </c>
      <c r="E60" s="666" t="s">
        <v>1807</v>
      </c>
      <c r="H60" s="1999">
        <v>46233</v>
      </c>
      <c r="I60" s="717">
        <v>0</v>
      </c>
      <c r="K60" s="666" t="s">
        <v>2414</v>
      </c>
      <c r="L60" s="666" t="s">
        <v>1792</v>
      </c>
      <c r="M60" s="666" t="s">
        <v>2415</v>
      </c>
      <c r="N60" s="717">
        <v>25</v>
      </c>
      <c r="O60" s="715">
        <v>1</v>
      </c>
      <c r="P60" s="717">
        <v>25</v>
      </c>
      <c r="Q60" s="666" t="s">
        <v>2416</v>
      </c>
      <c r="R60" s="666" t="s">
        <v>2417</v>
      </c>
    </row>
    <row r="61" spans="1:18" x14ac:dyDescent="0.2">
      <c r="A61" s="1106" t="str">
        <f t="shared" si="0"/>
        <v/>
      </c>
      <c r="C61" s="666" t="s">
        <v>2413</v>
      </c>
      <c r="D61" s="1996">
        <v>46261.490277777775</v>
      </c>
      <c r="E61" s="1996">
        <v>46261.490277777775</v>
      </c>
    </row>
    <row r="62" spans="1:18" x14ac:dyDescent="0.2">
      <c r="A62" s="1106" t="str">
        <f t="shared" si="0"/>
        <v>DPS 50(USA)A19.246232</v>
      </c>
      <c r="B62" s="1997">
        <v>46261</v>
      </c>
      <c r="C62" s="1998">
        <v>8000095436</v>
      </c>
      <c r="D62" s="1998">
        <v>16</v>
      </c>
      <c r="E62" s="666" t="s">
        <v>903</v>
      </c>
      <c r="H62" s="1999">
        <v>46232</v>
      </c>
      <c r="I62" s="717">
        <v>0</v>
      </c>
      <c r="K62" s="666" t="s">
        <v>2414</v>
      </c>
      <c r="L62" s="666" t="s">
        <v>360</v>
      </c>
      <c r="M62" s="666" t="s">
        <v>2415</v>
      </c>
      <c r="N62" s="717">
        <v>25</v>
      </c>
      <c r="O62" s="715">
        <v>100</v>
      </c>
      <c r="P62" s="717">
        <v>2500</v>
      </c>
      <c r="Q62" s="666" t="s">
        <v>2416</v>
      </c>
      <c r="R62" s="666" t="s">
        <v>2417</v>
      </c>
    </row>
    <row r="63" spans="1:18" x14ac:dyDescent="0.2">
      <c r="A63" s="1106" t="str">
        <f t="shared" si="0"/>
        <v/>
      </c>
      <c r="C63" s="666" t="s">
        <v>2413</v>
      </c>
      <c r="D63" s="1996">
        <v>46261.490972222222</v>
      </c>
      <c r="E63" s="1996">
        <v>46261.490972222222</v>
      </c>
    </row>
    <row r="64" spans="1:18" x14ac:dyDescent="0.2">
      <c r="A64" s="1106" t="str">
        <f t="shared" si="0"/>
        <v>Kessent MF Dry (Singapore)A19.346218</v>
      </c>
      <c r="B64" s="1997">
        <v>46261</v>
      </c>
      <c r="C64" s="1998">
        <v>8000095436</v>
      </c>
      <c r="D64" s="1998">
        <v>20</v>
      </c>
      <c r="E64" s="666" t="s">
        <v>1639</v>
      </c>
      <c r="H64" s="1999">
        <v>46218</v>
      </c>
      <c r="I64" s="717">
        <v>0</v>
      </c>
      <c r="K64" s="666" t="s">
        <v>2414</v>
      </c>
      <c r="L64" s="666" t="s">
        <v>283</v>
      </c>
      <c r="M64" s="666" t="s">
        <v>2415</v>
      </c>
      <c r="N64" s="717">
        <v>25</v>
      </c>
      <c r="O64" s="715">
        <v>8</v>
      </c>
      <c r="P64" s="717">
        <v>200</v>
      </c>
      <c r="Q64" s="666" t="s">
        <v>2416</v>
      </c>
      <c r="R64" s="666" t="s">
        <v>2417</v>
      </c>
    </row>
    <row r="65" spans="1:18" ht="12.75" customHeight="1" x14ac:dyDescent="0.2">
      <c r="A65" s="1106" t="str">
        <f t="shared" si="0"/>
        <v/>
      </c>
      <c r="C65" s="666" t="s">
        <v>2413</v>
      </c>
      <c r="D65" s="1996">
        <v>46261.492361111108</v>
      </c>
      <c r="E65" s="1996">
        <v>46261.492361111108</v>
      </c>
    </row>
    <row r="66" spans="1:18" ht="12.75" customHeight="1" x14ac:dyDescent="0.2">
      <c r="A66" s="1106" t="str">
        <f t="shared" si="0"/>
        <v>ROVABIO# PHY PLUS 10000T (SG)Y5.146233</v>
      </c>
      <c r="B66" s="1997">
        <v>46261</v>
      </c>
      <c r="C66" s="1998">
        <v>8000095436</v>
      </c>
      <c r="D66" s="1998">
        <v>28</v>
      </c>
      <c r="E66" s="666" t="s">
        <v>1656</v>
      </c>
      <c r="H66" s="1999">
        <v>46233</v>
      </c>
      <c r="I66" s="717">
        <v>0</v>
      </c>
      <c r="K66" s="666" t="s">
        <v>2414</v>
      </c>
      <c r="L66" s="666" t="s">
        <v>1297</v>
      </c>
      <c r="M66" s="666" t="s">
        <v>2415</v>
      </c>
      <c r="N66" s="717">
        <v>25</v>
      </c>
      <c r="O66" s="715">
        <v>2</v>
      </c>
      <c r="P66" s="717">
        <v>50</v>
      </c>
      <c r="Q66" s="666" t="s">
        <v>2416</v>
      </c>
      <c r="R66" s="666" t="s">
        <v>2417</v>
      </c>
    </row>
    <row r="67" spans="1:18" ht="12.75" customHeight="1" x14ac:dyDescent="0.2">
      <c r="A67" s="1106" t="str">
        <f t="shared" si="0"/>
        <v/>
      </c>
      <c r="C67" s="666" t="s">
        <v>2413</v>
      </c>
      <c r="D67" s="1996">
        <v>46261.493055555555</v>
      </c>
      <c r="E67" s="1996">
        <v>46261.493055555555</v>
      </c>
    </row>
    <row r="68" spans="1:18" ht="12.75" customHeight="1" x14ac:dyDescent="0.2">
      <c r="A68" s="1106" t="str">
        <f t="shared" ref="A68:A131" si="1">IF(H68&lt;&gt;0,E68&amp;L68&amp;H68,"")</f>
        <v>TOXY-NIL# (T©y Ban Nha)A19.446239</v>
      </c>
      <c r="B68" s="1997">
        <v>46261</v>
      </c>
      <c r="C68" s="1998">
        <v>8000095436</v>
      </c>
      <c r="D68" s="1998">
        <v>33</v>
      </c>
      <c r="E68" s="666" t="s">
        <v>1658</v>
      </c>
      <c r="H68" s="1999">
        <v>46239</v>
      </c>
      <c r="I68" s="717">
        <v>0</v>
      </c>
      <c r="K68" s="666" t="s">
        <v>2414</v>
      </c>
      <c r="L68" s="666" t="s">
        <v>324</v>
      </c>
      <c r="M68" s="666" t="s">
        <v>2415</v>
      </c>
      <c r="N68" s="717">
        <v>25</v>
      </c>
      <c r="O68" s="715">
        <v>2</v>
      </c>
      <c r="P68" s="717">
        <v>50</v>
      </c>
      <c r="Q68" s="666" t="s">
        <v>2416</v>
      </c>
      <c r="R68" s="666" t="s">
        <v>2417</v>
      </c>
    </row>
    <row r="69" spans="1:18" ht="12.75" customHeight="1" x14ac:dyDescent="0.2">
      <c r="A69" s="1106" t="str">
        <f t="shared" si="1"/>
        <v/>
      </c>
      <c r="C69" s="666" t="s">
        <v>2413</v>
      </c>
      <c r="D69" s="1996">
        <v>46261.490972222222</v>
      </c>
      <c r="E69" s="1996">
        <v>46261.490972222222</v>
      </c>
    </row>
    <row r="70" spans="1:18" x14ac:dyDescent="0.2">
      <c r="A70" s="1106" t="str">
        <f t="shared" si="1"/>
        <v>Endox Dry (Singapore)Z3.146241</v>
      </c>
      <c r="B70" s="1997">
        <v>46261</v>
      </c>
      <c r="C70" s="1998">
        <v>8000095436</v>
      </c>
      <c r="D70" s="1998">
        <v>17</v>
      </c>
      <c r="E70" s="666" t="s">
        <v>665</v>
      </c>
      <c r="H70" s="1999">
        <v>46241</v>
      </c>
      <c r="I70" s="717">
        <v>0</v>
      </c>
      <c r="K70" s="666" t="s">
        <v>2414</v>
      </c>
      <c r="L70" s="666" t="s">
        <v>1852</v>
      </c>
      <c r="M70" s="666" t="s">
        <v>2415</v>
      </c>
      <c r="N70" s="717">
        <v>25</v>
      </c>
      <c r="O70" s="715">
        <v>5</v>
      </c>
      <c r="P70" s="717">
        <v>125</v>
      </c>
      <c r="Q70" s="666" t="s">
        <v>2416</v>
      </c>
      <c r="R70" s="666" t="s">
        <v>2417</v>
      </c>
    </row>
    <row r="71" spans="1:18" ht="12.75" customHeight="1" x14ac:dyDescent="0.2">
      <c r="A71" s="1106" t="str">
        <f t="shared" si="1"/>
        <v/>
      </c>
      <c r="C71" s="666" t="s">
        <v>2413</v>
      </c>
      <c r="D71" s="1996">
        <v>46261.491666666669</v>
      </c>
      <c r="E71" s="1996">
        <v>46261.491666666669</v>
      </c>
    </row>
    <row r="72" spans="1:18" ht="12.75" customHeight="1" x14ac:dyDescent="0.2">
      <c r="A72" s="1106" t="str">
        <f t="shared" si="1"/>
        <v>L-Arginine (China)Z6.146247</v>
      </c>
      <c r="B72" s="1997">
        <v>46261</v>
      </c>
      <c r="C72" s="1998">
        <v>8000095436</v>
      </c>
      <c r="D72" s="1998">
        <v>21</v>
      </c>
      <c r="E72" s="666" t="s">
        <v>879</v>
      </c>
      <c r="H72" s="1999">
        <v>46247</v>
      </c>
      <c r="I72" s="717">
        <v>0</v>
      </c>
      <c r="K72" s="666" t="s">
        <v>2414</v>
      </c>
      <c r="L72" s="666" t="s">
        <v>267</v>
      </c>
      <c r="M72" s="666" t="s">
        <v>2415</v>
      </c>
      <c r="N72" s="717">
        <v>25</v>
      </c>
      <c r="O72" s="715">
        <v>4</v>
      </c>
      <c r="P72" s="717">
        <v>100</v>
      </c>
      <c r="Q72" s="666" t="s">
        <v>2416</v>
      </c>
      <c r="R72" s="666" t="s">
        <v>2417</v>
      </c>
    </row>
    <row r="73" spans="1:18" x14ac:dyDescent="0.2">
      <c r="A73" s="1106" t="str">
        <f t="shared" si="1"/>
        <v/>
      </c>
      <c r="C73" s="666" t="s">
        <v>2413</v>
      </c>
      <c r="D73" s="1996">
        <v>46261.491666666669</v>
      </c>
      <c r="E73" s="1996">
        <v>46261.491666666669</v>
      </c>
    </row>
    <row r="74" spans="1:18" ht="12.75" customHeight="1" x14ac:dyDescent="0.2">
      <c r="A74" s="1106" t="str">
        <f t="shared" si="1"/>
        <v>L-Threonine (China)A18.246241</v>
      </c>
      <c r="B74" s="1997">
        <v>46261</v>
      </c>
      <c r="C74" s="1998">
        <v>8000095436</v>
      </c>
      <c r="D74" s="1998">
        <v>24</v>
      </c>
      <c r="E74" s="666" t="s">
        <v>359</v>
      </c>
      <c r="H74" s="1999">
        <v>46241</v>
      </c>
      <c r="I74" s="717">
        <v>0</v>
      </c>
      <c r="K74" s="666" t="s">
        <v>2414</v>
      </c>
      <c r="L74" s="666" t="s">
        <v>261</v>
      </c>
      <c r="M74" s="666" t="s">
        <v>2415</v>
      </c>
      <c r="N74" s="717">
        <v>25</v>
      </c>
      <c r="O74" s="715">
        <v>100</v>
      </c>
      <c r="P74" s="717">
        <v>2500</v>
      </c>
      <c r="Q74" s="666" t="s">
        <v>2416</v>
      </c>
      <c r="R74" s="666" t="s">
        <v>2417</v>
      </c>
    </row>
    <row r="75" spans="1:18" ht="12.75" customHeight="1" x14ac:dyDescent="0.2">
      <c r="A75" s="1106" t="str">
        <f t="shared" si="1"/>
        <v/>
      </c>
      <c r="C75" s="666" t="s">
        <v>2413</v>
      </c>
      <c r="D75" s="1996">
        <v>46261.492361111108</v>
      </c>
      <c r="E75" s="1996">
        <v>46261.492361111108</v>
      </c>
    </row>
    <row r="76" spans="1:18" x14ac:dyDescent="0.2">
      <c r="A76" s="1106" t="str">
        <f t="shared" si="1"/>
        <v>Microplex 1000ppm(USA)Z5.146247</v>
      </c>
      <c r="B76" s="1997">
        <v>46261</v>
      </c>
      <c r="C76" s="1998">
        <v>8000095436</v>
      </c>
      <c r="D76" s="1998">
        <v>26</v>
      </c>
      <c r="E76" s="666" t="s">
        <v>838</v>
      </c>
      <c r="H76" s="1999">
        <v>46247</v>
      </c>
      <c r="I76" s="717">
        <v>0</v>
      </c>
      <c r="K76" s="666" t="s">
        <v>2414</v>
      </c>
      <c r="L76" s="666" t="s">
        <v>138</v>
      </c>
      <c r="M76" s="666" t="s">
        <v>2415</v>
      </c>
      <c r="N76" s="717">
        <v>25</v>
      </c>
      <c r="O76" s="715">
        <v>2</v>
      </c>
      <c r="P76" s="717">
        <v>50</v>
      </c>
      <c r="Q76" s="666" t="s">
        <v>2416</v>
      </c>
      <c r="R76" s="666" t="s">
        <v>2417</v>
      </c>
    </row>
    <row r="77" spans="1:18" ht="12.75" customHeight="1" x14ac:dyDescent="0.2">
      <c r="A77" s="1106" t="str">
        <f t="shared" si="1"/>
        <v/>
      </c>
      <c r="C77" s="666" t="s">
        <v>2413</v>
      </c>
      <c r="D77" s="1996">
        <v>46261.492361111108</v>
      </c>
      <c r="E77" s="1996">
        <v>46261.492361111108</v>
      </c>
    </row>
    <row r="78" spans="1:18" ht="12.75" customHeight="1" x14ac:dyDescent="0.2">
      <c r="A78" s="1106" t="str">
        <f t="shared" si="1"/>
        <v>Pigortek 659 (France)V3.246233</v>
      </c>
      <c r="B78" s="1997">
        <v>46261</v>
      </c>
      <c r="C78" s="1998">
        <v>8000095436</v>
      </c>
      <c r="D78" s="1998">
        <v>27</v>
      </c>
      <c r="E78" s="666" t="s">
        <v>670</v>
      </c>
      <c r="H78" s="1999">
        <v>46233</v>
      </c>
      <c r="I78" s="717">
        <v>0</v>
      </c>
      <c r="K78" s="666" t="s">
        <v>2414</v>
      </c>
      <c r="L78" s="666" t="s">
        <v>246</v>
      </c>
      <c r="M78" s="666" t="s">
        <v>2415</v>
      </c>
      <c r="N78" s="717">
        <v>25</v>
      </c>
      <c r="O78" s="715">
        <v>2</v>
      </c>
      <c r="P78" s="717">
        <v>50</v>
      </c>
      <c r="Q78" s="666" t="s">
        <v>2416</v>
      </c>
      <c r="R78" s="666" t="s">
        <v>2417</v>
      </c>
    </row>
    <row r="79" spans="1:18" x14ac:dyDescent="0.2">
      <c r="A79" s="1106" t="str">
        <f t="shared" si="1"/>
        <v/>
      </c>
      <c r="C79" s="666" t="s">
        <v>2413</v>
      </c>
      <c r="D79" s="1996">
        <v>46261.490972222222</v>
      </c>
      <c r="E79" s="1996">
        <v>46261.490972222222</v>
      </c>
    </row>
    <row r="80" spans="1:18" ht="12.75" customHeight="1" x14ac:dyDescent="0.2">
      <c r="A80" s="1106" t="str">
        <f t="shared" si="1"/>
        <v>FEED GRADE MONTMORILLONITE (CN)V8.146240</v>
      </c>
      <c r="B80" s="1997">
        <v>46261</v>
      </c>
      <c r="C80" s="1998">
        <v>8000095436</v>
      </c>
      <c r="D80" s="1998">
        <v>18</v>
      </c>
      <c r="E80" s="666" t="s">
        <v>1707</v>
      </c>
      <c r="H80" s="1999">
        <v>46240</v>
      </c>
      <c r="I80" s="717">
        <v>0</v>
      </c>
      <c r="K80" s="666" t="s">
        <v>2414</v>
      </c>
      <c r="L80" s="666" t="s">
        <v>579</v>
      </c>
      <c r="M80" s="666" t="s">
        <v>2415</v>
      </c>
      <c r="N80" s="717">
        <v>25</v>
      </c>
      <c r="O80" s="715">
        <v>2</v>
      </c>
      <c r="P80" s="717">
        <v>50</v>
      </c>
      <c r="Q80" s="666" t="s">
        <v>2416</v>
      </c>
      <c r="R80" s="666" t="s">
        <v>2417</v>
      </c>
    </row>
    <row r="81" spans="1:18" ht="12.75" customHeight="1" x14ac:dyDescent="0.2">
      <c r="A81" s="1106" t="str">
        <f t="shared" si="1"/>
        <v/>
      </c>
      <c r="C81" s="666" t="s">
        <v>2413</v>
      </c>
      <c r="D81" s="1996">
        <v>46261.492361111108</v>
      </c>
      <c r="E81" s="1996">
        <v>46261.492361111108</v>
      </c>
    </row>
    <row r="82" spans="1:18" x14ac:dyDescent="0.2">
      <c r="A82" s="1106" t="str">
        <f t="shared" si="1"/>
        <v>Leader Yellow (China)Z4.146231</v>
      </c>
      <c r="B82" s="1997">
        <v>46261</v>
      </c>
      <c r="C82" s="1998">
        <v>8000095436</v>
      </c>
      <c r="D82" s="1998">
        <v>25</v>
      </c>
      <c r="E82" s="666" t="s">
        <v>674</v>
      </c>
      <c r="H82" s="1999">
        <v>46231</v>
      </c>
      <c r="I82" s="717">
        <v>0</v>
      </c>
      <c r="K82" s="666" t="s">
        <v>2414</v>
      </c>
      <c r="L82" s="666" t="s">
        <v>601</v>
      </c>
      <c r="M82" s="666" t="s">
        <v>2415</v>
      </c>
      <c r="N82" s="717">
        <v>25</v>
      </c>
      <c r="O82" s="715">
        <v>3</v>
      </c>
      <c r="P82" s="717">
        <v>75</v>
      </c>
      <c r="Q82" s="666" t="s">
        <v>2416</v>
      </c>
      <c r="R82" s="666" t="s">
        <v>2417</v>
      </c>
    </row>
    <row r="83" spans="1:18" ht="12.75" customHeight="1" x14ac:dyDescent="0.2">
      <c r="A83" s="1106" t="str">
        <f t="shared" si="1"/>
        <v/>
      </c>
      <c r="C83" s="666" t="s">
        <v>2413</v>
      </c>
      <c r="D83" s="1996">
        <v>46261.493055555555</v>
      </c>
      <c r="E83" s="1996">
        <v>46261.493055555555</v>
      </c>
    </row>
    <row r="84" spans="1:18" ht="12.75" customHeight="1" x14ac:dyDescent="0.2">
      <c r="A84" s="1106" t="str">
        <f t="shared" si="1"/>
        <v>TARTRAZINE 50% content (India)V1.146224</v>
      </c>
      <c r="B84" s="1997">
        <v>46261</v>
      </c>
      <c r="C84" s="1998">
        <v>8000095436</v>
      </c>
      <c r="D84" s="1998">
        <v>32</v>
      </c>
      <c r="E84" s="666" t="s">
        <v>1111</v>
      </c>
      <c r="H84" s="1999">
        <v>46224</v>
      </c>
      <c r="I84" s="717">
        <v>0</v>
      </c>
      <c r="K84" s="666" t="s">
        <v>2414</v>
      </c>
      <c r="L84" s="666" t="s">
        <v>1583</v>
      </c>
      <c r="M84" s="666" t="s">
        <v>2415</v>
      </c>
      <c r="N84" s="717">
        <v>25</v>
      </c>
      <c r="O84" s="715">
        <v>1</v>
      </c>
      <c r="P84" s="717">
        <v>25</v>
      </c>
      <c r="Q84" s="666" t="s">
        <v>2416</v>
      </c>
      <c r="R84" s="666" t="s">
        <v>2417</v>
      </c>
    </row>
    <row r="85" spans="1:18" x14ac:dyDescent="0.2">
      <c r="A85" s="1106" t="str">
        <f t="shared" si="1"/>
        <v/>
      </c>
      <c r="C85" s="666" t="s">
        <v>2413</v>
      </c>
      <c r="D85" s="1996">
        <v>46261.489583333336</v>
      </c>
      <c r="E85" s="1996">
        <v>46261.489583333336</v>
      </c>
    </row>
    <row r="86" spans="1:18" ht="12.75" customHeight="1" x14ac:dyDescent="0.2">
      <c r="A86" s="1106" t="str">
        <f t="shared" si="1"/>
        <v>Acid Buf 10 (Ireland)A18.646202</v>
      </c>
      <c r="B86" s="1997">
        <v>46261</v>
      </c>
      <c r="C86" s="1998">
        <v>8000095436</v>
      </c>
      <c r="D86" s="1998">
        <v>8</v>
      </c>
      <c r="E86" s="666" t="s">
        <v>1634</v>
      </c>
      <c r="H86" s="1999">
        <v>46202</v>
      </c>
      <c r="I86" s="717">
        <v>0</v>
      </c>
      <c r="K86" s="666" t="s">
        <v>2414</v>
      </c>
      <c r="L86" s="666" t="s">
        <v>510</v>
      </c>
      <c r="M86" s="666" t="s">
        <v>2415</v>
      </c>
      <c r="N86" s="717">
        <v>25</v>
      </c>
      <c r="O86" s="715">
        <v>40</v>
      </c>
      <c r="P86" s="717">
        <v>1000</v>
      </c>
      <c r="Q86" s="666" t="s">
        <v>2416</v>
      </c>
      <c r="R86" s="666" t="s">
        <v>2417</v>
      </c>
    </row>
    <row r="87" spans="1:18" ht="12.75" customHeight="1" x14ac:dyDescent="0.2">
      <c r="A87" s="1106" t="str">
        <f t="shared" si="1"/>
        <v/>
      </c>
      <c r="C87" s="666" t="s">
        <v>2413</v>
      </c>
      <c r="D87" s="1996">
        <v>46261.489583333336</v>
      </c>
      <c r="E87" s="1996">
        <v>46261.489583333336</v>
      </c>
    </row>
    <row r="88" spans="1:18" x14ac:dyDescent="0.2">
      <c r="A88" s="1106" t="str">
        <f t="shared" si="1"/>
        <v>Acid Buf 10 (Ireland)A18.646218</v>
      </c>
      <c r="B88" s="1997">
        <v>46261</v>
      </c>
      <c r="C88" s="1998">
        <v>8000095436</v>
      </c>
      <c r="D88" s="1998">
        <v>9</v>
      </c>
      <c r="E88" s="666" t="s">
        <v>1634</v>
      </c>
      <c r="H88" s="1999">
        <v>46218</v>
      </c>
      <c r="I88" s="717">
        <v>0</v>
      </c>
      <c r="K88" s="666" t="s">
        <v>2414</v>
      </c>
      <c r="L88" s="666" t="s">
        <v>510</v>
      </c>
      <c r="M88" s="666" t="s">
        <v>2415</v>
      </c>
      <c r="N88" s="717">
        <v>25</v>
      </c>
      <c r="O88" s="715">
        <v>10</v>
      </c>
      <c r="P88" s="717">
        <v>250</v>
      </c>
      <c r="Q88" s="666" t="s">
        <v>2416</v>
      </c>
      <c r="R88" s="666" t="s">
        <v>2417</v>
      </c>
    </row>
    <row r="89" spans="1:18" ht="12.75" customHeight="1" x14ac:dyDescent="0.2">
      <c r="A89" s="1106" t="str">
        <f t="shared" si="1"/>
        <v/>
      </c>
      <c r="C89" s="666" t="s">
        <v>2413</v>
      </c>
      <c r="D89" s="1996">
        <v>46261.490972222222</v>
      </c>
      <c r="E89" s="1996">
        <v>46261.490972222222</v>
      </c>
    </row>
    <row r="90" spans="1:18" ht="12.75" customHeight="1" x14ac:dyDescent="0.2">
      <c r="A90" s="1106" t="str">
        <f t="shared" si="1"/>
        <v>Intelli Bond CV6.146241</v>
      </c>
      <c r="B90" s="1997">
        <v>46261</v>
      </c>
      <c r="C90" s="1998">
        <v>8000095436</v>
      </c>
      <c r="D90" s="1998">
        <v>19</v>
      </c>
      <c r="E90" s="666" t="s">
        <v>836</v>
      </c>
      <c r="H90" s="1999">
        <v>46241</v>
      </c>
      <c r="I90" s="717">
        <v>0</v>
      </c>
      <c r="K90" s="666" t="s">
        <v>2414</v>
      </c>
      <c r="L90" s="666" t="s">
        <v>874</v>
      </c>
      <c r="M90" s="666" t="s">
        <v>2415</v>
      </c>
      <c r="N90" s="717">
        <v>25</v>
      </c>
      <c r="O90" s="715">
        <v>6</v>
      </c>
      <c r="P90" s="717">
        <v>150</v>
      </c>
      <c r="Q90" s="666" t="s">
        <v>2416</v>
      </c>
      <c r="R90" s="666" t="s">
        <v>2417</v>
      </c>
    </row>
    <row r="91" spans="1:18" x14ac:dyDescent="0.2">
      <c r="A91" s="1106" t="str">
        <f t="shared" si="1"/>
        <v/>
      </c>
      <c r="C91" s="666" t="s">
        <v>2413</v>
      </c>
      <c r="D91" s="1996">
        <v>46261.491666666669</v>
      </c>
      <c r="E91" s="1996">
        <v>46261.491666666669</v>
      </c>
    </row>
    <row r="92" spans="1:18" ht="12.75" customHeight="1" x14ac:dyDescent="0.2">
      <c r="A92" s="1106" t="str">
        <f t="shared" si="1"/>
        <v>L-lysine Monohydrochloride (China)B17.246240</v>
      </c>
      <c r="B92" s="1997">
        <v>46261</v>
      </c>
      <c r="C92" s="1998">
        <v>8000095436</v>
      </c>
      <c r="D92" s="1998">
        <v>22</v>
      </c>
      <c r="E92" s="666" t="s">
        <v>1317</v>
      </c>
      <c r="H92" s="1999">
        <v>46240</v>
      </c>
      <c r="I92" s="717">
        <v>0</v>
      </c>
      <c r="K92" s="666" t="s">
        <v>2414</v>
      </c>
      <c r="L92" s="666" t="s">
        <v>2146</v>
      </c>
      <c r="M92" s="666" t="s">
        <v>2415</v>
      </c>
      <c r="N92" s="717">
        <v>25</v>
      </c>
      <c r="O92" s="715">
        <v>200</v>
      </c>
      <c r="P92" s="717">
        <v>5000</v>
      </c>
      <c r="Q92" s="666" t="s">
        <v>2416</v>
      </c>
      <c r="R92" s="666" t="s">
        <v>2417</v>
      </c>
    </row>
    <row r="93" spans="1:18" ht="12.75" customHeight="1" x14ac:dyDescent="0.2">
      <c r="A93" s="1106" t="str">
        <f t="shared" si="1"/>
        <v/>
      </c>
      <c r="C93" s="666" t="s">
        <v>2413</v>
      </c>
      <c r="D93" s="1996">
        <v>46261.492361111108</v>
      </c>
      <c r="E93" s="1996">
        <v>46261.492361111108</v>
      </c>
    </row>
    <row r="94" spans="1:18" x14ac:dyDescent="0.2">
      <c r="A94" s="1106" t="str">
        <f t="shared" si="1"/>
        <v>ROVABIO ADVANCE T-FLEX 25(SG)A19.446233</v>
      </c>
      <c r="B94" s="1997">
        <v>46261</v>
      </c>
      <c r="C94" s="1998">
        <v>8000095436</v>
      </c>
      <c r="D94" s="1998">
        <v>29</v>
      </c>
      <c r="E94" s="666" t="s">
        <v>1669</v>
      </c>
      <c r="H94" s="1999">
        <v>46233</v>
      </c>
      <c r="I94" s="717">
        <v>0</v>
      </c>
      <c r="K94" s="666" t="s">
        <v>2414</v>
      </c>
      <c r="L94" s="666" t="s">
        <v>324</v>
      </c>
      <c r="M94" s="666" t="s">
        <v>2415</v>
      </c>
      <c r="N94" s="717">
        <v>25</v>
      </c>
      <c r="O94" s="715">
        <v>4</v>
      </c>
      <c r="P94" s="717">
        <v>100</v>
      </c>
      <c r="Q94" s="666" t="s">
        <v>2416</v>
      </c>
      <c r="R94" s="666" t="s">
        <v>2417</v>
      </c>
    </row>
    <row r="95" spans="1:18" ht="12.75" customHeight="1" x14ac:dyDescent="0.2">
      <c r="A95" s="1106" t="str">
        <f t="shared" si="1"/>
        <v/>
      </c>
      <c r="C95" s="666" t="s">
        <v>2413</v>
      </c>
      <c r="D95" s="1996">
        <v>46261.493055555555</v>
      </c>
      <c r="E95" s="1996">
        <v>46261.493055555555</v>
      </c>
    </row>
    <row r="96" spans="1:18" ht="12.75" customHeight="1" x14ac:dyDescent="0.2">
      <c r="A96" s="1106" t="str">
        <f t="shared" si="1"/>
        <v>Stearolac 90 (Malaysia)V9.146218</v>
      </c>
      <c r="B96" s="1997">
        <v>46261</v>
      </c>
      <c r="C96" s="1998">
        <v>8000095436</v>
      </c>
      <c r="D96" s="1998">
        <v>30</v>
      </c>
      <c r="E96" s="666" t="s">
        <v>1861</v>
      </c>
      <c r="H96" s="1999">
        <v>46218</v>
      </c>
      <c r="I96" s="717">
        <v>0</v>
      </c>
      <c r="K96" s="666" t="s">
        <v>2414</v>
      </c>
      <c r="L96" s="666" t="s">
        <v>227</v>
      </c>
      <c r="M96" s="666" t="s">
        <v>2415</v>
      </c>
      <c r="N96" s="717">
        <v>25</v>
      </c>
      <c r="O96" s="715">
        <v>2</v>
      </c>
      <c r="P96" s="717">
        <v>50</v>
      </c>
      <c r="Q96" s="666" t="s">
        <v>2416</v>
      </c>
      <c r="R96" s="666" t="s">
        <v>2417</v>
      </c>
    </row>
    <row r="97" spans="1:18" x14ac:dyDescent="0.2">
      <c r="A97" s="1106" t="str">
        <f t="shared" si="1"/>
        <v/>
      </c>
      <c r="C97" s="666" t="s">
        <v>2413</v>
      </c>
      <c r="D97" s="1996">
        <v>46261.493055555555</v>
      </c>
      <c r="E97" s="1996">
        <v>46261.493055555555</v>
      </c>
    </row>
    <row r="98" spans="1:18" ht="12.75" customHeight="1" x14ac:dyDescent="0.2">
      <c r="A98" s="1106" t="str">
        <f t="shared" si="1"/>
        <v>Vitamin E 50D246225</v>
      </c>
      <c r="B98" s="1997">
        <v>46261</v>
      </c>
      <c r="C98" s="1998">
        <v>8000095436</v>
      </c>
      <c r="D98" s="1998">
        <v>34</v>
      </c>
      <c r="E98" s="666" t="s">
        <v>846</v>
      </c>
      <c r="H98" s="1999">
        <v>46225</v>
      </c>
      <c r="I98" s="717">
        <v>0</v>
      </c>
      <c r="K98" s="666" t="s">
        <v>2414</v>
      </c>
      <c r="L98" s="666" t="s">
        <v>2110</v>
      </c>
      <c r="M98" s="666" t="s">
        <v>2415</v>
      </c>
      <c r="N98" s="717">
        <v>25</v>
      </c>
      <c r="O98" s="715">
        <v>1</v>
      </c>
      <c r="P98" s="717">
        <v>25</v>
      </c>
      <c r="Q98" s="666" t="s">
        <v>2416</v>
      </c>
      <c r="R98" s="666" t="s">
        <v>2417</v>
      </c>
    </row>
    <row r="99" spans="1:18" ht="12.75" customHeight="1" x14ac:dyDescent="0.2">
      <c r="A99" s="1106" t="str">
        <f t="shared" si="1"/>
        <v/>
      </c>
      <c r="C99" s="666" t="s">
        <v>2413</v>
      </c>
      <c r="D99" s="1996">
        <v>46261.627083333333</v>
      </c>
      <c r="E99" s="1996">
        <v>46261.627083333333</v>
      </c>
    </row>
    <row r="100" spans="1:18" x14ac:dyDescent="0.2">
      <c r="A100" s="1106" t="str">
        <f t="shared" si="1"/>
        <v>Carob PowderA246221</v>
      </c>
      <c r="B100" s="1997">
        <v>46261</v>
      </c>
      <c r="C100" s="1998">
        <v>8000095438</v>
      </c>
      <c r="D100" s="1998">
        <v>2</v>
      </c>
      <c r="E100" s="666" t="s">
        <v>656</v>
      </c>
      <c r="H100" s="1999">
        <v>46221</v>
      </c>
      <c r="I100" s="717">
        <v>0</v>
      </c>
      <c r="K100" s="666" t="s">
        <v>2414</v>
      </c>
      <c r="L100" s="666" t="s">
        <v>2106</v>
      </c>
      <c r="M100" s="666" t="s">
        <v>2415</v>
      </c>
      <c r="N100" s="717">
        <v>25</v>
      </c>
      <c r="O100" s="715">
        <v>210</v>
      </c>
      <c r="P100" s="717">
        <v>5250</v>
      </c>
      <c r="Q100" s="666" t="s">
        <v>2416</v>
      </c>
      <c r="R100" s="666" t="s">
        <v>2417</v>
      </c>
    </row>
    <row r="101" spans="1:18" ht="12.75" customHeight="1" x14ac:dyDescent="0.2">
      <c r="A101" s="1106" t="str">
        <f t="shared" si="1"/>
        <v/>
      </c>
      <c r="C101" s="666" t="s">
        <v>2413</v>
      </c>
      <c r="D101" s="1996">
        <v>46261.62777777778</v>
      </c>
      <c r="E101" s="1996">
        <v>46261.62777777778</v>
      </c>
    </row>
    <row r="102" spans="1:18" ht="12.75" customHeight="1" x14ac:dyDescent="0.2">
      <c r="A102" s="1106" t="str">
        <f t="shared" si="1"/>
        <v>L-Lysine Sulphat 70%B17.146246</v>
      </c>
      <c r="B102" s="1997">
        <v>46261</v>
      </c>
      <c r="C102" s="1998">
        <v>8000095438</v>
      </c>
      <c r="D102" s="1998">
        <v>4</v>
      </c>
      <c r="E102" s="666" t="s">
        <v>654</v>
      </c>
      <c r="H102" s="1999">
        <v>46246</v>
      </c>
      <c r="I102" s="717">
        <v>0</v>
      </c>
      <c r="K102" s="666" t="s">
        <v>2414</v>
      </c>
      <c r="L102" s="666" t="s">
        <v>1777</v>
      </c>
      <c r="M102" s="666" t="s">
        <v>2415</v>
      </c>
      <c r="N102" s="717">
        <v>25</v>
      </c>
      <c r="O102" s="715">
        <v>200</v>
      </c>
      <c r="P102" s="717">
        <v>5000</v>
      </c>
      <c r="Q102" s="666" t="s">
        <v>2416</v>
      </c>
      <c r="R102" s="666" t="s">
        <v>2417</v>
      </c>
    </row>
    <row r="103" spans="1:18" x14ac:dyDescent="0.2">
      <c r="A103" s="1106" t="str">
        <f t="shared" si="1"/>
        <v/>
      </c>
      <c r="C103" s="666" t="s">
        <v>2413</v>
      </c>
      <c r="D103" s="1996">
        <v>46261.488888888889</v>
      </c>
      <c r="E103" s="1996">
        <v>46261.488888888889</v>
      </c>
    </row>
    <row r="104" spans="1:18" ht="12.75" customHeight="1" x14ac:dyDescent="0.2">
      <c r="A104" s="1106" t="str">
        <f t="shared" si="1"/>
        <v>Tilmovet 20% Granular Premix (Bulgaria)E246247</v>
      </c>
      <c r="B104" s="1997">
        <v>46261</v>
      </c>
      <c r="C104" s="1998">
        <v>8000095436</v>
      </c>
      <c r="D104" s="1998">
        <v>6</v>
      </c>
      <c r="E104" s="666" t="s">
        <v>917</v>
      </c>
      <c r="H104" s="1999">
        <v>46247</v>
      </c>
      <c r="I104" s="717">
        <v>0</v>
      </c>
      <c r="K104" s="666" t="s">
        <v>2414</v>
      </c>
      <c r="L104" s="666" t="s">
        <v>1313</v>
      </c>
      <c r="M104" s="666" t="s">
        <v>2415</v>
      </c>
      <c r="N104" s="717">
        <v>20</v>
      </c>
      <c r="O104" s="715">
        <v>4</v>
      </c>
      <c r="P104" s="717">
        <v>80</v>
      </c>
      <c r="Q104" s="666" t="s">
        <v>2416</v>
      </c>
      <c r="R104" s="666" t="s">
        <v>2417</v>
      </c>
    </row>
    <row r="105" spans="1:18" ht="12.75" customHeight="1" x14ac:dyDescent="0.2">
      <c r="A105" s="1106" t="str">
        <f t="shared" si="1"/>
        <v/>
      </c>
      <c r="C105" s="666" t="s">
        <v>2413</v>
      </c>
      <c r="D105" s="1996">
        <v>46261.488888888889</v>
      </c>
      <c r="E105" s="1996">
        <v>46261.488888888889</v>
      </c>
    </row>
    <row r="106" spans="1:18" x14ac:dyDescent="0.2">
      <c r="A106" s="1106" t="str">
        <f t="shared" si="1"/>
        <v>TIAMULIN FUMARATE PREMIX 80% (China)E146232</v>
      </c>
      <c r="B106" s="1997">
        <v>46261</v>
      </c>
      <c r="C106" s="1998">
        <v>8000095436</v>
      </c>
      <c r="D106" s="1998">
        <v>7</v>
      </c>
      <c r="E106" s="666" t="s">
        <v>1392</v>
      </c>
      <c r="H106" s="1999">
        <v>46232</v>
      </c>
      <c r="I106" s="717">
        <v>0</v>
      </c>
      <c r="K106" s="666" t="s">
        <v>2414</v>
      </c>
      <c r="L106" s="666" t="s">
        <v>1249</v>
      </c>
      <c r="M106" s="666" t="s">
        <v>2415</v>
      </c>
      <c r="N106" s="717">
        <v>25</v>
      </c>
      <c r="O106" s="715">
        <v>4</v>
      </c>
      <c r="P106" s="717">
        <v>100</v>
      </c>
      <c r="Q106" s="666" t="s">
        <v>2416</v>
      </c>
      <c r="R106" s="666" t="s">
        <v>2417</v>
      </c>
    </row>
    <row r="107" spans="1:18" ht="12.75" customHeight="1" x14ac:dyDescent="0.2">
      <c r="A107" s="1106" t="str">
        <f t="shared" si="1"/>
        <v/>
      </c>
      <c r="C107" s="666" t="s">
        <v>2413</v>
      </c>
      <c r="D107" s="1996">
        <v>46261.488194444442</v>
      </c>
      <c r="E107" s="1996">
        <v>46261.488194444442</v>
      </c>
    </row>
    <row r="108" spans="1:18" ht="12.75" customHeight="1" x14ac:dyDescent="0.2">
      <c r="A108" s="1106" t="str">
        <f t="shared" si="1"/>
        <v>APA Enmy PE346098</v>
      </c>
      <c r="B108" s="1997">
        <v>46261</v>
      </c>
      <c r="C108" s="1998">
        <v>8000095436</v>
      </c>
      <c r="D108" s="1998">
        <v>2</v>
      </c>
      <c r="E108" s="666" t="s">
        <v>1370</v>
      </c>
      <c r="H108" s="1999">
        <v>46098</v>
      </c>
      <c r="I108" s="717">
        <v>0</v>
      </c>
      <c r="K108" s="666" t="s">
        <v>2414</v>
      </c>
      <c r="L108" s="666" t="s">
        <v>1213</v>
      </c>
      <c r="M108" s="666" t="s">
        <v>2415</v>
      </c>
      <c r="N108" s="717">
        <v>20</v>
      </c>
      <c r="O108" s="715">
        <v>1</v>
      </c>
      <c r="P108" s="717">
        <v>20</v>
      </c>
      <c r="Q108" s="666" t="s">
        <v>2416</v>
      </c>
      <c r="R108" s="666" t="s">
        <v>2417</v>
      </c>
    </row>
    <row r="109" spans="1:18" x14ac:dyDescent="0.2">
      <c r="A109" s="1106" t="str">
        <f t="shared" si="1"/>
        <v/>
      </c>
      <c r="C109" s="666" t="s">
        <v>2413</v>
      </c>
      <c r="D109" s="1996">
        <v>46261.488194444442</v>
      </c>
      <c r="E109" s="1996">
        <v>46261.488194444442</v>
      </c>
    </row>
    <row r="110" spans="1:18" ht="12.75" customHeight="1" x14ac:dyDescent="0.2">
      <c r="A110" s="1106" t="str">
        <f t="shared" si="1"/>
        <v>M-Tox PlusA18.146232</v>
      </c>
      <c r="B110" s="1997">
        <v>46261</v>
      </c>
      <c r="C110" s="1998">
        <v>8000095436</v>
      </c>
      <c r="D110" s="1998">
        <v>3</v>
      </c>
      <c r="E110" s="666" t="s">
        <v>385</v>
      </c>
      <c r="H110" s="1999">
        <v>46232</v>
      </c>
      <c r="I110" s="717">
        <v>0</v>
      </c>
      <c r="K110" s="666" t="s">
        <v>2414</v>
      </c>
      <c r="L110" s="666" t="s">
        <v>1190</v>
      </c>
      <c r="M110" s="666" t="s">
        <v>2415</v>
      </c>
      <c r="N110" s="717">
        <v>25</v>
      </c>
      <c r="O110" s="715">
        <v>40</v>
      </c>
      <c r="P110" s="717">
        <v>1000</v>
      </c>
      <c r="Q110" s="666" t="s">
        <v>2416</v>
      </c>
      <c r="R110" s="666" t="s">
        <v>2417</v>
      </c>
    </row>
    <row r="111" spans="1:18" ht="12.75" customHeight="1" x14ac:dyDescent="0.2">
      <c r="A111" s="1106" t="str">
        <f t="shared" si="1"/>
        <v/>
      </c>
      <c r="C111" s="666" t="s">
        <v>2413</v>
      </c>
      <c r="D111" s="1996">
        <v>46261.488888888889</v>
      </c>
      <c r="E111" s="1996">
        <v>46261.488888888889</v>
      </c>
    </row>
    <row r="112" spans="1:18" x14ac:dyDescent="0.2">
      <c r="A112" s="1106" t="str">
        <f t="shared" si="1"/>
        <v>MAXIBANE346254</v>
      </c>
      <c r="B112" s="1997">
        <v>46261</v>
      </c>
      <c r="C112" s="1998">
        <v>8000095436</v>
      </c>
      <c r="D112" s="1998">
        <v>4</v>
      </c>
      <c r="E112" s="666" t="s">
        <v>462</v>
      </c>
      <c r="H112" s="1999">
        <v>46254</v>
      </c>
      <c r="I112" s="717">
        <v>0</v>
      </c>
      <c r="K112" s="666" t="s">
        <v>2414</v>
      </c>
      <c r="L112" s="666" t="s">
        <v>1213</v>
      </c>
      <c r="M112" s="666" t="s">
        <v>2415</v>
      </c>
      <c r="N112" s="717">
        <v>25</v>
      </c>
      <c r="O112" s="715">
        <v>2</v>
      </c>
      <c r="P112" s="717">
        <v>50</v>
      </c>
      <c r="Q112" s="666" t="s">
        <v>2416</v>
      </c>
      <c r="R112" s="666" t="s">
        <v>2417</v>
      </c>
    </row>
    <row r="113" spans="1:18" ht="12.75" customHeight="1" x14ac:dyDescent="0.2">
      <c r="A113" s="1106" t="str">
        <f t="shared" si="1"/>
        <v/>
      </c>
      <c r="C113" s="666" t="s">
        <v>2413</v>
      </c>
      <c r="D113" s="1996">
        <v>46261.488888888889</v>
      </c>
      <c r="E113" s="1996">
        <v>46261.488888888889</v>
      </c>
    </row>
    <row r="114" spans="1:18" ht="12.75" customHeight="1" x14ac:dyDescent="0.2">
      <c r="A114" s="1106" t="str">
        <f t="shared" si="1"/>
        <v>SALINOMYCIN PREMIX 12% (China)E346245</v>
      </c>
      <c r="B114" s="1997">
        <v>46261</v>
      </c>
      <c r="C114" s="1998">
        <v>8000095436</v>
      </c>
      <c r="D114" s="1998">
        <v>5</v>
      </c>
      <c r="E114" s="666" t="s">
        <v>1814</v>
      </c>
      <c r="H114" s="1999">
        <v>46245</v>
      </c>
      <c r="I114" s="717">
        <v>0</v>
      </c>
      <c r="K114" s="666" t="s">
        <v>2414</v>
      </c>
      <c r="L114" s="666" t="s">
        <v>1213</v>
      </c>
      <c r="M114" s="666" t="s">
        <v>2415</v>
      </c>
      <c r="N114" s="717">
        <v>25</v>
      </c>
      <c r="O114" s="715">
        <v>1</v>
      </c>
      <c r="P114" s="717">
        <v>25</v>
      </c>
      <c r="Q114" s="666" t="s">
        <v>2416</v>
      </c>
      <c r="R114" s="666" t="s">
        <v>2417</v>
      </c>
    </row>
    <row r="115" spans="1:18" x14ac:dyDescent="0.2">
      <c r="A115" s="1106" t="str">
        <f t="shared" si="1"/>
        <v/>
      </c>
      <c r="C115" s="666" t="s">
        <v>2413</v>
      </c>
      <c r="D115" s="1996">
        <v>46261.488194444442</v>
      </c>
      <c r="E115" s="1996">
        <v>46261.488194444442</v>
      </c>
    </row>
    <row r="116" spans="1:18" ht="12.6" customHeight="1" x14ac:dyDescent="0.2">
      <c r="A116" s="1106" t="str">
        <f t="shared" si="1"/>
        <v>Amoxicillin 80%E146199</v>
      </c>
      <c r="B116" s="1997">
        <v>46261</v>
      </c>
      <c r="C116" s="1998">
        <v>8000095436</v>
      </c>
      <c r="D116" s="1998">
        <v>1</v>
      </c>
      <c r="E116" s="666" t="s">
        <v>1346</v>
      </c>
      <c r="H116" s="1999">
        <v>46199</v>
      </c>
      <c r="I116" s="717">
        <v>0</v>
      </c>
      <c r="K116" s="666" t="s">
        <v>2414</v>
      </c>
      <c r="L116" s="666" t="s">
        <v>1249</v>
      </c>
      <c r="M116" s="666" t="s">
        <v>2415</v>
      </c>
      <c r="N116" s="717">
        <v>20</v>
      </c>
      <c r="O116" s="715">
        <v>4</v>
      </c>
      <c r="P116" s="717">
        <v>80</v>
      </c>
      <c r="Q116" s="666" t="s">
        <v>2416</v>
      </c>
      <c r="R116" s="666" t="s">
        <v>2417</v>
      </c>
    </row>
    <row r="117" spans="1:18" ht="12.6" customHeight="1" x14ac:dyDescent="0.2">
      <c r="A117" s="1106" t="str">
        <f t="shared" si="1"/>
        <v/>
      </c>
      <c r="B117" s="666" t="s">
        <v>2426</v>
      </c>
      <c r="C117" s="716">
        <v>3341</v>
      </c>
      <c r="D117" s="717">
        <v>132514.71</v>
      </c>
    </row>
    <row r="118" spans="1:18" x14ac:dyDescent="0.2">
      <c r="A118" s="1106" t="str">
        <f t="shared" si="1"/>
        <v/>
      </c>
      <c r="B118" s="666" t="s">
        <v>453</v>
      </c>
      <c r="C118" s="717">
        <v>39.663187668362767</v>
      </c>
      <c r="D118" s="716">
        <v>3341</v>
      </c>
      <c r="E118" s="717">
        <v>132514.71</v>
      </c>
    </row>
    <row r="119" spans="1:18" x14ac:dyDescent="0.2">
      <c r="A119" s="1106" t="str">
        <f t="shared" si="1"/>
        <v/>
      </c>
    </row>
    <row r="120" spans="1:18" x14ac:dyDescent="0.2">
      <c r="A120" s="1106" t="str">
        <f t="shared" si="1"/>
        <v/>
      </c>
    </row>
    <row r="121" spans="1:18" ht="12.75" customHeight="1" x14ac:dyDescent="0.2">
      <c r="A121" s="1106" t="str">
        <f t="shared" si="1"/>
        <v/>
      </c>
    </row>
    <row r="122" spans="1:18" ht="12.75" customHeight="1" x14ac:dyDescent="0.2">
      <c r="A122" s="1106" t="str">
        <f t="shared" si="1"/>
        <v/>
      </c>
    </row>
    <row r="123" spans="1:18" ht="12.75" customHeight="1" x14ac:dyDescent="0.2">
      <c r="A123" s="1106" t="str">
        <f t="shared" si="1"/>
        <v/>
      </c>
    </row>
    <row r="124" spans="1:18" ht="12.6" customHeight="1" x14ac:dyDescent="0.2">
      <c r="A124" s="1106" t="str">
        <f t="shared" si="1"/>
        <v/>
      </c>
    </row>
    <row r="125" spans="1:18" ht="12.75" customHeight="1" x14ac:dyDescent="0.2">
      <c r="A125" s="1106" t="str">
        <f t="shared" si="1"/>
        <v/>
      </c>
    </row>
    <row r="126" spans="1:18" ht="12.75" customHeight="1" x14ac:dyDescent="0.2">
      <c r="A126" s="1106" t="str">
        <f t="shared" si="1"/>
        <v/>
      </c>
    </row>
    <row r="127" spans="1:18" x14ac:dyDescent="0.2">
      <c r="A127" s="1106" t="str">
        <f t="shared" si="1"/>
        <v/>
      </c>
    </row>
    <row r="128" spans="1:18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35" zoomScale="93" zoomScaleNormal="93" workbookViewId="0">
      <selection activeCell="C166" sqref="C166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3"/>
      <c r="C1" s="2343"/>
      <c r="D1" s="2343"/>
      <c r="E1" s="2343"/>
      <c r="F1" s="2343"/>
      <c r="G1" s="2343"/>
    </row>
    <row r="2" spans="1:7" ht="15.75" customHeight="1" x14ac:dyDescent="0.2">
      <c r="B2" s="2343"/>
      <c r="C2" s="2343"/>
      <c r="D2" s="2343"/>
      <c r="E2" s="2343"/>
      <c r="F2" s="2343"/>
      <c r="G2" s="2343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9" t="s">
        <v>2096</v>
      </c>
      <c r="C4" s="1990" t="s">
        <v>2097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1701</v>
      </c>
      <c r="C6" s="1204">
        <v>5620.7889999999998</v>
      </c>
      <c r="D6" s="825" t="str">
        <f>LEFT(B6,2)</f>
        <v>CR</v>
      </c>
      <c r="E6" s="572">
        <f>C6/$D$4*1000</f>
        <v>936798.16666666663</v>
      </c>
      <c r="F6" s="694">
        <f>SUM(E:E)-MAX(E:E)</f>
        <v>2411500.6666666674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1566</v>
      </c>
      <c r="C7" s="1204">
        <v>1791.6420000000001</v>
      </c>
      <c r="D7" s="825" t="str">
        <f t="shared" ref="D7:D70" si="0">LEFT(B7,2)</f>
        <v>SB</v>
      </c>
      <c r="E7" s="572">
        <f t="shared" ref="E7:E70" si="1">C7/$D$4*1000</f>
        <v>298607</v>
      </c>
      <c r="F7" s="694">
        <f>SUMIFS(E:E,D:D,"IR")</f>
        <v>70660</v>
      </c>
      <c r="G7" s="671"/>
    </row>
    <row r="8" spans="1:7" x14ac:dyDescent="0.2">
      <c r="A8" s="676" t="str">
        <f>+VLOOKUP($B8,'Tên NL'!$B:$C,2,0)</f>
        <v>CORN</v>
      </c>
      <c r="B8" s="667" t="s">
        <v>1415</v>
      </c>
      <c r="C8" s="1204">
        <v>838.84900000000005</v>
      </c>
      <c r="D8" s="825" t="str">
        <f t="shared" si="0"/>
        <v>CR</v>
      </c>
      <c r="E8" s="572">
        <f t="shared" si="1"/>
        <v>139808.16666666666</v>
      </c>
      <c r="F8" s="696">
        <f>F6-F7</f>
        <v>2340840.6666666674</v>
      </c>
      <c r="G8" s="671"/>
    </row>
    <row r="9" spans="1:7" x14ac:dyDescent="0.2">
      <c r="A9" s="676" t="str">
        <f>+VLOOKUP($B9,'Tên NL'!$B:$C,2,0)</f>
        <v>DDGS.</v>
      </c>
      <c r="B9" s="667" t="s">
        <v>2211</v>
      </c>
      <c r="C9" s="1204">
        <v>701.404</v>
      </c>
      <c r="D9" s="825" t="str">
        <f t="shared" si="0"/>
        <v>DD</v>
      </c>
      <c r="E9" s="572">
        <f t="shared" si="1"/>
        <v>116900.66666666667</v>
      </c>
      <c r="G9" s="671"/>
    </row>
    <row r="10" spans="1:7" x14ac:dyDescent="0.2">
      <c r="A10" s="676" t="str">
        <f>+VLOOKUP($B10,'Tên NL'!$B:$C,2,0)</f>
        <v>RBF</v>
      </c>
      <c r="B10" s="667" t="s">
        <v>1389</v>
      </c>
      <c r="C10" s="1204">
        <v>645.74400000000003</v>
      </c>
      <c r="D10" s="825" t="str">
        <f t="shared" si="0"/>
        <v>RB</v>
      </c>
      <c r="E10" s="572">
        <f t="shared" si="1"/>
        <v>107624.00000000001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465.03199999999998</v>
      </c>
      <c r="D11" s="825" t="str">
        <f t="shared" si="0"/>
        <v>CR</v>
      </c>
      <c r="E11" s="572">
        <f t="shared" si="1"/>
        <v>77505.333333333328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1530</v>
      </c>
      <c r="C12" s="1204">
        <v>436.238</v>
      </c>
      <c r="D12" s="825" t="str">
        <f t="shared" si="0"/>
        <v>PK</v>
      </c>
      <c r="E12" s="572">
        <f t="shared" si="1"/>
        <v>72706.333333333328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423.96</v>
      </c>
      <c r="D13" s="825" t="str">
        <f t="shared" si="0"/>
        <v>IR</v>
      </c>
      <c r="E13" s="572">
        <f t="shared" si="1"/>
        <v>70660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370.411</v>
      </c>
      <c r="D14" s="825" t="str">
        <f t="shared" si="0"/>
        <v>TA</v>
      </c>
      <c r="E14" s="572">
        <f t="shared" si="1"/>
        <v>61735.166666666664</v>
      </c>
      <c r="G14" s="671"/>
    </row>
    <row r="15" spans="1:7" x14ac:dyDescent="0.2">
      <c r="A15" s="676" t="str">
        <f>+VLOOKUP($B15,'Tên NL'!$B:$C,2,0)</f>
        <v>WHEAT GRAIN</v>
      </c>
      <c r="B15" s="667" t="s">
        <v>1781</v>
      </c>
      <c r="C15" s="1204">
        <v>359.27</v>
      </c>
      <c r="D15" s="825" t="str">
        <f t="shared" si="0"/>
        <v>WH</v>
      </c>
      <c r="E15" s="572">
        <f t="shared" si="1"/>
        <v>59878.333333333328</v>
      </c>
      <c r="G15" s="671"/>
    </row>
    <row r="16" spans="1:7" x14ac:dyDescent="0.2">
      <c r="A16" s="676" t="str">
        <f>+VLOOKUP($B16,'Tên NL'!$B:$C,2,0)</f>
        <v>Soy Bean Meal (USA)</v>
      </c>
      <c r="B16" s="667" t="s">
        <v>1428</v>
      </c>
      <c r="C16" s="1204">
        <v>290.63299999999998</v>
      </c>
      <c r="D16" s="825" t="str">
        <f t="shared" si="0"/>
        <v>SB</v>
      </c>
      <c r="E16" s="572">
        <f t="shared" si="1"/>
        <v>48438.833333333328</v>
      </c>
      <c r="G16" s="671"/>
    </row>
    <row r="17" spans="1:7" x14ac:dyDescent="0.2">
      <c r="A17" s="676" t="str">
        <f>+VLOOKUP($B17,'Tên NL'!$B:$C,2,0)</f>
        <v>CORN</v>
      </c>
      <c r="B17" s="667" t="s">
        <v>1005</v>
      </c>
      <c r="C17" s="1204">
        <v>224.75399999999999</v>
      </c>
      <c r="D17" s="825" t="str">
        <f t="shared" si="0"/>
        <v>CR</v>
      </c>
      <c r="E17" s="572">
        <f t="shared" si="1"/>
        <v>37458.999999999993</v>
      </c>
      <c r="G17" s="671"/>
    </row>
    <row r="18" spans="1:7" x14ac:dyDescent="0.2">
      <c r="A18" s="676" t="str">
        <f>+VLOOKUP($B18,'Tên NL'!$B:$C,2,0)</f>
        <v>Soy Bean Meal (Argentina)</v>
      </c>
      <c r="B18" s="667" t="s">
        <v>1567</v>
      </c>
      <c r="C18" s="1204">
        <v>210.82900000000001</v>
      </c>
      <c r="D18" s="825" t="str">
        <f t="shared" si="0"/>
        <v>SB</v>
      </c>
      <c r="E18" s="572">
        <f t="shared" si="1"/>
        <v>35138.166666666672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206.977</v>
      </c>
      <c r="D19" s="825" t="str">
        <f t="shared" si="0"/>
        <v>MO</v>
      </c>
      <c r="E19" s="572">
        <f t="shared" si="1"/>
        <v>34496.166666666664</v>
      </c>
      <c r="G19" s="671"/>
    </row>
    <row r="20" spans="1:7" x14ac:dyDescent="0.2">
      <c r="A20" s="676" t="str">
        <f>+VLOOKUP($B20,'Tên NL'!$B:$C,2,0)</f>
        <v>CORN</v>
      </c>
      <c r="B20" s="667" t="s">
        <v>1753</v>
      </c>
      <c r="C20" s="1204">
        <v>181.24</v>
      </c>
      <c r="D20" s="825" t="str">
        <f t="shared" si="0"/>
        <v>CR</v>
      </c>
      <c r="E20" s="572">
        <f t="shared" si="1"/>
        <v>30206.666666666668</v>
      </c>
      <c r="G20" s="671"/>
    </row>
    <row r="21" spans="1:7" x14ac:dyDescent="0.2">
      <c r="A21" s="676" t="str">
        <f>+VLOOKUP($B21,'Tên NL'!$B:$C,2,0)</f>
        <v>SOYBEAN SEED</v>
      </c>
      <c r="B21" s="667" t="s">
        <v>996</v>
      </c>
      <c r="C21" s="1204">
        <v>156.61699999999999</v>
      </c>
      <c r="D21" s="825" t="str">
        <f t="shared" si="0"/>
        <v>FF</v>
      </c>
      <c r="E21" s="572">
        <f t="shared" si="1"/>
        <v>26102.833333333332</v>
      </c>
      <c r="G21" s="671"/>
    </row>
    <row r="22" spans="1:7" x14ac:dyDescent="0.2">
      <c r="A22" s="676" t="str">
        <f>+VLOOKUP($B22,'Tên NL'!$B:$C,2,0)</f>
        <v>Limestone (Fine)</v>
      </c>
      <c r="B22" s="667" t="s">
        <v>1382</v>
      </c>
      <c r="C22" s="1204">
        <v>150.13499999999999</v>
      </c>
      <c r="D22" s="825" t="str">
        <f t="shared" si="0"/>
        <v>LS</v>
      </c>
      <c r="E22" s="572">
        <f t="shared" si="1"/>
        <v>25022.499999999996</v>
      </c>
      <c r="G22" s="671"/>
    </row>
    <row r="23" spans="1:7" x14ac:dyDescent="0.2">
      <c r="A23" s="676" t="str">
        <f>+VLOOKUP($B23,'Tên NL'!$B:$C,2,0)</f>
        <v>RICE BRAN SOLVENT</v>
      </c>
      <c r="B23" s="667" t="s">
        <v>1015</v>
      </c>
      <c r="C23" s="1204">
        <v>133.08000000000001</v>
      </c>
      <c r="D23" s="825" t="str">
        <f t="shared" si="0"/>
        <v>RB</v>
      </c>
      <c r="E23" s="572">
        <f t="shared" si="1"/>
        <v>22180.000000000004</v>
      </c>
      <c r="G23" s="671"/>
    </row>
    <row r="24" spans="1:7" x14ac:dyDescent="0.2">
      <c r="A24" s="676" t="str">
        <f>+VLOOKUP($B24,'Tên NL'!$B:$C,2,0)</f>
        <v>BROKEN RICE</v>
      </c>
      <c r="B24" s="667" t="s">
        <v>2123</v>
      </c>
      <c r="C24" s="1204">
        <v>124.651</v>
      </c>
      <c r="D24" s="825" t="str">
        <f t="shared" si="0"/>
        <v>RC</v>
      </c>
      <c r="E24" s="572">
        <f t="shared" si="1"/>
        <v>20775.166666666668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1547</v>
      </c>
      <c r="C25" s="1204">
        <v>96.581999999999994</v>
      </c>
      <c r="D25" s="825" t="str">
        <f t="shared" si="0"/>
        <v>FO</v>
      </c>
      <c r="E25" s="572">
        <f t="shared" si="1"/>
        <v>16096.999999999998</v>
      </c>
      <c r="G25" s="671"/>
    </row>
    <row r="26" spans="1:7" x14ac:dyDescent="0.2">
      <c r="A26" s="676" t="str">
        <f>+VLOOKUP($B26,'Tên NL'!$B:$C,2,0)</f>
        <v>PORK MEAT &amp; BONE MEAL</v>
      </c>
      <c r="B26" s="667" t="s">
        <v>1788</v>
      </c>
      <c r="C26" s="1204">
        <v>94.92</v>
      </c>
      <c r="D26" s="825" t="str">
        <f t="shared" si="0"/>
        <v>AP</v>
      </c>
      <c r="E26" s="572">
        <f t="shared" si="1"/>
        <v>15820</v>
      </c>
      <c r="G26" s="671"/>
    </row>
    <row r="27" spans="1:7" x14ac:dyDescent="0.2">
      <c r="A27" s="676" t="str">
        <f>+VLOOKUP($B27,'Tên NL'!$B:$C,2,0)</f>
        <v>WHEY POWDER</v>
      </c>
      <c r="B27" s="667" t="s">
        <v>1032</v>
      </c>
      <c r="C27" s="1204">
        <v>89.319000000000003</v>
      </c>
      <c r="D27" s="1724" t="str">
        <f t="shared" si="0"/>
        <v>WY</v>
      </c>
      <c r="E27" s="1725">
        <f t="shared" si="1"/>
        <v>14886.5</v>
      </c>
      <c r="G27" s="671"/>
    </row>
    <row r="28" spans="1:7" x14ac:dyDescent="0.2">
      <c r="A28" s="676" t="str">
        <f>+VLOOKUP($B28,'Tên NL'!$B:$C,2,0)</f>
        <v>DICALCIUM PHOSPHATE</v>
      </c>
      <c r="B28" s="667" t="s">
        <v>2098</v>
      </c>
      <c r="C28" s="1204">
        <v>83.168999999999997</v>
      </c>
      <c r="D28" s="825" t="str">
        <f t="shared" si="0"/>
        <v>MC</v>
      </c>
      <c r="E28" s="572">
        <f t="shared" si="1"/>
        <v>13861.5</v>
      </c>
      <c r="G28" s="671"/>
    </row>
    <row r="29" spans="1:7" x14ac:dyDescent="0.2">
      <c r="A29" s="676" t="str">
        <f>+VLOOKUP($B29,'Tên NL'!$B:$C,2,0)</f>
        <v>SOYTIDE</v>
      </c>
      <c r="B29" s="667" t="s">
        <v>1779</v>
      </c>
      <c r="C29" s="1204">
        <v>56.46</v>
      </c>
      <c r="D29" s="825" t="str">
        <f t="shared" si="0"/>
        <v>PR</v>
      </c>
      <c r="E29" s="572">
        <f t="shared" si="1"/>
        <v>9410</v>
      </c>
      <c r="G29" s="671"/>
    </row>
    <row r="30" spans="1:7" x14ac:dyDescent="0.2">
      <c r="A30" s="676" t="str">
        <f>+VLOOKUP($B30,'Tên NL'!$B:$C,2,0)</f>
        <v>MSG By-products</v>
      </c>
      <c r="B30" s="667" t="s">
        <v>1024</v>
      </c>
      <c r="C30" s="1204">
        <v>53.241999999999997</v>
      </c>
      <c r="D30" s="825" t="str">
        <f t="shared" si="0"/>
        <v>VE</v>
      </c>
      <c r="E30" s="572">
        <f t="shared" si="1"/>
        <v>8873.6666666666661</v>
      </c>
      <c r="G30" s="671"/>
    </row>
    <row r="31" spans="1:7" x14ac:dyDescent="0.2">
      <c r="A31" s="676" t="str">
        <f>+VLOOKUP($B31,'Tên NL'!$B:$C,2,0)</f>
        <v>CORN</v>
      </c>
      <c r="B31" s="667" t="s">
        <v>1278</v>
      </c>
      <c r="C31" s="1204">
        <v>51.5</v>
      </c>
      <c r="D31" s="825" t="str">
        <f t="shared" si="0"/>
        <v>CR</v>
      </c>
      <c r="E31" s="572">
        <f t="shared" si="1"/>
        <v>8583.3333333333339</v>
      </c>
      <c r="G31" s="671"/>
    </row>
    <row r="32" spans="1:7" x14ac:dyDescent="0.2">
      <c r="A32" s="676" t="str">
        <f>+VLOOKUP($B32,'Tên NL'!$B:$C,2,0)</f>
        <v>Deproteinized Whey</v>
      </c>
      <c r="B32" s="667" t="s">
        <v>1029</v>
      </c>
      <c r="C32" s="1204">
        <v>49.506</v>
      </c>
      <c r="D32" s="825" t="str">
        <f t="shared" si="0"/>
        <v>WY</v>
      </c>
      <c r="E32" s="572">
        <f t="shared" si="1"/>
        <v>8251</v>
      </c>
      <c r="G32" s="671"/>
    </row>
    <row r="33" spans="1:7" x14ac:dyDescent="0.2">
      <c r="A33" s="676" t="str">
        <f>+VLOOKUP($B33,'Tên NL'!$B:$C,2,0)</f>
        <v>BREWER'S DRIED GRAIN</v>
      </c>
      <c r="B33" s="667" t="s">
        <v>1020</v>
      </c>
      <c r="C33" s="1204">
        <v>44.895000000000003</v>
      </c>
      <c r="D33" s="825" t="str">
        <f t="shared" si="0"/>
        <v>BD</v>
      </c>
      <c r="E33" s="572">
        <f t="shared" si="1"/>
        <v>7482.5000000000009</v>
      </c>
      <c r="G33" s="671"/>
    </row>
    <row r="34" spans="1:7" x14ac:dyDescent="0.2">
      <c r="A34" s="676" t="str">
        <f>+VLOOKUP($B34,'Tên NL'!$B:$C,2,0)</f>
        <v>SEA SALT</v>
      </c>
      <c r="B34" s="667" t="s">
        <v>1036</v>
      </c>
      <c r="C34" s="1204">
        <v>37.774000000000001</v>
      </c>
      <c r="D34" s="825" t="str">
        <f t="shared" si="0"/>
        <v>SA</v>
      </c>
      <c r="E34" s="572">
        <f t="shared" si="1"/>
        <v>6295.666666666667</v>
      </c>
      <c r="G34" s="671"/>
    </row>
    <row r="35" spans="1:7" x14ac:dyDescent="0.2">
      <c r="A35" s="676" t="str">
        <f>+VLOOKUP($B35,'Tên NL'!$B:$C,2,0)</f>
        <v>L-Lysine Sulphat 70%</v>
      </c>
      <c r="B35" s="667" t="s">
        <v>1597</v>
      </c>
      <c r="C35" s="1204">
        <v>36.454999999999998</v>
      </c>
      <c r="D35" s="825" t="str">
        <f t="shared" si="0"/>
        <v>LL</v>
      </c>
      <c r="E35" s="572">
        <f t="shared" si="1"/>
        <v>6075.833333333333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1695</v>
      </c>
      <c r="C36" s="1204">
        <v>31.747</v>
      </c>
      <c r="D36" s="825" t="str">
        <f t="shared" si="0"/>
        <v>CA</v>
      </c>
      <c r="E36" s="572">
        <f t="shared" si="1"/>
        <v>5291.1666666666661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27.125</v>
      </c>
      <c r="D37" s="825" t="str">
        <f t="shared" si="0"/>
        <v>DE</v>
      </c>
      <c r="E37" s="572">
        <f t="shared" si="1"/>
        <v>4520.833333333333</v>
      </c>
      <c r="G37" s="671"/>
    </row>
    <row r="38" spans="1:7" x14ac:dyDescent="0.2">
      <c r="A38" s="676" t="str">
        <f>+VLOOKUP($B38,'Tên NL'!$B:$C,2,0)</f>
        <v>DDGS.</v>
      </c>
      <c r="B38" s="667" t="s">
        <v>1553</v>
      </c>
      <c r="C38" s="1204">
        <v>26.331</v>
      </c>
      <c r="D38" s="825" t="str">
        <f t="shared" si="0"/>
        <v>DD</v>
      </c>
      <c r="E38" s="572">
        <f t="shared" si="1"/>
        <v>4388.5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25.138000000000002</v>
      </c>
      <c r="D39" s="825" t="str">
        <f t="shared" si="0"/>
        <v>LL</v>
      </c>
      <c r="E39" s="572">
        <f t="shared" si="1"/>
        <v>4189.666666666667</v>
      </c>
      <c r="G39" s="671"/>
    </row>
    <row r="40" spans="1:7" x14ac:dyDescent="0.2">
      <c r="A40" s="676" t="str">
        <f>+VLOOKUP($B40,'Tên NL'!$B:$C,2,0)</f>
        <v>FEATHER MEAL</v>
      </c>
      <c r="B40" s="667" t="s">
        <v>1033</v>
      </c>
      <c r="C40" s="1204">
        <v>22.664000000000001</v>
      </c>
      <c r="D40" s="825" t="str">
        <f t="shared" si="0"/>
        <v>FE</v>
      </c>
      <c r="E40" s="572">
        <f t="shared" si="1"/>
        <v>3777.3333333333335</v>
      </c>
      <c r="G40" s="671"/>
    </row>
    <row r="41" spans="1:7" x14ac:dyDescent="0.2">
      <c r="A41" s="676" t="str">
        <f>+VLOOKUP($B41,'Tên NL'!$B:$C,2,0)</f>
        <v>Carob Powder</v>
      </c>
      <c r="B41" s="667" t="s">
        <v>999</v>
      </c>
      <c r="C41" s="1204">
        <v>22.53</v>
      </c>
      <c r="D41" s="825" t="str">
        <f t="shared" si="0"/>
        <v>CA</v>
      </c>
      <c r="E41" s="572">
        <f t="shared" si="1"/>
        <v>3755.0000000000005</v>
      </c>
      <c r="G41" s="671"/>
    </row>
    <row r="42" spans="1:7" x14ac:dyDescent="0.2">
      <c r="A42" s="676" t="str">
        <f>+VLOOKUP($B42,'Tên NL'!$B:$C,2,0)</f>
        <v>AMINOPLUS# (USA)</v>
      </c>
      <c r="B42" s="667" t="s">
        <v>1876</v>
      </c>
      <c r="C42" s="1204">
        <v>18.88</v>
      </c>
      <c r="D42" s="825" t="str">
        <f t="shared" si="0"/>
        <v>Am</v>
      </c>
      <c r="E42" s="572">
        <f t="shared" si="1"/>
        <v>3146.6666666666665</v>
      </c>
      <c r="G42" s="671"/>
    </row>
    <row r="43" spans="1:7" x14ac:dyDescent="0.2">
      <c r="A43" s="676" t="str">
        <f>+VLOOKUP($B43,'Tên NL'!$B:$C,2,0)</f>
        <v>Rumifat Plus (Malaysia)</v>
      </c>
      <c r="B43" s="667" t="s">
        <v>1766</v>
      </c>
      <c r="C43" s="1204">
        <v>17.908999999999999</v>
      </c>
      <c r="D43" s="825" t="str">
        <f t="shared" si="0"/>
        <v>Ru</v>
      </c>
      <c r="E43" s="572">
        <f t="shared" si="1"/>
        <v>2984.833333333333</v>
      </c>
      <c r="G43" s="671"/>
    </row>
    <row r="44" spans="1:7" x14ac:dyDescent="0.2">
      <c r="A44" s="676" t="str">
        <f>+VLOOKUP($B44,'Tên NL'!$B:$C,2,0)</f>
        <v>Betafin LQD 38% (Finland)</v>
      </c>
      <c r="B44" s="667" t="s">
        <v>1043</v>
      </c>
      <c r="C44" s="1204">
        <v>16.445</v>
      </c>
      <c r="D44" s="825" t="str">
        <f t="shared" si="0"/>
        <v>Be</v>
      </c>
      <c r="E44" s="572">
        <f t="shared" si="1"/>
        <v>2740.833333333333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15.523999999999999</v>
      </c>
      <c r="D45" s="825" t="str">
        <f t="shared" si="0"/>
        <v>DL</v>
      </c>
      <c r="E45" s="572">
        <f t="shared" si="1"/>
        <v>2587.333333333333</v>
      </c>
      <c r="G45" s="671"/>
    </row>
    <row r="46" spans="1:7" x14ac:dyDescent="0.2">
      <c r="A46" s="676" t="str">
        <f>+VLOOKUP($B46,'Tên NL'!$B:$C,2,0)</f>
        <v>WHEAT BRAN</v>
      </c>
      <c r="B46" s="667" t="s">
        <v>1034</v>
      </c>
      <c r="C46" s="1204">
        <v>14.7</v>
      </c>
      <c r="D46" s="825" t="str">
        <f t="shared" si="0"/>
        <v>WB</v>
      </c>
      <c r="E46" s="572">
        <f t="shared" si="1"/>
        <v>2449.9999999999995</v>
      </c>
      <c r="G46" s="671"/>
    </row>
    <row r="47" spans="1:7" x14ac:dyDescent="0.2">
      <c r="A47" s="676" t="str">
        <f>+VLOOKUP($B47,'Tên NL'!$B:$C,2,0)</f>
        <v>Myco curb liquid</v>
      </c>
      <c r="B47" s="667" t="s">
        <v>1041</v>
      </c>
      <c r="C47" s="1204">
        <v>13.834</v>
      </c>
      <c r="D47" s="825" t="str">
        <f t="shared" si="0"/>
        <v>MY</v>
      </c>
      <c r="E47" s="572">
        <f t="shared" si="1"/>
        <v>2305.666666666667</v>
      </c>
      <c r="G47" s="671"/>
    </row>
    <row r="48" spans="1:7" x14ac:dyDescent="0.2">
      <c r="A48" s="676" t="str">
        <f>+VLOOKUP($B48,'Tên NL'!$B:$C,2,0)</f>
        <v>SOY HULL</v>
      </c>
      <c r="B48" s="667" t="s">
        <v>1679</v>
      </c>
      <c r="C48" s="1204">
        <v>13.343</v>
      </c>
      <c r="D48" s="825" t="str">
        <f t="shared" si="0"/>
        <v>SO</v>
      </c>
      <c r="E48" s="572">
        <f t="shared" si="1"/>
        <v>2223.8333333333335</v>
      </c>
      <c r="G48" s="671"/>
    </row>
    <row r="49" spans="1:7" x14ac:dyDescent="0.2">
      <c r="A49" s="676" t="str">
        <f>+VLOOKUP($B49,'Tên NL'!$B:$C,2,0)</f>
        <v>L-Threonine (China)</v>
      </c>
      <c r="B49" s="667" t="s">
        <v>1040</v>
      </c>
      <c r="C49" s="1204">
        <v>12.762</v>
      </c>
      <c r="D49" s="825" t="str">
        <f t="shared" si="0"/>
        <v>L-</v>
      </c>
      <c r="E49" s="572">
        <f t="shared" si="1"/>
        <v>2127</v>
      </c>
      <c r="G49" s="671"/>
    </row>
    <row r="50" spans="1:7" x14ac:dyDescent="0.2">
      <c r="A50" s="676" t="str">
        <f>+VLOOKUP($B50,'Tên NL'!$B:$C,2,0)</f>
        <v>L-lysine Liquid lysine feed grade (Indo)</v>
      </c>
      <c r="B50" s="667" t="s">
        <v>1315</v>
      </c>
      <c r="C50" s="1204">
        <v>10.452</v>
      </c>
      <c r="D50" s="825" t="str">
        <f t="shared" si="0"/>
        <v>L-</v>
      </c>
      <c r="E50" s="572">
        <f t="shared" si="1"/>
        <v>1742</v>
      </c>
      <c r="G50" s="671"/>
    </row>
    <row r="51" spans="1:7" x14ac:dyDescent="0.2">
      <c r="A51" s="676" t="str">
        <f>+VLOOKUP($B51,'Tên NL'!$B:$C,2,0)</f>
        <v>LIMESTONE (COARSE)</v>
      </c>
      <c r="B51" s="667" t="s">
        <v>1390</v>
      </c>
      <c r="C51" s="1204">
        <v>10.199999999999999</v>
      </c>
      <c r="D51" s="825" t="str">
        <f t="shared" si="0"/>
        <v>LS</v>
      </c>
      <c r="E51" s="572">
        <f t="shared" si="1"/>
        <v>1700</v>
      </c>
      <c r="G51" s="671"/>
    </row>
    <row r="52" spans="1:7" x14ac:dyDescent="0.2">
      <c r="A52" s="676" t="str">
        <f>+VLOOKUP($B52,'Tên NL'!$B:$C,2,0)</f>
        <v>Calcium feed</v>
      </c>
      <c r="B52" s="667" t="s">
        <v>1042</v>
      </c>
      <c r="C52" s="1204">
        <v>9.7330000000000005</v>
      </c>
      <c r="D52" s="825" t="str">
        <f t="shared" si="0"/>
        <v>LS</v>
      </c>
      <c r="E52" s="572">
        <f t="shared" si="1"/>
        <v>1622.1666666666667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9.16</v>
      </c>
      <c r="D53" s="825" t="str">
        <f t="shared" si="0"/>
        <v>SO</v>
      </c>
      <c r="E53" s="572">
        <f t="shared" si="1"/>
        <v>1526.6666666666665</v>
      </c>
      <c r="G53" s="671"/>
    </row>
    <row r="54" spans="1:7" x14ac:dyDescent="0.2">
      <c r="A54" s="676" t="str">
        <f>+VLOOKUP($B54,'Tên NL'!$B:$C,2,0)</f>
        <v>UREA</v>
      </c>
      <c r="B54" s="667" t="s">
        <v>1000</v>
      </c>
      <c r="C54" s="1204">
        <v>8.6549999999999994</v>
      </c>
      <c r="D54" s="825" t="str">
        <f t="shared" si="0"/>
        <v>UR</v>
      </c>
      <c r="E54" s="572">
        <f t="shared" si="1"/>
        <v>1442.5</v>
      </c>
      <c r="G54" s="671"/>
    </row>
    <row r="55" spans="1:7" x14ac:dyDescent="0.2">
      <c r="A55" s="676" t="str">
        <f>+VLOOKUP($B55,'Tên NL'!$B:$C,2,0)</f>
        <v>BROKEN RICE</v>
      </c>
      <c r="B55" s="667" t="s">
        <v>1697</v>
      </c>
      <c r="C55" s="1204">
        <v>8</v>
      </c>
      <c r="D55" s="825" t="str">
        <f t="shared" si="0"/>
        <v>RC</v>
      </c>
      <c r="E55" s="572">
        <f t="shared" si="1"/>
        <v>1333.3333333333333</v>
      </c>
      <c r="G55" s="671"/>
    </row>
    <row r="56" spans="1:7" x14ac:dyDescent="0.2">
      <c r="A56" s="676" t="str">
        <f>+VLOOKUP($B56,'Tên NL'!$B:$C,2,0)</f>
        <v>Choline Chloride (BELGIUM)</v>
      </c>
      <c r="B56" s="667" t="s">
        <v>1045</v>
      </c>
      <c r="C56" s="1204">
        <v>6.9279999999999999</v>
      </c>
      <c r="D56" s="825" t="str">
        <f t="shared" si="0"/>
        <v>CC</v>
      </c>
      <c r="E56" s="572">
        <f t="shared" si="1"/>
        <v>1154.6666666666667</v>
      </c>
      <c r="G56" s="671"/>
    </row>
    <row r="57" spans="1:7" x14ac:dyDescent="0.2">
      <c r="A57" s="676" t="str">
        <f>+VLOOKUP($B57,'Tên NL'!$B:$C,2,0)</f>
        <v>Acid Lac Premium Liquip (Singapore)</v>
      </c>
      <c r="B57" s="667" t="s">
        <v>1046</v>
      </c>
      <c r="C57" s="1204">
        <v>6.657</v>
      </c>
      <c r="D57" s="825" t="str">
        <f t="shared" si="0"/>
        <v>AC</v>
      </c>
      <c r="E57" s="572">
        <f t="shared" si="1"/>
        <v>1109.5</v>
      </c>
      <c r="G57" s="671"/>
    </row>
    <row r="58" spans="1:7" x14ac:dyDescent="0.2">
      <c r="A58" s="676" t="str">
        <f>+VLOOKUP($B58,'Tên NL'!$B:$C,2,0)</f>
        <v>Pangasius Fish Oil</v>
      </c>
      <c r="B58" s="667" t="s">
        <v>1548</v>
      </c>
      <c r="C58" s="1204">
        <v>5.78</v>
      </c>
      <c r="D58" s="825" t="str">
        <f t="shared" si="0"/>
        <v>FO</v>
      </c>
      <c r="E58" s="572">
        <f t="shared" si="1"/>
        <v>963.33333333333337</v>
      </c>
      <c r="G58" s="671"/>
    </row>
    <row r="59" spans="1:7" x14ac:dyDescent="0.2">
      <c r="A59" s="676" t="str">
        <f>+VLOOKUP($B59,'Tên NL'!$B:$C,2,0)</f>
        <v>MS SWINE 0314</v>
      </c>
      <c r="B59" s="667" t="s">
        <v>1050</v>
      </c>
      <c r="C59" s="1204">
        <v>5.5810000000000004</v>
      </c>
      <c r="D59" s="825" t="str">
        <f t="shared" si="0"/>
        <v>MS</v>
      </c>
      <c r="E59" s="572">
        <f t="shared" si="1"/>
        <v>930.16666666666674</v>
      </c>
      <c r="G59" s="671"/>
    </row>
    <row r="60" spans="1:7" x14ac:dyDescent="0.2">
      <c r="A60" s="676" t="str">
        <f>+VLOOKUP($B60,'Tên NL'!$B:$C,2,0)</f>
        <v>ALLPLEX GF (USA)</v>
      </c>
      <c r="B60" s="667" t="s">
        <v>1048</v>
      </c>
      <c r="C60" s="1204">
        <v>5.1520000000000001</v>
      </c>
      <c r="D60" s="825" t="str">
        <f t="shared" si="0"/>
        <v>AL</v>
      </c>
      <c r="E60" s="572">
        <f t="shared" si="1"/>
        <v>858.66666666666674</v>
      </c>
      <c r="G60" s="671"/>
    </row>
    <row r="61" spans="1:7" x14ac:dyDescent="0.2">
      <c r="A61" s="676" t="str">
        <f>+VLOOKUP($B61,'Tên NL'!$B:$C,2,0)</f>
        <v>Nutracor (Malaysia)</v>
      </c>
      <c r="B61" s="667" t="s">
        <v>1789</v>
      </c>
      <c r="C61" s="1204">
        <v>4.8499999999999996</v>
      </c>
      <c r="D61" s="825" t="str">
        <f t="shared" si="0"/>
        <v>Nu</v>
      </c>
      <c r="E61" s="572">
        <f t="shared" si="1"/>
        <v>808.33333333333326</v>
      </c>
      <c r="G61" s="671"/>
    </row>
    <row r="62" spans="1:7" x14ac:dyDescent="0.2">
      <c r="A62" s="676" t="str">
        <f>+VLOOKUP($B62,'Tên NL'!$B:$C,2,0)</f>
        <v>DPS 50(USA)</v>
      </c>
      <c r="B62" s="667" t="s">
        <v>1149</v>
      </c>
      <c r="C62" s="1204">
        <v>4.6849999999999996</v>
      </c>
      <c r="D62" s="825" t="str">
        <f t="shared" si="0"/>
        <v>DP</v>
      </c>
      <c r="E62" s="572">
        <f t="shared" si="1"/>
        <v>780.83333333333326</v>
      </c>
      <c r="G62" s="671"/>
    </row>
    <row r="63" spans="1:7" x14ac:dyDescent="0.2">
      <c r="A63" s="676" t="str">
        <f>+VLOOKUP($B63,'Tên NL'!$B:$C,2,0)</f>
        <v>Zinc Oxide</v>
      </c>
      <c r="B63" s="667" t="s">
        <v>1554</v>
      </c>
      <c r="C63" s="1204">
        <v>4.4619999999999997</v>
      </c>
      <c r="D63" s="825" t="str">
        <f t="shared" si="0"/>
        <v>ZI</v>
      </c>
      <c r="E63" s="572">
        <f t="shared" si="1"/>
        <v>743.66666666666663</v>
      </c>
      <c r="G63" s="671"/>
    </row>
    <row r="64" spans="1:7" x14ac:dyDescent="0.2">
      <c r="A64" s="676" t="str">
        <f>+VLOOKUP($B64,'Tên NL'!$B:$C,2,0)</f>
        <v>Premix Amnil</v>
      </c>
      <c r="B64" s="667" t="s">
        <v>1682</v>
      </c>
      <c r="C64" s="1204">
        <v>4.3289999999999997</v>
      </c>
      <c r="D64" s="825" t="str">
        <f t="shared" si="0"/>
        <v>PR</v>
      </c>
      <c r="E64" s="572">
        <f t="shared" si="1"/>
        <v>721.49999999999989</v>
      </c>
      <c r="F64" s="672"/>
      <c r="G64" s="673"/>
    </row>
    <row r="65" spans="1:5" x14ac:dyDescent="0.2">
      <c r="A65" s="676" t="str">
        <f>+VLOOKUP($B65,'Tên NL'!$B:$C,2,0)</f>
        <v>Sodium Bicabonate</v>
      </c>
      <c r="B65" s="667" t="s">
        <v>1131</v>
      </c>
      <c r="C65" s="1204">
        <v>3.6840000000000002</v>
      </c>
      <c r="D65" s="825" t="str">
        <f t="shared" si="0"/>
        <v>SB</v>
      </c>
      <c r="E65" s="572">
        <f t="shared" si="1"/>
        <v>614</v>
      </c>
    </row>
    <row r="66" spans="1:5" x14ac:dyDescent="0.2">
      <c r="A66" s="676" t="str">
        <f>+VLOOKUP($B66,'Tên NL'!$B:$C,2,0)</f>
        <v>ALLPLEX S (USA)</v>
      </c>
      <c r="B66" s="667" t="s">
        <v>1052</v>
      </c>
      <c r="C66" s="1204">
        <v>3.133</v>
      </c>
      <c r="D66" s="825" t="str">
        <f t="shared" si="0"/>
        <v>AL</v>
      </c>
      <c r="E66" s="572">
        <f t="shared" si="1"/>
        <v>522.16666666666663</v>
      </c>
    </row>
    <row r="67" spans="1:5" x14ac:dyDescent="0.2">
      <c r="A67" s="676" t="str">
        <f>+VLOOKUP($B67,'Tên NL'!$B:$C,2,0)</f>
        <v>Premix 52M</v>
      </c>
      <c r="B67" s="667" t="s">
        <v>1049</v>
      </c>
      <c r="C67" s="1204">
        <v>3.0779999999999998</v>
      </c>
      <c r="D67" s="825" t="str">
        <f t="shared" si="0"/>
        <v>52</v>
      </c>
      <c r="E67" s="572">
        <f t="shared" si="1"/>
        <v>513</v>
      </c>
    </row>
    <row r="68" spans="1:5" x14ac:dyDescent="0.2">
      <c r="A68" s="676" t="str">
        <f>+VLOOKUP($B68,'Tên NL'!$B:$C,2,0)</f>
        <v>L-Tryptophan</v>
      </c>
      <c r="B68" s="667" t="s">
        <v>1054</v>
      </c>
      <c r="C68" s="1204">
        <v>2.8780000000000001</v>
      </c>
      <c r="D68" s="825" t="str">
        <f t="shared" si="0"/>
        <v>L-</v>
      </c>
      <c r="E68" s="572">
        <f t="shared" si="1"/>
        <v>479.66666666666669</v>
      </c>
    </row>
    <row r="69" spans="1:5" x14ac:dyDescent="0.2">
      <c r="A69" s="676" t="str">
        <f>+VLOOKUP($B69,'Tên NL'!$B:$C,2,0)</f>
        <v>L-Valine (China)</v>
      </c>
      <c r="B69" s="667" t="s">
        <v>1264</v>
      </c>
      <c r="C69" s="1204">
        <v>2.6920000000000002</v>
      </c>
      <c r="D69" s="825" t="str">
        <f t="shared" si="0"/>
        <v>L-</v>
      </c>
      <c r="E69" s="572">
        <f t="shared" si="1"/>
        <v>448.66666666666669</v>
      </c>
    </row>
    <row r="70" spans="1:5" x14ac:dyDescent="0.2">
      <c r="A70" s="676" t="str">
        <f>+VLOOKUP($B70,'Tên NL'!$B:$C,2,0)</f>
        <v>Rumifat R100 (Malaysia)</v>
      </c>
      <c r="B70" s="667" t="s">
        <v>1768</v>
      </c>
      <c r="C70" s="1204">
        <v>2.593</v>
      </c>
      <c r="D70" s="825" t="str">
        <f t="shared" si="0"/>
        <v>Ru</v>
      </c>
      <c r="E70" s="572">
        <f t="shared" si="1"/>
        <v>432.16666666666663</v>
      </c>
    </row>
    <row r="71" spans="1:5" x14ac:dyDescent="0.2">
      <c r="A71" s="676" t="str">
        <f>+VLOOKUP($B71,'Tên NL'!$B:$C,2,0)</f>
        <v>Premix 51V</v>
      </c>
      <c r="B71" s="667" t="s">
        <v>1056</v>
      </c>
      <c r="C71" s="1204">
        <v>2.1829999999999998</v>
      </c>
      <c r="D71" s="825" t="str">
        <f t="shared" ref="D71:D134" si="2">LEFT(B71,2)</f>
        <v>51</v>
      </c>
      <c r="E71" s="572">
        <f t="shared" ref="E71:E134" si="3">C71/$D$4*1000</f>
        <v>363.83333333333331</v>
      </c>
    </row>
    <row r="72" spans="1:5" x14ac:dyDescent="0.2">
      <c r="A72" s="676" t="str">
        <f>+VLOOKUP($B72,'Tên NL'!$B:$C,2,0)</f>
        <v>Avi - Mul Top Feed Grade (Italy)</v>
      </c>
      <c r="B72" s="667" t="s">
        <v>1055</v>
      </c>
      <c r="C72" s="1204">
        <v>2.1549999999999998</v>
      </c>
      <c r="D72" s="825" t="str">
        <f t="shared" si="2"/>
        <v>AV</v>
      </c>
      <c r="E72" s="572">
        <f t="shared" si="3"/>
        <v>359.16666666666663</v>
      </c>
    </row>
    <row r="73" spans="1:5" x14ac:dyDescent="0.2">
      <c r="A73" s="676" t="str">
        <f>+VLOOKUP($B73,'Tên NL'!$B:$C,2,0)</f>
        <v>Rhodimet AT88 (China)</v>
      </c>
      <c r="B73" s="667" t="s">
        <v>1837</v>
      </c>
      <c r="C73" s="1204">
        <v>2.1520000000000001</v>
      </c>
      <c r="D73" s="825" t="str">
        <f t="shared" si="2"/>
        <v>RH</v>
      </c>
      <c r="E73" s="572">
        <f t="shared" si="3"/>
        <v>358.66666666666669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RED 2%</v>
      </c>
      <c r="B101" s="667" t="s">
        <v>1002</v>
      </c>
      <c r="C101" s="1204">
        <v>2.1040000000000001</v>
      </c>
      <c r="D101" s="825" t="str">
        <f t="shared" si="2"/>
        <v>PM</v>
      </c>
      <c r="E101" s="572">
        <f t="shared" si="3"/>
        <v>350.66666666666669</v>
      </c>
    </row>
    <row r="102" spans="1:5" x14ac:dyDescent="0.2">
      <c r="A102" s="676" t="str">
        <f>+VLOOKUP($B102,'Tên NL'!$B:$C,2,0)</f>
        <v>Acid Buf 10 (Ireland)</v>
      </c>
      <c r="B102" s="667" t="s">
        <v>1782</v>
      </c>
      <c r="C102" s="1204">
        <v>2.0790000000000002</v>
      </c>
      <c r="D102" s="825" t="str">
        <f t="shared" si="2"/>
        <v>AC</v>
      </c>
      <c r="E102" s="572">
        <f t="shared" si="3"/>
        <v>346.50000000000006</v>
      </c>
    </row>
    <row r="103" spans="1:5" x14ac:dyDescent="0.2">
      <c r="A103" s="676" t="str">
        <f>+VLOOKUP($B103,'Tên NL'!$B:$C,2,0)</f>
        <v>Rovabio max Advance L (Belgium)</v>
      </c>
      <c r="B103" s="667" t="s">
        <v>1350</v>
      </c>
      <c r="C103" s="1204">
        <v>2.0059999999999998</v>
      </c>
      <c r="D103" s="825" t="str">
        <f t="shared" si="2"/>
        <v>Ro</v>
      </c>
      <c r="E103" s="572">
        <f t="shared" si="3"/>
        <v>334.33333333333331</v>
      </c>
    </row>
    <row r="104" spans="1:5" x14ac:dyDescent="0.2">
      <c r="A104" s="676" t="str">
        <f>+VLOOKUP($B104,'Tên NL'!$B:$C,2,0)</f>
        <v>Premix 52V</v>
      </c>
      <c r="B104" s="667" t="s">
        <v>1057</v>
      </c>
      <c r="C104" s="1204">
        <v>1.994</v>
      </c>
      <c r="D104" s="825" t="str">
        <f t="shared" si="2"/>
        <v>52</v>
      </c>
      <c r="E104" s="572">
        <f t="shared" si="3"/>
        <v>332.33333333333331</v>
      </c>
    </row>
    <row r="105" spans="1:5" x14ac:dyDescent="0.2">
      <c r="A105" s="676" t="str">
        <f>+VLOOKUP($B105,'Tên NL'!$B:$C,2,0)</f>
        <v>Premix 52SV</v>
      </c>
      <c r="B105" s="667" t="s">
        <v>1064</v>
      </c>
      <c r="C105" s="1204">
        <v>1.8120000000000001</v>
      </c>
      <c r="D105" s="825" t="str">
        <f t="shared" si="2"/>
        <v>52</v>
      </c>
      <c r="E105" s="572">
        <f t="shared" si="3"/>
        <v>302</v>
      </c>
    </row>
    <row r="106" spans="1:5" x14ac:dyDescent="0.2">
      <c r="A106" s="676" t="str">
        <f>+VLOOKUP($B106,'Tên NL'!$B:$C,2,0)</f>
        <v>Availa-ZN 120</v>
      </c>
      <c r="B106" s="667" t="s">
        <v>1069</v>
      </c>
      <c r="C106" s="1204">
        <v>1.7130000000000001</v>
      </c>
      <c r="D106" s="825" t="str">
        <f t="shared" si="2"/>
        <v>AV</v>
      </c>
      <c r="E106" s="572">
        <f t="shared" si="3"/>
        <v>285.50000000000006</v>
      </c>
    </row>
    <row r="107" spans="1:5" x14ac:dyDescent="0.2">
      <c r="A107" s="676" t="str">
        <f>+VLOOKUP($B107,'Tên NL'!$B:$C,2,0)</f>
        <v>M-Tox Plus</v>
      </c>
      <c r="B107" s="667" t="s">
        <v>51</v>
      </c>
      <c r="C107" s="1204">
        <v>1.4970000000000001</v>
      </c>
      <c r="D107" s="825" t="str">
        <f t="shared" si="2"/>
        <v>M-</v>
      </c>
      <c r="E107" s="572">
        <f t="shared" si="3"/>
        <v>249.50000000000003</v>
      </c>
    </row>
    <row r="108" spans="1:5" x14ac:dyDescent="0.2">
      <c r="A108" s="676" t="str">
        <f>+VLOOKUP($B108,'Tên NL'!$B:$C,2,0)</f>
        <v>Kessent MF Dry (Singapore)</v>
      </c>
      <c r="B108" s="667" t="s">
        <v>1772</v>
      </c>
      <c r="C108" s="1204">
        <v>1.232</v>
      </c>
      <c r="D108" s="825" t="str">
        <f t="shared" si="2"/>
        <v>Ke</v>
      </c>
      <c r="E108" s="572">
        <f t="shared" si="3"/>
        <v>205.33333333333334</v>
      </c>
    </row>
    <row r="109" spans="1:5" x14ac:dyDescent="0.2">
      <c r="A109" s="676" t="str">
        <f>+VLOOKUP($B109,'Tên NL'!$B:$C,2,0)</f>
        <v>Intelli Bond C</v>
      </c>
      <c r="B109" s="667" t="s">
        <v>1074</v>
      </c>
      <c r="C109" s="1204">
        <v>1.21</v>
      </c>
      <c r="D109" s="825" t="str">
        <f t="shared" si="2"/>
        <v>Co</v>
      </c>
      <c r="E109" s="572">
        <f t="shared" si="3"/>
        <v>201.66666666666666</v>
      </c>
    </row>
    <row r="110" spans="1:5" x14ac:dyDescent="0.2">
      <c r="A110" s="676" t="str">
        <f>+VLOOKUP($B110,'Tên NL'!$B:$C,2,0)</f>
        <v>MUNG BEAN MEAL</v>
      </c>
      <c r="B110" s="667" t="s">
        <v>2108</v>
      </c>
      <c r="C110" s="1204">
        <v>1.2</v>
      </c>
      <c r="D110" s="825" t="str">
        <f t="shared" si="2"/>
        <v>MU</v>
      </c>
      <c r="E110" s="572">
        <f t="shared" si="3"/>
        <v>199.99999999999997</v>
      </c>
    </row>
    <row r="111" spans="1:5" x14ac:dyDescent="0.2">
      <c r="A111" s="676" t="str">
        <f>+VLOOKUP($B111,'Tên NL'!$B:$C,2,0)</f>
        <v>Premix 10M</v>
      </c>
      <c r="B111" s="667" t="s">
        <v>1058</v>
      </c>
      <c r="C111" s="1204">
        <v>1.1279999999999999</v>
      </c>
      <c r="D111" s="825" t="str">
        <f t="shared" si="2"/>
        <v>PX</v>
      </c>
      <c r="E111" s="572">
        <f t="shared" si="3"/>
        <v>187.99999999999997</v>
      </c>
    </row>
    <row r="112" spans="1:5" x14ac:dyDescent="0.2">
      <c r="A112" s="676" t="str">
        <f>+VLOOKUP($B112,'Tên NL'!$B:$C,2,0)</f>
        <v>Toxy-Nil Dry ( Belgium)</v>
      </c>
      <c r="B112" s="667" t="s">
        <v>1540</v>
      </c>
      <c r="C112" s="1204">
        <v>0.97</v>
      </c>
      <c r="D112" s="825" t="str">
        <f t="shared" si="2"/>
        <v>TO</v>
      </c>
      <c r="E112" s="572">
        <f t="shared" si="3"/>
        <v>161.66666666666666</v>
      </c>
    </row>
    <row r="113" spans="1:6" x14ac:dyDescent="0.2">
      <c r="A113" s="676" t="str">
        <f>+VLOOKUP($B113,'Tên NL'!$B:$C,2,0)</f>
        <v>Premix 67SV</v>
      </c>
      <c r="B113" s="667" t="s">
        <v>1080</v>
      </c>
      <c r="C113" s="1204">
        <v>0.93</v>
      </c>
      <c r="D113" s="825" t="str">
        <f t="shared" si="2"/>
        <v>67</v>
      </c>
      <c r="E113" s="572">
        <f t="shared" si="3"/>
        <v>155</v>
      </c>
    </row>
    <row r="114" spans="1:6" x14ac:dyDescent="0.2">
      <c r="A114" s="676" t="str">
        <f>+VLOOKUP($B114,'Tên NL'!$B:$C,2,0)</f>
        <v>Endox Dry (Singapore)</v>
      </c>
      <c r="B114" s="667" t="s">
        <v>1073</v>
      </c>
      <c r="C114" s="1204">
        <v>0.92</v>
      </c>
      <c r="D114" s="825" t="str">
        <f t="shared" si="2"/>
        <v>EN</v>
      </c>
      <c r="E114" s="572">
        <f t="shared" si="3"/>
        <v>153.33333333333334</v>
      </c>
    </row>
    <row r="115" spans="1:6" x14ac:dyDescent="0.2">
      <c r="A115" s="676" t="str">
        <f>+VLOOKUP($B115,'Tên NL'!$B:$C,2,0)</f>
        <v>Premix 10V</v>
      </c>
      <c r="B115" s="667" t="s">
        <v>1067</v>
      </c>
      <c r="C115" s="1204">
        <v>0.91100000000000003</v>
      </c>
      <c r="D115" s="825" t="str">
        <f t="shared" si="2"/>
        <v>10</v>
      </c>
      <c r="E115" s="572">
        <f t="shared" si="3"/>
        <v>151.83333333333334</v>
      </c>
    </row>
    <row r="116" spans="1:6" x14ac:dyDescent="0.2">
      <c r="A116" s="676" t="str">
        <f>+VLOOKUP($B116,'Tên NL'!$B:$C,2,0)</f>
        <v>GalliPro Tect (Czech Republic)</v>
      </c>
      <c r="B116" s="667" t="s">
        <v>1617</v>
      </c>
      <c r="C116" s="1204">
        <v>0.90100000000000002</v>
      </c>
      <c r="D116" s="825" t="str">
        <f t="shared" si="2"/>
        <v>Ga</v>
      </c>
      <c r="E116" s="572">
        <f t="shared" si="3"/>
        <v>150.16666666666666</v>
      </c>
    </row>
    <row r="117" spans="1:6" x14ac:dyDescent="0.2">
      <c r="A117" s="676" t="str">
        <f>+VLOOKUP($B117,'Tên NL'!$B:$C,2,0)</f>
        <v>Amoxicillin 80%</v>
      </c>
      <c r="B117" s="667" t="s">
        <v>1675</v>
      </c>
      <c r="C117" s="1204">
        <v>0.81</v>
      </c>
      <c r="D117" s="825" t="str">
        <f t="shared" si="2"/>
        <v>AM</v>
      </c>
      <c r="E117" s="572">
        <f t="shared" si="3"/>
        <v>135</v>
      </c>
    </row>
    <row r="118" spans="1:6" x14ac:dyDescent="0.2">
      <c r="A118" s="676" t="str">
        <f>+VLOOKUP($B118,'Tên NL'!$B:$C,2,0)</f>
        <v>L-Arginine (China)</v>
      </c>
      <c r="B118" s="667" t="s">
        <v>1263</v>
      </c>
      <c r="C118" s="1204">
        <v>0.76400000000000001</v>
      </c>
      <c r="D118" s="825" t="str">
        <f t="shared" si="2"/>
        <v>L-</v>
      </c>
      <c r="E118" s="572">
        <f t="shared" si="3"/>
        <v>127.33333333333333</v>
      </c>
    </row>
    <row r="119" spans="1:6" x14ac:dyDescent="0.2">
      <c r="A119" s="676" t="str">
        <f>+VLOOKUP($B119,'Tên NL'!$B:$C,2,0)</f>
        <v>Mycofix Plus 5.0 (Singapore)</v>
      </c>
      <c r="B119" s="667" t="s">
        <v>1491</v>
      </c>
      <c r="C119" s="1204">
        <v>0.72499999999999998</v>
      </c>
      <c r="D119" s="825" t="str">
        <f t="shared" si="2"/>
        <v>MY</v>
      </c>
      <c r="E119" s="572">
        <f t="shared" si="3"/>
        <v>120.83333333333333</v>
      </c>
    </row>
    <row r="120" spans="1:6" x14ac:dyDescent="0.2">
      <c r="A120" s="676" t="str">
        <f>+VLOOKUP($B120,'Tên NL'!$B:$C,2,0)</f>
        <v>ROVABIO ADVANCE T-FLEX 25(SG)</v>
      </c>
      <c r="B120" s="667" t="s">
        <v>1674</v>
      </c>
      <c r="C120" s="1204">
        <v>0.68899999999999995</v>
      </c>
      <c r="D120" s="825" t="str">
        <f t="shared" si="2"/>
        <v>RO</v>
      </c>
      <c r="E120" s="572">
        <f t="shared" si="3"/>
        <v>114.83333333333333</v>
      </c>
    </row>
    <row r="121" spans="1:6" x14ac:dyDescent="0.2">
      <c r="A121" s="676" t="str">
        <f>+VLOOKUP($B121,'Tên NL'!$B:$C,2,0)</f>
        <v>Leader Yellow (China)</v>
      </c>
      <c r="B121" s="667" t="s">
        <v>1066</v>
      </c>
      <c r="C121" s="1204">
        <v>0.61699999999999999</v>
      </c>
      <c r="D121" s="825" t="str">
        <f t="shared" si="2"/>
        <v>MA</v>
      </c>
      <c r="E121" s="572">
        <f t="shared" si="3"/>
        <v>102.83333333333333</v>
      </c>
    </row>
    <row r="122" spans="1:6" x14ac:dyDescent="0.2">
      <c r="A122" s="676" t="str">
        <f>+VLOOKUP($B122,'Tên NL'!$B:$C,2,0)</f>
        <v>FEED GRADE MONTMORILLONITE (CN)</v>
      </c>
      <c r="B122" s="667" t="s">
        <v>1741</v>
      </c>
      <c r="C122" s="1204">
        <v>0.61199999999999999</v>
      </c>
      <c r="D122" s="825" t="str">
        <f t="shared" si="2"/>
        <v>FE</v>
      </c>
      <c r="E122" s="572">
        <f t="shared" si="3"/>
        <v>102</v>
      </c>
    </row>
    <row r="123" spans="1:6" x14ac:dyDescent="0.2">
      <c r="A123" s="676" t="str">
        <f>+VLOOKUP($B123,'Tên NL'!$B:$C,2,0)</f>
        <v>DH VITAMIN PREMIX (ViÖt Nam)</v>
      </c>
      <c r="B123" s="667" t="s">
        <v>1770</v>
      </c>
      <c r="C123" s="1204">
        <v>0.51100000000000001</v>
      </c>
      <c r="D123" s="825" t="str">
        <f t="shared" si="2"/>
        <v>VN</v>
      </c>
      <c r="E123" s="572">
        <f t="shared" si="3"/>
        <v>85.166666666666671</v>
      </c>
      <c r="F123" s="678"/>
    </row>
    <row r="124" spans="1:6" x14ac:dyDescent="0.2">
      <c r="A124" s="676" t="str">
        <f>+VLOOKUP($B124,'Tên NL'!$B:$C,2,0)</f>
        <v>Tilmovet 20% Granular Premix (Bulgaria)</v>
      </c>
      <c r="B124" s="667" t="s">
        <v>2099</v>
      </c>
      <c r="C124" s="1204">
        <v>0.50900000000000001</v>
      </c>
      <c r="D124" s="825" t="str">
        <f t="shared" si="2"/>
        <v>TI</v>
      </c>
      <c r="E124" s="572">
        <f t="shared" si="3"/>
        <v>84.833333333333329</v>
      </c>
    </row>
    <row r="125" spans="1:6" x14ac:dyDescent="0.2">
      <c r="A125" s="676" t="str">
        <f>+VLOOKUP($B125,'Tên NL'!$B:$C,2,0)</f>
        <v>Pigortek 659 (France)</v>
      </c>
      <c r="B125" s="667" t="s">
        <v>773</v>
      </c>
      <c r="C125" s="1204">
        <v>0.44600000000000001</v>
      </c>
      <c r="D125" s="825" t="str">
        <f t="shared" si="2"/>
        <v>PI</v>
      </c>
      <c r="E125" s="572">
        <f t="shared" si="3"/>
        <v>74.333333333333329</v>
      </c>
    </row>
    <row r="126" spans="1:6" x14ac:dyDescent="0.2">
      <c r="A126" s="676" t="str">
        <f>+VLOOKUP($B126,'Tên NL'!$B:$C,2,0)</f>
        <v>Tiamutin 80%</v>
      </c>
      <c r="B126" s="667" t="s">
        <v>2124</v>
      </c>
      <c r="C126" s="1204">
        <v>0.42799999999999999</v>
      </c>
      <c r="D126" s="825" t="str">
        <f t="shared" si="2"/>
        <v>TR</v>
      </c>
      <c r="E126" s="572">
        <f t="shared" si="3"/>
        <v>71.333333333333329</v>
      </c>
    </row>
    <row r="127" spans="1:6" x14ac:dyDescent="0.2">
      <c r="A127" s="676" t="str">
        <f>+VLOOKUP($B127,'Tên NL'!$B:$C,2,0)</f>
        <v>Stearolac 90 (Malaysia)</v>
      </c>
      <c r="B127" s="667" t="s">
        <v>2100</v>
      </c>
      <c r="C127" s="1204">
        <v>0.42099999999999999</v>
      </c>
      <c r="D127" s="825" t="str">
        <f t="shared" si="2"/>
        <v>St</v>
      </c>
      <c r="E127" s="572">
        <f t="shared" si="3"/>
        <v>70.166666666666671</v>
      </c>
    </row>
    <row r="128" spans="1:6" x14ac:dyDescent="0.2">
      <c r="A128" s="676" t="str">
        <f>+VLOOKUP($B128,'Tên NL'!$B:$C,2,0)</f>
        <v>Premix 48V</v>
      </c>
      <c r="B128" s="667" t="s">
        <v>1084</v>
      </c>
      <c r="C128" s="1204">
        <v>0.40799999999999997</v>
      </c>
      <c r="D128" s="825" t="str">
        <f t="shared" si="2"/>
        <v>48</v>
      </c>
      <c r="E128" s="572">
        <f t="shared" si="3"/>
        <v>67.999999999999986</v>
      </c>
    </row>
    <row r="129" spans="1:5" x14ac:dyDescent="0.2">
      <c r="A129" s="676" t="str">
        <f>+VLOOKUP($B129,'Tên NL'!$B:$C,2,0)</f>
        <v>Novasil Plus</v>
      </c>
      <c r="B129" s="667" t="s">
        <v>1068</v>
      </c>
      <c r="C129" s="1204">
        <v>0.39200000000000002</v>
      </c>
      <c r="D129" s="825" t="str">
        <f t="shared" si="2"/>
        <v>NO</v>
      </c>
      <c r="E129" s="572">
        <f t="shared" si="3"/>
        <v>65.333333333333343</v>
      </c>
    </row>
    <row r="130" spans="1:5" x14ac:dyDescent="0.2">
      <c r="A130" s="676" t="str">
        <f>+VLOOKUP($B130,'Tên NL'!$B:$C,2,0)</f>
        <v>Premix 66V</v>
      </c>
      <c r="B130" s="667" t="s">
        <v>1091</v>
      </c>
      <c r="C130" s="1204">
        <v>0.36299999999999999</v>
      </c>
      <c r="D130" s="825" t="str">
        <f t="shared" si="2"/>
        <v>PX</v>
      </c>
      <c r="E130" s="572">
        <f t="shared" si="3"/>
        <v>60.5</v>
      </c>
    </row>
    <row r="131" spans="1:5" x14ac:dyDescent="0.2">
      <c r="A131" s="676" t="str">
        <f>+VLOOKUP($B131,'Tên NL'!$B:$C,2,0)</f>
        <v>ROVABIO# PHY PLUS 10000T (SG)</v>
      </c>
      <c r="B131" s="667" t="s">
        <v>1664</v>
      </c>
      <c r="C131" s="1204">
        <v>0.34399999999999997</v>
      </c>
      <c r="D131" s="825" t="str">
        <f t="shared" si="2"/>
        <v>Ro</v>
      </c>
      <c r="E131" s="572">
        <f t="shared" si="3"/>
        <v>57.333333333333329</v>
      </c>
    </row>
    <row r="132" spans="1:5" x14ac:dyDescent="0.2">
      <c r="A132" s="676" t="str">
        <f>+VLOOKUP($B132,'Tên NL'!$B:$C,2,0)</f>
        <v>Pigfen 40mg/g (Bulgaria)</v>
      </c>
      <c r="B132" s="667" t="s">
        <v>1088</v>
      </c>
      <c r="C132" s="1204">
        <v>0.32</v>
      </c>
      <c r="D132" s="825" t="str">
        <f t="shared" si="2"/>
        <v>PI</v>
      </c>
      <c r="E132" s="572">
        <f t="shared" si="3"/>
        <v>53.333333333333336</v>
      </c>
    </row>
    <row r="133" spans="1:5" x14ac:dyDescent="0.2">
      <c r="A133" s="676" t="str">
        <f>+VLOOKUP($B133,'Tên NL'!$B:$C,2,0)</f>
        <v>Premix MC-0697</v>
      </c>
      <c r="B133" s="667" t="s">
        <v>1070</v>
      </c>
      <c r="C133" s="1204">
        <v>0.28000000000000003</v>
      </c>
      <c r="D133" s="825" t="str">
        <f t="shared" si="2"/>
        <v>MC</v>
      </c>
      <c r="E133" s="572">
        <f t="shared" si="3"/>
        <v>46.666666666666671</v>
      </c>
    </row>
    <row r="134" spans="1:5" x14ac:dyDescent="0.2">
      <c r="A134" s="676" t="str">
        <f>+VLOOKUP($B134,'Tên NL'!$B:$C,2,0)</f>
        <v>Sacox 120 (Bulgaria)</v>
      </c>
      <c r="B134" s="667" t="s">
        <v>1338</v>
      </c>
      <c r="C134" s="1204">
        <v>0.26100000000000001</v>
      </c>
      <c r="D134" s="825" t="str">
        <f t="shared" si="2"/>
        <v>SA</v>
      </c>
      <c r="E134" s="572">
        <f t="shared" si="3"/>
        <v>43.500000000000007</v>
      </c>
    </row>
    <row r="135" spans="1:5" x14ac:dyDescent="0.2">
      <c r="A135" s="676" t="str">
        <f>+VLOOKUP($B135,'Tên NL'!$B:$C,2,0)</f>
        <v>Mycostatin-20</v>
      </c>
      <c r="B135" s="667" t="s">
        <v>1096</v>
      </c>
      <c r="C135" s="1204">
        <v>0.23599999999999999</v>
      </c>
      <c r="D135" s="825" t="str">
        <f t="shared" ref="D135:D198" si="4">LEFT(B135,2)</f>
        <v>MY</v>
      </c>
      <c r="E135" s="572">
        <f t="shared" ref="E135:E198" si="5">C135/$D$4*1000</f>
        <v>39.333333333333329</v>
      </c>
    </row>
    <row r="136" spans="1:5" x14ac:dyDescent="0.2">
      <c r="A136" s="676" t="str">
        <f>+VLOOKUP($B136,'Tên NL'!$B:$C,2,0)</f>
        <v>Pep 125</v>
      </c>
      <c r="B136" s="667" t="s">
        <v>1094</v>
      </c>
      <c r="C136" s="1204">
        <v>0.23300000000000001</v>
      </c>
      <c r="D136" s="825" t="str">
        <f t="shared" si="4"/>
        <v>BI</v>
      </c>
      <c r="E136" s="572">
        <f t="shared" si="5"/>
        <v>38.833333333333336</v>
      </c>
    </row>
    <row r="137" spans="1:5" x14ac:dyDescent="0.2">
      <c r="A137" s="676" t="str">
        <f>+VLOOKUP($B137,'Tên NL'!$B:$C,2,0)</f>
        <v>Axtra# PRIME 501 T (Singapore)</v>
      </c>
      <c r="B137" s="667" t="s">
        <v>1820</v>
      </c>
      <c r="C137" s="1204">
        <v>0.22900000000000001</v>
      </c>
      <c r="D137" s="825" t="str">
        <f t="shared" si="4"/>
        <v>AX</v>
      </c>
      <c r="E137" s="572">
        <f t="shared" si="5"/>
        <v>38.166666666666671</v>
      </c>
    </row>
    <row r="138" spans="1:5" x14ac:dyDescent="0.2">
      <c r="A138" s="676" t="str">
        <f>+VLOOKUP($B138,'Tên NL'!$B:$C,2,0)</f>
        <v>Roxolin</v>
      </c>
      <c r="B138" s="667" t="s">
        <v>1075</v>
      </c>
      <c r="C138" s="1204">
        <v>0.217</v>
      </c>
      <c r="D138" s="825" t="str">
        <f t="shared" si="4"/>
        <v>QU</v>
      </c>
      <c r="E138" s="572">
        <f t="shared" si="5"/>
        <v>36.166666666666664</v>
      </c>
    </row>
    <row r="139" spans="1:5" x14ac:dyDescent="0.2">
      <c r="A139" s="676" t="str">
        <f>+VLOOKUP($B139,'Tên NL'!$B:$C,2,0)</f>
        <v>Premix MC-0697B</v>
      </c>
      <c r="B139" s="667" t="s">
        <v>1079</v>
      </c>
      <c r="C139" s="1204">
        <v>0.216</v>
      </c>
      <c r="D139" s="825" t="str">
        <f t="shared" si="4"/>
        <v>MC</v>
      </c>
      <c r="E139" s="572">
        <f t="shared" si="5"/>
        <v>36</v>
      </c>
    </row>
    <row r="140" spans="1:5" x14ac:dyDescent="0.2">
      <c r="A140" s="676" t="str">
        <f>+VLOOKUP($B140,'Tên NL'!$B:$C,2,0)</f>
        <v>Sucram (Switzerland)</v>
      </c>
      <c r="B140" s="667" t="s">
        <v>1821</v>
      </c>
      <c r="C140" s="1204">
        <v>0.187</v>
      </c>
      <c r="D140" s="825" t="str">
        <f t="shared" si="4"/>
        <v>SU</v>
      </c>
      <c r="E140" s="572">
        <f t="shared" si="5"/>
        <v>31.166666666666664</v>
      </c>
    </row>
    <row r="141" spans="1:5" x14ac:dyDescent="0.2">
      <c r="A141" s="676" t="str">
        <f>+VLOOKUP($B141,'Tên NL'!$B:$C,2,0)</f>
        <v>CIBENZA DP100 (USA)</v>
      </c>
      <c r="B141" s="667" t="s">
        <v>1619</v>
      </c>
      <c r="C141" s="1204">
        <v>0.186</v>
      </c>
      <c r="D141" s="825" t="str">
        <f t="shared" si="4"/>
        <v>CI</v>
      </c>
      <c r="E141" s="572">
        <f t="shared" si="5"/>
        <v>31</v>
      </c>
    </row>
    <row r="142" spans="1:5" x14ac:dyDescent="0.2">
      <c r="A142" s="676" t="str">
        <f>+VLOOKUP($B142,'Tên NL'!$B:$C,2,0)</f>
        <v>Premix 62PV</v>
      </c>
      <c r="B142" s="667" t="s">
        <v>1098</v>
      </c>
      <c r="C142" s="1204">
        <v>0.17199999999999999</v>
      </c>
      <c r="D142" s="825" t="str">
        <f t="shared" si="4"/>
        <v>PX</v>
      </c>
      <c r="E142" s="572">
        <f t="shared" si="5"/>
        <v>28.666666666666664</v>
      </c>
    </row>
    <row r="143" spans="1:5" x14ac:dyDescent="0.2">
      <c r="A143" s="676" t="str">
        <f>+VLOOKUP($B143,'Tên NL'!$B:$C,2,0)</f>
        <v>Microplex 1000ppm(USA)</v>
      </c>
      <c r="B143" s="667" t="s">
        <v>1083</v>
      </c>
      <c r="C143" s="1204">
        <v>0.152</v>
      </c>
      <c r="D143" s="825" t="str">
        <f t="shared" si="4"/>
        <v>MI</v>
      </c>
      <c r="E143" s="572">
        <f t="shared" si="5"/>
        <v>25.333333333333332</v>
      </c>
    </row>
    <row r="144" spans="1:5" x14ac:dyDescent="0.2">
      <c r="A144" s="676" t="str">
        <f>+VLOOKUP($B144,'Tên NL'!$B:$C,2,0)</f>
        <v>Hizox (France)</v>
      </c>
      <c r="B144" s="667" t="s">
        <v>1087</v>
      </c>
      <c r="C144" s="1204">
        <v>0.14000000000000001</v>
      </c>
      <c r="D144" s="825" t="str">
        <f t="shared" si="4"/>
        <v>Hi</v>
      </c>
      <c r="E144" s="572">
        <f t="shared" si="5"/>
        <v>23.333333333333336</v>
      </c>
    </row>
    <row r="145" spans="1:5" x14ac:dyDescent="0.2">
      <c r="A145" s="676" t="str">
        <f>+VLOOKUP($B145,'Tên NL'!$B:$C,2,0)</f>
        <v>Levucell sb 10 me titan (Poland)</v>
      </c>
      <c r="B145" s="667" t="s">
        <v>1499</v>
      </c>
      <c r="C145" s="1204">
        <v>0.13500000000000001</v>
      </c>
      <c r="D145" s="825" t="str">
        <f t="shared" si="4"/>
        <v>LE</v>
      </c>
      <c r="E145" s="572">
        <f t="shared" si="5"/>
        <v>22.500000000000004</v>
      </c>
    </row>
    <row r="146" spans="1:5" x14ac:dyDescent="0.2">
      <c r="A146" s="676" t="str">
        <f>+VLOOKUP($B146,'Tên NL'!$B:$C,2,0)</f>
        <v>ALLPLEX B (USA)</v>
      </c>
      <c r="B146" s="667" t="s">
        <v>1081</v>
      </c>
      <c r="C146" s="1204">
        <v>0.13500000000000001</v>
      </c>
      <c r="D146" s="825" t="str">
        <f t="shared" si="4"/>
        <v>AL</v>
      </c>
      <c r="E146" s="572">
        <f t="shared" si="5"/>
        <v>22.500000000000004</v>
      </c>
    </row>
    <row r="147" spans="1:5" x14ac:dyDescent="0.2">
      <c r="A147" s="676" t="str">
        <f>+VLOOKUP($B147,'Tên NL'!$B:$C,2,0)</f>
        <v>Lysoforte TM Brand Dry (Singapore)</v>
      </c>
      <c r="B147" s="667" t="s">
        <v>2101</v>
      </c>
      <c r="C147" s="1204">
        <v>0.13200000000000001</v>
      </c>
      <c r="D147" s="825" t="str">
        <f t="shared" si="4"/>
        <v>LY</v>
      </c>
      <c r="E147" s="572">
        <f t="shared" si="5"/>
        <v>22.000000000000004</v>
      </c>
    </row>
    <row r="148" spans="1:5" x14ac:dyDescent="0.2">
      <c r="A148" s="676" t="str">
        <f>+VLOOKUP($B148,'Tên NL'!$B:$C,2,0)</f>
        <v>Premix 21V</v>
      </c>
      <c r="B148" s="667" t="s">
        <v>1082</v>
      </c>
      <c r="C148" s="1204">
        <v>0.10199999999999999</v>
      </c>
      <c r="D148" s="825" t="str">
        <f t="shared" si="4"/>
        <v>21</v>
      </c>
      <c r="E148" s="572">
        <f t="shared" si="5"/>
        <v>16.999999999999996</v>
      </c>
    </row>
    <row r="149" spans="1:5" x14ac:dyDescent="0.2">
      <c r="A149" s="676" t="str">
        <f>+VLOOKUP($B149,'Tên NL'!$B:$C,2,0)</f>
        <v>Phytocee Powder (India)</v>
      </c>
      <c r="B149" s="667" t="s">
        <v>1620</v>
      </c>
      <c r="C149" s="1204">
        <v>8.8999999999999996E-2</v>
      </c>
      <c r="D149" s="825" t="str">
        <f t="shared" si="4"/>
        <v>PH</v>
      </c>
      <c r="E149" s="572">
        <f t="shared" si="5"/>
        <v>14.833333333333332</v>
      </c>
    </row>
    <row r="150" spans="1:5" x14ac:dyDescent="0.2">
      <c r="A150" s="676" t="str">
        <f>+VLOOKUP($B150,'Tên NL'!$B:$C,2,0)</f>
        <v>TARTRAZINE 50% content (India)</v>
      </c>
      <c r="B150" s="667" t="s">
        <v>1112</v>
      </c>
      <c r="C150" s="1204">
        <v>8.5999999999999993E-2</v>
      </c>
      <c r="D150" s="825" t="str">
        <f t="shared" si="4"/>
        <v>TA</v>
      </c>
      <c r="E150" s="572">
        <f t="shared" si="5"/>
        <v>14.333333333333332</v>
      </c>
    </row>
    <row r="151" spans="1:5" x14ac:dyDescent="0.2">
      <c r="A151" s="676" t="str">
        <f>+VLOOKUP($B151,'Tên NL'!$B:$C,2,0)</f>
        <v>Diamond V Original XPC Ultra (USA)</v>
      </c>
      <c r="B151" s="667" t="s">
        <v>1769</v>
      </c>
      <c r="C151" s="1204">
        <v>8.3000000000000004E-2</v>
      </c>
      <c r="D151" s="825" t="str">
        <f t="shared" si="4"/>
        <v>Or</v>
      </c>
      <c r="E151" s="572">
        <f t="shared" si="5"/>
        <v>13.833333333333334</v>
      </c>
    </row>
    <row r="152" spans="1:5" x14ac:dyDescent="0.2">
      <c r="A152" s="676" t="str">
        <f>+VLOOKUP($B152,'Tên NL'!$B:$C,2,0)</f>
        <v>Premix 572S</v>
      </c>
      <c r="B152" s="667" t="s">
        <v>1090</v>
      </c>
      <c r="C152" s="1204">
        <v>0.08</v>
      </c>
      <c r="D152" s="825" t="str">
        <f t="shared" si="4"/>
        <v>57</v>
      </c>
      <c r="E152" s="572">
        <f t="shared" si="5"/>
        <v>13.333333333333334</v>
      </c>
    </row>
    <row r="153" spans="1:5" x14ac:dyDescent="0.2">
      <c r="A153" s="676" t="str">
        <f>+VLOOKUP($B153,'Tên NL'!$B:$C,2,0)</f>
        <v>Premix 582</v>
      </c>
      <c r="B153" s="667" t="s">
        <v>1092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Lucantin Red 10% NXT (Germany)</v>
      </c>
      <c r="B154" s="667" t="s">
        <v>1364</v>
      </c>
      <c r="C154" s="1204">
        <v>0.06</v>
      </c>
      <c r="D154" s="825" t="str">
        <f t="shared" si="4"/>
        <v>LU</v>
      </c>
      <c r="E154" s="572">
        <f t="shared" si="5"/>
        <v>10</v>
      </c>
    </row>
    <row r="155" spans="1:5" x14ac:dyDescent="0.2">
      <c r="A155" s="676" t="str">
        <f>+VLOOKUP($B155,'Tên NL'!$B:$C,2,0)</f>
        <v>Vitamin E 50</v>
      </c>
      <c r="B155" s="667" t="s">
        <v>1773</v>
      </c>
      <c r="C155" s="1204">
        <v>0.05</v>
      </c>
      <c r="D155" s="825" t="str">
        <f t="shared" si="4"/>
        <v>Vi</v>
      </c>
      <c r="E155" s="572">
        <f t="shared" si="5"/>
        <v>8.3333333333333339</v>
      </c>
    </row>
    <row r="156" spans="1:5" x14ac:dyDescent="0.2">
      <c r="A156" s="676" t="str">
        <f>+VLOOKUP($B156,'Tên NL'!$B:$C,2,0)</f>
        <v>Premix 25V</v>
      </c>
      <c r="B156" s="667" t="s">
        <v>1105</v>
      </c>
      <c r="C156" s="1204">
        <v>0.05</v>
      </c>
      <c r="D156" s="825" t="str">
        <f t="shared" si="4"/>
        <v>PX</v>
      </c>
      <c r="E156" s="572">
        <f t="shared" si="5"/>
        <v>8.3333333333333339</v>
      </c>
    </row>
    <row r="157" spans="1:5" x14ac:dyDescent="0.2">
      <c r="A157" s="676" t="str">
        <f>+VLOOKUP($B157,'Tên NL'!$B:$C,2,0)</f>
        <v>BIOTIN 2%</v>
      </c>
      <c r="B157" s="667" t="s">
        <v>1774</v>
      </c>
      <c r="C157" s="1204">
        <v>4.1000000000000002E-2</v>
      </c>
      <c r="D157" s="825" t="str">
        <f t="shared" si="4"/>
        <v>BI</v>
      </c>
      <c r="E157" s="572">
        <f t="shared" si="5"/>
        <v>6.8333333333333339</v>
      </c>
    </row>
    <row r="158" spans="1:5" x14ac:dyDescent="0.2">
      <c r="A158" s="676" t="str">
        <f>+VLOOKUP($B158,'Tên NL'!$B:$C,2,0)</f>
        <v>Premix 67V</v>
      </c>
      <c r="B158" s="667" t="s">
        <v>1099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MAXIBAN</v>
      </c>
      <c r="B159" s="667" t="s">
        <v>1120</v>
      </c>
      <c r="C159" s="1204">
        <v>3.5999999999999997E-2</v>
      </c>
      <c r="D159" s="825" t="str">
        <f t="shared" si="4"/>
        <v>MA</v>
      </c>
      <c r="E159" s="572">
        <f t="shared" si="5"/>
        <v>5.9999999999999991</v>
      </c>
    </row>
    <row r="160" spans="1:5" x14ac:dyDescent="0.2">
      <c r="A160" s="676" t="str">
        <f>+VLOOKUP($B160,'Tên NL'!$B:$C,2,0)</f>
        <v>Premix 571</v>
      </c>
      <c r="B160" s="667" t="s">
        <v>1103</v>
      </c>
      <c r="C160" s="1204">
        <v>3.2000000000000001E-2</v>
      </c>
      <c r="D160" s="825" t="str">
        <f t="shared" si="4"/>
        <v>57</v>
      </c>
      <c r="E160" s="572">
        <f t="shared" si="5"/>
        <v>5.333333333333333</v>
      </c>
    </row>
    <row r="161" spans="1:5" x14ac:dyDescent="0.2">
      <c r="A161" s="676" t="str">
        <f>+VLOOKUP($B161,'Tên NL'!$B:$C,2,0)</f>
        <v>Elancoban 200 Premix (Monensin)</v>
      </c>
      <c r="B161" s="667" t="s">
        <v>1531</v>
      </c>
      <c r="C161" s="1204">
        <v>2.5000000000000001E-2</v>
      </c>
      <c r="D161" s="825" t="str">
        <f t="shared" si="4"/>
        <v>EL</v>
      </c>
      <c r="E161" s="572">
        <f t="shared" si="5"/>
        <v>4.166666666666667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Flavomycin 80</v>
      </c>
      <c r="B163" s="667" t="s">
        <v>1144</v>
      </c>
      <c r="C163" s="1204">
        <v>0.02</v>
      </c>
      <c r="D163" s="825" t="str">
        <f t="shared" si="4"/>
        <v>FL</v>
      </c>
      <c r="E163" s="572">
        <f t="shared" si="5"/>
        <v>3.3333333333333335</v>
      </c>
    </row>
    <row r="164" spans="1:5" x14ac:dyDescent="0.2">
      <c r="A164" s="676" t="str">
        <f>+VLOOKUP($B164,'Tên NL'!$B:$C,2,0)</f>
        <v>Kemzin 2000 Dry (Singapore)</v>
      </c>
      <c r="B164" s="667" t="s">
        <v>1790</v>
      </c>
      <c r="C164" s="1204">
        <v>1.7999999999999999E-2</v>
      </c>
      <c r="D164" s="825" t="str">
        <f t="shared" si="4"/>
        <v>Ke</v>
      </c>
      <c r="E164" s="572">
        <f t="shared" si="5"/>
        <v>2.9999999999999996</v>
      </c>
    </row>
    <row r="165" spans="1:5" x14ac:dyDescent="0.2">
      <c r="A165" s="676" t="str">
        <f>+VLOOKUP($B165,'Tên NL'!$B:$C,2,0)</f>
        <v>Toxfin Dry (Singapore)</v>
      </c>
      <c r="B165" s="667" t="s">
        <v>2102</v>
      </c>
      <c r="C165" s="1204">
        <v>1.7000000000000001E-2</v>
      </c>
      <c r="D165" s="825" t="str">
        <f t="shared" si="4"/>
        <v>TO</v>
      </c>
      <c r="E165" s="572">
        <f t="shared" si="5"/>
        <v>2.8333333333333335</v>
      </c>
    </row>
    <row r="166" spans="1:5" x14ac:dyDescent="0.2">
      <c r="A166" s="676" t="str">
        <f>+VLOOKUP($B166,'Tên NL'!$B:$C,2,0)</f>
        <v>Premix 62V</v>
      </c>
      <c r="B166" s="667" t="s">
        <v>1097</v>
      </c>
      <c r="C166" s="1204">
        <v>1.6E-2</v>
      </c>
      <c r="D166" s="825" t="str">
        <f t="shared" si="4"/>
        <v>PX</v>
      </c>
      <c r="E166" s="572">
        <f t="shared" si="5"/>
        <v>2.6666666666666665</v>
      </c>
    </row>
    <row r="167" spans="1:5" x14ac:dyDescent="0.2">
      <c r="A167" s="676" t="str">
        <f>+VLOOKUP($B167,'Tên NL'!$B:$C,2,0)</f>
        <v>Doxan 50 (Viet Nam)</v>
      </c>
      <c r="B167" s="667" t="s">
        <v>1783</v>
      </c>
      <c r="C167" s="1992">
        <v>3.0000000000000001E-3</v>
      </c>
      <c r="D167" s="825" t="str">
        <f t="shared" si="4"/>
        <v>Do</v>
      </c>
      <c r="E167" s="572">
        <f t="shared" si="5"/>
        <v>0.5</v>
      </c>
    </row>
    <row r="168" spans="1:5" x14ac:dyDescent="0.2">
      <c r="A168" s="676" t="str">
        <f>+VLOOKUP($B168,'Tên NL'!$B:$C,2,0)</f>
        <v>Actisaf</v>
      </c>
      <c r="B168" s="667" t="s">
        <v>1076</v>
      </c>
      <c r="C168" s="1992">
        <v>2E-3</v>
      </c>
      <c r="D168" s="825" t="str">
        <f t="shared" si="4"/>
        <v>AC</v>
      </c>
      <c r="E168" s="572">
        <f t="shared" si="5"/>
        <v>0.33333333333333331</v>
      </c>
    </row>
    <row r="169" spans="1:5" x14ac:dyDescent="0.2">
      <c r="A169" s="676" t="e">
        <f>+VLOOKUP($B169,'Tên NL'!$B:$C,2,0)</f>
        <v>#N/A</v>
      </c>
      <c r="C169" s="1204">
        <v>14469.001</v>
      </c>
      <c r="D169" s="825" t="str">
        <f t="shared" si="4"/>
        <v/>
      </c>
      <c r="E169" s="572">
        <f t="shared" si="5"/>
        <v>2411500.1666666665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G1" zoomScale="87" zoomScaleNormal="87" workbookViewId="0">
      <selection activeCell="A33" sqref="A33:XFD33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12424750.630000001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1887</v>
      </c>
      <c r="B10" s="666" t="s">
        <v>1888</v>
      </c>
      <c r="C10" s="666" t="s">
        <v>1889</v>
      </c>
      <c r="D10" s="666" t="s">
        <v>1890</v>
      </c>
      <c r="E10" s="666" t="s">
        <v>1891</v>
      </c>
      <c r="F10" s="666" t="s">
        <v>1892</v>
      </c>
      <c r="G10" s="666" t="s">
        <v>1893</v>
      </c>
      <c r="H10" s="666" t="s">
        <v>1894</v>
      </c>
      <c r="I10" s="666" t="s">
        <v>1889</v>
      </c>
      <c r="J10" s="666" t="s">
        <v>1890</v>
      </c>
      <c r="K10" s="666" t="s">
        <v>1891</v>
      </c>
      <c r="L10" s="666" t="s">
        <v>1895</v>
      </c>
      <c r="M10" s="666" t="s">
        <v>1892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1896</v>
      </c>
      <c r="B11" s="666" t="s">
        <v>35</v>
      </c>
      <c r="C11" s="666"/>
      <c r="D11" s="666"/>
      <c r="E11" s="715">
        <v>245</v>
      </c>
      <c r="F11" s="715">
        <v>0</v>
      </c>
      <c r="G11" s="715">
        <v>105</v>
      </c>
      <c r="H11" s="715">
        <v>0</v>
      </c>
      <c r="I11" s="715">
        <v>0</v>
      </c>
      <c r="J11" s="715">
        <v>0</v>
      </c>
      <c r="K11" s="715">
        <v>105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1676</v>
      </c>
      <c r="T11" s="717">
        <v>8183.9000000000005</v>
      </c>
      <c r="U11" s="717">
        <v>0</v>
      </c>
      <c r="V11" s="717">
        <v>3150</v>
      </c>
      <c r="W11" s="717">
        <v>0</v>
      </c>
      <c r="X11" s="717">
        <v>0</v>
      </c>
      <c r="Y11" s="717">
        <v>0</v>
      </c>
      <c r="Z11" s="717">
        <v>3472.2200000000003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3">
        <v>7861.68</v>
      </c>
    </row>
    <row r="12" spans="1:34" x14ac:dyDescent="0.2">
      <c r="A12" s="666" t="s">
        <v>2107</v>
      </c>
      <c r="B12" s="666" t="s">
        <v>35</v>
      </c>
      <c r="C12" s="666"/>
      <c r="D12" s="666"/>
      <c r="E12" s="715">
        <v>259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259</v>
      </c>
      <c r="S12" s="666" t="s">
        <v>2104</v>
      </c>
      <c r="T12" s="717">
        <v>6496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3">
        <v>6496</v>
      </c>
    </row>
    <row r="13" spans="1:34" ht="15" customHeight="1" x14ac:dyDescent="0.2">
      <c r="A13" s="666" t="s">
        <v>1897</v>
      </c>
      <c r="B13" s="666" t="s">
        <v>35</v>
      </c>
      <c r="C13" s="666"/>
      <c r="D13" s="666"/>
      <c r="E13" s="715">
        <v>175</v>
      </c>
      <c r="F13" s="715">
        <v>0</v>
      </c>
      <c r="G13" s="715">
        <v>35</v>
      </c>
      <c r="H13" s="715">
        <v>0</v>
      </c>
      <c r="I13" s="715">
        <v>0</v>
      </c>
      <c r="J13" s="715">
        <v>0</v>
      </c>
      <c r="K13" s="715">
        <v>105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105</v>
      </c>
      <c r="S13" s="666" t="s">
        <v>631</v>
      </c>
      <c r="T13" s="717">
        <v>6008.26</v>
      </c>
      <c r="U13" s="717">
        <v>0</v>
      </c>
      <c r="V13" s="717">
        <v>1050</v>
      </c>
      <c r="W13" s="717">
        <v>0</v>
      </c>
      <c r="X13" s="717">
        <v>0</v>
      </c>
      <c r="Y13" s="717">
        <v>0</v>
      </c>
      <c r="Z13" s="717">
        <v>2446.98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3">
        <v>4611.28</v>
      </c>
    </row>
    <row r="14" spans="1:34" ht="12.75" customHeight="1" x14ac:dyDescent="0.2">
      <c r="A14" s="666" t="s">
        <v>1898</v>
      </c>
      <c r="B14" s="666" t="s">
        <v>35</v>
      </c>
      <c r="C14" s="666"/>
      <c r="D14" s="666"/>
      <c r="E14" s="715">
        <v>0</v>
      </c>
      <c r="F14" s="715">
        <v>0</v>
      </c>
      <c r="G14" s="715">
        <v>0</v>
      </c>
      <c r="H14" s="715">
        <v>0</v>
      </c>
      <c r="I14" s="715">
        <v>0</v>
      </c>
      <c r="J14" s="715">
        <v>0</v>
      </c>
      <c r="K14" s="715">
        <v>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0</v>
      </c>
      <c r="S14" s="666" t="s">
        <v>632</v>
      </c>
      <c r="T14" s="717">
        <v>1</v>
      </c>
      <c r="U14" s="717">
        <v>0</v>
      </c>
      <c r="V14" s="717">
        <v>0</v>
      </c>
      <c r="W14" s="717">
        <v>0</v>
      </c>
      <c r="X14" s="717">
        <v>0</v>
      </c>
      <c r="Y14" s="717">
        <v>0</v>
      </c>
      <c r="Z14" s="717">
        <v>0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3">
        <v>1</v>
      </c>
    </row>
    <row r="15" spans="1:34" ht="12.75" customHeight="1" x14ac:dyDescent="0.2">
      <c r="A15" s="666" t="s">
        <v>1899</v>
      </c>
      <c r="B15" s="666" t="s">
        <v>35</v>
      </c>
      <c r="C15" s="666"/>
      <c r="D15" s="666"/>
      <c r="E15" s="715">
        <v>480</v>
      </c>
      <c r="F15" s="715">
        <v>0</v>
      </c>
      <c r="G15" s="715">
        <v>0</v>
      </c>
      <c r="H15" s="715">
        <v>0</v>
      </c>
      <c r="I15" s="715">
        <v>0</v>
      </c>
      <c r="J15" s="715">
        <v>0</v>
      </c>
      <c r="K15" s="715">
        <v>200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280</v>
      </c>
      <c r="S15" s="666" t="s">
        <v>633</v>
      </c>
      <c r="T15" s="717">
        <v>11810.18</v>
      </c>
      <c r="U15" s="717">
        <v>0</v>
      </c>
      <c r="V15" s="717">
        <v>0</v>
      </c>
      <c r="W15" s="717">
        <v>0</v>
      </c>
      <c r="X15" s="717">
        <v>0</v>
      </c>
      <c r="Y15" s="717">
        <v>0</v>
      </c>
      <c r="Z15" s="717">
        <v>4754.3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3">
        <v>7055.88</v>
      </c>
    </row>
    <row r="16" spans="1:34" ht="12.75" customHeight="1" x14ac:dyDescent="0.2">
      <c r="A16" s="666" t="s">
        <v>1900</v>
      </c>
      <c r="B16" s="666" t="s">
        <v>35</v>
      </c>
      <c r="C16" s="666"/>
      <c r="D16" s="666"/>
      <c r="E16" s="715">
        <v>6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1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5</v>
      </c>
      <c r="S16" s="666" t="s">
        <v>634</v>
      </c>
      <c r="T16" s="717">
        <v>203.3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3">
        <v>169.70000000000002</v>
      </c>
    </row>
    <row r="17" spans="1:33" ht="12.75" customHeight="1" x14ac:dyDescent="0.2">
      <c r="A17" s="666" t="s">
        <v>1901</v>
      </c>
      <c r="B17" s="666" t="s">
        <v>35</v>
      </c>
      <c r="C17" s="666"/>
      <c r="D17" s="666"/>
      <c r="E17" s="715">
        <v>2</v>
      </c>
      <c r="F17" s="715">
        <v>0</v>
      </c>
      <c r="G17" s="715">
        <v>0</v>
      </c>
      <c r="H17" s="715">
        <v>0</v>
      </c>
      <c r="I17" s="715">
        <v>0</v>
      </c>
      <c r="J17" s="715">
        <v>0</v>
      </c>
      <c r="K17" s="715">
        <v>0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2</v>
      </c>
      <c r="S17" s="666" t="s">
        <v>635</v>
      </c>
      <c r="T17" s="717">
        <v>76.7</v>
      </c>
      <c r="U17" s="717">
        <v>0</v>
      </c>
      <c r="V17" s="717">
        <v>0</v>
      </c>
      <c r="W17" s="717">
        <v>0</v>
      </c>
      <c r="X17" s="717">
        <v>0</v>
      </c>
      <c r="Y17" s="717">
        <v>0</v>
      </c>
      <c r="Z17" s="717">
        <v>16.8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3">
        <v>59.9</v>
      </c>
    </row>
    <row r="18" spans="1:33" ht="12.75" customHeight="1" x14ac:dyDescent="0.2">
      <c r="A18" s="666" t="s">
        <v>1902</v>
      </c>
      <c r="B18" s="666" t="s">
        <v>35</v>
      </c>
      <c r="C18" s="666"/>
      <c r="D18" s="666"/>
      <c r="E18" s="715">
        <v>6</v>
      </c>
      <c r="F18" s="715">
        <v>0</v>
      </c>
      <c r="G18" s="715">
        <v>2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6</v>
      </c>
      <c r="S18" s="666" t="s">
        <v>636</v>
      </c>
      <c r="T18" s="717">
        <v>251.8</v>
      </c>
      <c r="U18" s="717">
        <v>0</v>
      </c>
      <c r="V18" s="717">
        <v>60</v>
      </c>
      <c r="W18" s="717">
        <v>0</v>
      </c>
      <c r="X18" s="717">
        <v>0</v>
      </c>
      <c r="Y18" s="717">
        <v>0</v>
      </c>
      <c r="Z18" s="717">
        <v>75.2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3">
        <v>236.6</v>
      </c>
    </row>
    <row r="19" spans="1:33" ht="12.75" customHeight="1" x14ac:dyDescent="0.2">
      <c r="A19" s="666" t="s">
        <v>1903</v>
      </c>
      <c r="B19" s="666" t="s">
        <v>35</v>
      </c>
      <c r="C19" s="666"/>
      <c r="D19" s="666"/>
      <c r="E19" s="715">
        <v>3</v>
      </c>
      <c r="F19" s="715">
        <v>0</v>
      </c>
      <c r="G19" s="715">
        <v>2</v>
      </c>
      <c r="H19" s="715">
        <v>0</v>
      </c>
      <c r="I19" s="715">
        <v>0</v>
      </c>
      <c r="J19" s="715">
        <v>0</v>
      </c>
      <c r="K19" s="715">
        <v>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5</v>
      </c>
      <c r="S19" s="666" t="s">
        <v>637</v>
      </c>
      <c r="T19" s="717">
        <v>230.87</v>
      </c>
      <c r="U19" s="717">
        <v>0</v>
      </c>
      <c r="V19" s="717">
        <v>60</v>
      </c>
      <c r="W19" s="717">
        <v>0</v>
      </c>
      <c r="X19" s="717">
        <v>0</v>
      </c>
      <c r="Y19" s="717">
        <v>0</v>
      </c>
      <c r="Z19" s="717">
        <v>58.25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3">
        <v>232.62</v>
      </c>
    </row>
    <row r="20" spans="1:33" ht="12.75" customHeight="1" x14ac:dyDescent="0.2">
      <c r="A20" s="666" t="s">
        <v>1904</v>
      </c>
      <c r="B20" s="666" t="s">
        <v>35</v>
      </c>
      <c r="C20" s="666"/>
      <c r="D20" s="666"/>
      <c r="E20" s="715">
        <v>32</v>
      </c>
      <c r="F20" s="715">
        <v>0</v>
      </c>
      <c r="G20" s="715">
        <v>0</v>
      </c>
      <c r="H20" s="715">
        <v>0</v>
      </c>
      <c r="I20" s="715">
        <v>0</v>
      </c>
      <c r="J20" s="715">
        <v>0</v>
      </c>
      <c r="K20" s="715">
        <v>9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23</v>
      </c>
      <c r="S20" s="666" t="s">
        <v>638</v>
      </c>
      <c r="T20" s="717">
        <v>996.5</v>
      </c>
      <c r="U20" s="717">
        <v>0</v>
      </c>
      <c r="V20" s="717">
        <v>0</v>
      </c>
      <c r="W20" s="717">
        <v>0</v>
      </c>
      <c r="X20" s="717">
        <v>0</v>
      </c>
      <c r="Y20" s="717">
        <v>0</v>
      </c>
      <c r="Z20" s="717">
        <v>268.8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3">
        <v>727.7</v>
      </c>
    </row>
    <row r="21" spans="1:33" x14ac:dyDescent="0.2">
      <c r="A21" s="666" t="s">
        <v>1905</v>
      </c>
      <c r="B21" s="666" t="s">
        <v>35</v>
      </c>
      <c r="C21" s="666"/>
      <c r="D21" s="666"/>
      <c r="E21" s="715">
        <v>16</v>
      </c>
      <c r="F21" s="715">
        <v>0</v>
      </c>
      <c r="G21" s="715">
        <v>7</v>
      </c>
      <c r="H21" s="715">
        <v>0</v>
      </c>
      <c r="I21" s="715">
        <v>0</v>
      </c>
      <c r="J21" s="715">
        <v>0</v>
      </c>
      <c r="K21" s="715">
        <v>3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20</v>
      </c>
      <c r="S21" s="666" t="s">
        <v>639</v>
      </c>
      <c r="T21" s="717">
        <v>647</v>
      </c>
      <c r="U21" s="717">
        <v>0</v>
      </c>
      <c r="V21" s="717">
        <v>210</v>
      </c>
      <c r="W21" s="717">
        <v>0</v>
      </c>
      <c r="X21" s="717">
        <v>0</v>
      </c>
      <c r="Y21" s="717">
        <v>0</v>
      </c>
      <c r="Z21" s="717">
        <v>176.4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3">
        <v>680.6</v>
      </c>
    </row>
    <row r="22" spans="1:33" x14ac:dyDescent="0.2">
      <c r="A22" s="666" t="s">
        <v>1906</v>
      </c>
      <c r="B22" s="666" t="s">
        <v>35</v>
      </c>
      <c r="C22" s="666"/>
      <c r="D22" s="666"/>
      <c r="E22" s="715">
        <v>3</v>
      </c>
      <c r="F22" s="715">
        <v>0</v>
      </c>
      <c r="G22" s="715">
        <v>0</v>
      </c>
      <c r="H22" s="715">
        <v>0</v>
      </c>
      <c r="I22" s="715">
        <v>0</v>
      </c>
      <c r="J22" s="715">
        <v>0</v>
      </c>
      <c r="K22" s="715">
        <v>1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2</v>
      </c>
      <c r="S22" s="666" t="s">
        <v>640</v>
      </c>
      <c r="T22" s="717">
        <v>107</v>
      </c>
      <c r="U22" s="717">
        <v>0</v>
      </c>
      <c r="V22" s="717">
        <v>0</v>
      </c>
      <c r="W22" s="717">
        <v>0</v>
      </c>
      <c r="X22" s="717">
        <v>0</v>
      </c>
      <c r="Y22" s="717">
        <v>0</v>
      </c>
      <c r="Z22" s="717">
        <v>25.2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3">
        <v>81.8</v>
      </c>
    </row>
    <row r="23" spans="1:33" ht="12.75" customHeight="1" x14ac:dyDescent="0.2">
      <c r="A23" s="666" t="s">
        <v>1907</v>
      </c>
      <c r="B23" s="666" t="s">
        <v>35</v>
      </c>
      <c r="C23" s="666"/>
      <c r="D23" s="666"/>
      <c r="E23" s="715">
        <v>40</v>
      </c>
      <c r="F23" s="715">
        <v>0</v>
      </c>
      <c r="G23" s="715">
        <v>40</v>
      </c>
      <c r="H23" s="715">
        <v>0</v>
      </c>
      <c r="I23" s="715">
        <v>0</v>
      </c>
      <c r="J23" s="715">
        <v>0</v>
      </c>
      <c r="K23" s="715">
        <v>40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40</v>
      </c>
      <c r="S23" s="666" t="s">
        <v>626</v>
      </c>
      <c r="T23" s="717">
        <v>2301.02</v>
      </c>
      <c r="U23" s="717">
        <v>0</v>
      </c>
      <c r="V23" s="717">
        <v>1200</v>
      </c>
      <c r="W23" s="717">
        <v>0</v>
      </c>
      <c r="X23" s="717">
        <v>0</v>
      </c>
      <c r="Y23" s="717">
        <v>0</v>
      </c>
      <c r="Z23" s="717">
        <v>1093.82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3">
        <v>2407.2000000000003</v>
      </c>
    </row>
    <row r="24" spans="1:33" x14ac:dyDescent="0.2">
      <c r="A24" s="666" t="s">
        <v>1908</v>
      </c>
      <c r="B24" s="666" t="s">
        <v>35</v>
      </c>
      <c r="C24" s="666"/>
      <c r="D24" s="666"/>
      <c r="E24" s="715">
        <v>45</v>
      </c>
      <c r="F24" s="715">
        <v>0</v>
      </c>
      <c r="G24" s="715">
        <v>24</v>
      </c>
      <c r="H24" s="715">
        <v>0</v>
      </c>
      <c r="I24" s="715">
        <v>0</v>
      </c>
      <c r="J24" s="715">
        <v>0</v>
      </c>
      <c r="K24" s="715">
        <v>45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24</v>
      </c>
      <c r="S24" s="666" t="s">
        <v>627</v>
      </c>
      <c r="T24" s="717">
        <v>1882.44</v>
      </c>
      <c r="U24" s="717">
        <v>0</v>
      </c>
      <c r="V24" s="717">
        <v>720</v>
      </c>
      <c r="W24" s="717">
        <v>0</v>
      </c>
      <c r="X24" s="717">
        <v>0</v>
      </c>
      <c r="Y24" s="717">
        <v>0</v>
      </c>
      <c r="Z24" s="717">
        <v>781.88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3">
        <v>1820.56</v>
      </c>
    </row>
    <row r="25" spans="1:33" x14ac:dyDescent="0.2">
      <c r="A25" s="666" t="s">
        <v>1909</v>
      </c>
      <c r="B25" s="666" t="s">
        <v>35</v>
      </c>
      <c r="C25" s="666"/>
      <c r="D25" s="666"/>
      <c r="E25" s="715">
        <v>9</v>
      </c>
      <c r="F25" s="715">
        <v>0</v>
      </c>
      <c r="G25" s="715">
        <v>16</v>
      </c>
      <c r="H25" s="715">
        <v>0</v>
      </c>
      <c r="I25" s="715">
        <v>0</v>
      </c>
      <c r="J25" s="715">
        <v>0</v>
      </c>
      <c r="K25" s="715">
        <v>7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18</v>
      </c>
      <c r="S25" s="666" t="s">
        <v>628</v>
      </c>
      <c r="T25" s="717">
        <v>403.17</v>
      </c>
      <c r="U25" s="717">
        <v>0</v>
      </c>
      <c r="V25" s="717">
        <v>480</v>
      </c>
      <c r="W25" s="717">
        <v>0</v>
      </c>
      <c r="X25" s="717">
        <v>0</v>
      </c>
      <c r="Y25" s="717">
        <v>0</v>
      </c>
      <c r="Z25" s="717">
        <v>215.32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3">
        <v>667.85</v>
      </c>
    </row>
    <row r="26" spans="1:33" x14ac:dyDescent="0.2">
      <c r="A26" s="666" t="s">
        <v>1910</v>
      </c>
      <c r="B26" s="666" t="s">
        <v>35</v>
      </c>
      <c r="C26" s="666"/>
      <c r="D26" s="666"/>
      <c r="E26" s="715">
        <v>10</v>
      </c>
      <c r="F26" s="715">
        <v>0</v>
      </c>
      <c r="G26" s="715">
        <v>2</v>
      </c>
      <c r="H26" s="715">
        <v>0</v>
      </c>
      <c r="I26" s="715">
        <v>0</v>
      </c>
      <c r="J26" s="715">
        <v>0</v>
      </c>
      <c r="K26" s="715">
        <v>0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12</v>
      </c>
      <c r="S26" s="666" t="s">
        <v>641</v>
      </c>
      <c r="T26" s="717">
        <v>388</v>
      </c>
      <c r="U26" s="717">
        <v>0</v>
      </c>
      <c r="V26" s="717">
        <v>60</v>
      </c>
      <c r="W26" s="717">
        <v>0</v>
      </c>
      <c r="X26" s="717">
        <v>0</v>
      </c>
      <c r="Y26" s="717">
        <v>0</v>
      </c>
      <c r="Z26" s="717">
        <v>49.92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3">
        <v>398.08</v>
      </c>
    </row>
    <row r="27" spans="1:33" x14ac:dyDescent="0.2">
      <c r="A27" s="666" t="s">
        <v>1911</v>
      </c>
      <c r="B27" s="666" t="s">
        <v>35</v>
      </c>
      <c r="C27" s="666"/>
      <c r="D27" s="666"/>
      <c r="E27" s="715">
        <v>44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24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20</v>
      </c>
      <c r="S27" s="666" t="s">
        <v>643</v>
      </c>
      <c r="T27" s="717">
        <v>1384.06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288.3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3">
        <v>1095.76</v>
      </c>
    </row>
    <row r="28" spans="1:33" ht="12.75" customHeight="1" x14ac:dyDescent="0.2">
      <c r="A28" s="666" t="s">
        <v>1912</v>
      </c>
      <c r="B28" s="666" t="s">
        <v>35</v>
      </c>
      <c r="C28" s="666"/>
      <c r="D28" s="666"/>
      <c r="E28" s="715">
        <v>210</v>
      </c>
      <c r="F28" s="715">
        <v>0</v>
      </c>
      <c r="G28" s="715">
        <v>0</v>
      </c>
      <c r="H28" s="715">
        <v>0</v>
      </c>
      <c r="I28" s="715">
        <v>0</v>
      </c>
      <c r="J28" s="715">
        <v>0</v>
      </c>
      <c r="K28" s="715">
        <v>70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140</v>
      </c>
      <c r="S28" s="666" t="s">
        <v>644</v>
      </c>
      <c r="T28" s="717">
        <v>7085.8</v>
      </c>
      <c r="U28" s="717">
        <v>0</v>
      </c>
      <c r="V28" s="717">
        <v>0</v>
      </c>
      <c r="W28" s="717">
        <v>0</v>
      </c>
      <c r="X28" s="717">
        <v>0</v>
      </c>
      <c r="Y28" s="717">
        <v>0</v>
      </c>
      <c r="Z28" s="717">
        <v>2209.7400000000002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3">
        <v>4876.0600000000004</v>
      </c>
    </row>
    <row r="29" spans="1:33" x14ac:dyDescent="0.2">
      <c r="A29" s="666" t="s">
        <v>1913</v>
      </c>
      <c r="B29" s="666" t="s">
        <v>35</v>
      </c>
      <c r="C29" s="666"/>
      <c r="D29" s="666"/>
      <c r="E29" s="715">
        <v>200</v>
      </c>
      <c r="F29" s="715">
        <v>0</v>
      </c>
      <c r="G29" s="715">
        <v>80</v>
      </c>
      <c r="H29" s="715">
        <v>0</v>
      </c>
      <c r="I29" s="715">
        <v>0</v>
      </c>
      <c r="J29" s="715">
        <v>0</v>
      </c>
      <c r="K29" s="715">
        <v>80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200</v>
      </c>
      <c r="S29" s="666" t="s">
        <v>921</v>
      </c>
      <c r="T29" s="717">
        <v>7117.54</v>
      </c>
      <c r="U29" s="717">
        <v>0</v>
      </c>
      <c r="V29" s="717">
        <v>2400</v>
      </c>
      <c r="W29" s="717">
        <v>0</v>
      </c>
      <c r="X29" s="717">
        <v>0</v>
      </c>
      <c r="Y29" s="717">
        <v>0</v>
      </c>
      <c r="Z29" s="717">
        <v>2516.7400000000002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3">
        <v>7000.8</v>
      </c>
    </row>
    <row r="30" spans="1:33" x14ac:dyDescent="0.2">
      <c r="A30" s="666" t="s">
        <v>1914</v>
      </c>
      <c r="B30" s="666" t="s">
        <v>35</v>
      </c>
      <c r="C30" s="666"/>
      <c r="D30" s="666"/>
      <c r="E30" s="715">
        <v>105</v>
      </c>
      <c r="F30" s="715">
        <v>0</v>
      </c>
      <c r="G30" s="715">
        <v>35</v>
      </c>
      <c r="H30" s="715">
        <v>0</v>
      </c>
      <c r="I30" s="715">
        <v>0</v>
      </c>
      <c r="J30" s="715">
        <v>0</v>
      </c>
      <c r="K30" s="715">
        <v>35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645</v>
      </c>
      <c r="T30" s="717">
        <v>4086.92</v>
      </c>
      <c r="U30" s="717">
        <v>0</v>
      </c>
      <c r="V30" s="717">
        <v>1050</v>
      </c>
      <c r="W30" s="717">
        <v>0</v>
      </c>
      <c r="X30" s="717">
        <v>0</v>
      </c>
      <c r="Y30" s="717">
        <v>0</v>
      </c>
      <c r="Z30" s="717">
        <v>1523.96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3">
        <v>3612.96</v>
      </c>
    </row>
    <row r="31" spans="1:33" x14ac:dyDescent="0.2">
      <c r="A31" s="666" t="s">
        <v>1915</v>
      </c>
      <c r="B31" s="666" t="s">
        <v>35</v>
      </c>
      <c r="C31" s="666"/>
      <c r="D31" s="666"/>
      <c r="E31" s="715">
        <v>120</v>
      </c>
      <c r="F31" s="715">
        <v>0</v>
      </c>
      <c r="G31" s="715">
        <v>35</v>
      </c>
      <c r="H31" s="715">
        <v>0</v>
      </c>
      <c r="I31" s="715">
        <v>0</v>
      </c>
      <c r="J31" s="715">
        <v>0</v>
      </c>
      <c r="K31" s="715">
        <v>50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105</v>
      </c>
      <c r="S31" s="666" t="s">
        <v>646</v>
      </c>
      <c r="T31" s="717">
        <v>4277.32</v>
      </c>
      <c r="U31" s="717">
        <v>0</v>
      </c>
      <c r="V31" s="717">
        <v>1050</v>
      </c>
      <c r="W31" s="717">
        <v>0</v>
      </c>
      <c r="X31" s="717">
        <v>0</v>
      </c>
      <c r="Y31" s="717">
        <v>0</v>
      </c>
      <c r="Z31" s="717">
        <v>1406.56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3">
        <v>3920.76</v>
      </c>
    </row>
    <row r="32" spans="1:33" x14ac:dyDescent="0.2">
      <c r="A32" s="666" t="s">
        <v>1916</v>
      </c>
      <c r="B32" s="666" t="s">
        <v>35</v>
      </c>
      <c r="C32" s="666"/>
      <c r="D32" s="666"/>
      <c r="E32" s="715">
        <v>7</v>
      </c>
      <c r="F32" s="715">
        <v>0</v>
      </c>
      <c r="G32" s="715">
        <v>6</v>
      </c>
      <c r="H32" s="715">
        <v>0</v>
      </c>
      <c r="I32" s="715">
        <v>0</v>
      </c>
      <c r="J32" s="715">
        <v>0</v>
      </c>
      <c r="K32" s="715">
        <v>8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5</v>
      </c>
      <c r="S32" s="666" t="s">
        <v>647</v>
      </c>
      <c r="T32" s="717">
        <v>287.44</v>
      </c>
      <c r="U32" s="717">
        <v>0</v>
      </c>
      <c r="V32" s="717">
        <v>180</v>
      </c>
      <c r="W32" s="717">
        <v>0</v>
      </c>
      <c r="X32" s="717">
        <v>0</v>
      </c>
      <c r="Y32" s="717">
        <v>0</v>
      </c>
      <c r="Z32" s="717">
        <v>137.15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3">
        <v>330.29</v>
      </c>
    </row>
    <row r="33" spans="1:33" ht="12.75" customHeight="1" x14ac:dyDescent="0.2">
      <c r="A33" s="666" t="s">
        <v>1917</v>
      </c>
      <c r="B33" s="666" t="s">
        <v>35</v>
      </c>
      <c r="C33" s="666"/>
      <c r="D33" s="666"/>
      <c r="E33" s="715">
        <v>0</v>
      </c>
      <c r="F33" s="715">
        <v>0</v>
      </c>
      <c r="G33" s="715">
        <v>0</v>
      </c>
      <c r="H33" s="715">
        <v>0</v>
      </c>
      <c r="I33" s="715">
        <v>0</v>
      </c>
      <c r="J33" s="715">
        <v>0</v>
      </c>
      <c r="K33" s="715">
        <v>0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0</v>
      </c>
      <c r="S33" s="666" t="s">
        <v>648</v>
      </c>
      <c r="T33" s="717">
        <v>55.6</v>
      </c>
      <c r="U33" s="717">
        <v>0</v>
      </c>
      <c r="V33" s="717">
        <v>0</v>
      </c>
      <c r="W33" s="717">
        <v>0</v>
      </c>
      <c r="X33" s="717">
        <v>0</v>
      </c>
      <c r="Y33" s="717">
        <v>0</v>
      </c>
      <c r="Z33" s="717">
        <v>25.2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3">
        <v>30.400000000000002</v>
      </c>
    </row>
    <row r="34" spans="1:33" x14ac:dyDescent="0.2">
      <c r="A34" s="666" t="s">
        <v>1918</v>
      </c>
      <c r="B34" s="666" t="s">
        <v>35</v>
      </c>
      <c r="C34" s="666"/>
      <c r="D34" s="666"/>
      <c r="E34" s="715">
        <v>29</v>
      </c>
      <c r="F34" s="715">
        <v>0</v>
      </c>
      <c r="G34" s="715">
        <v>12</v>
      </c>
      <c r="H34" s="715">
        <v>0</v>
      </c>
      <c r="I34" s="715">
        <v>0</v>
      </c>
      <c r="J34" s="715">
        <v>0</v>
      </c>
      <c r="K34" s="715">
        <v>14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27</v>
      </c>
      <c r="S34" s="666" t="s">
        <v>649</v>
      </c>
      <c r="T34" s="717">
        <v>980.29</v>
      </c>
      <c r="U34" s="717">
        <v>0</v>
      </c>
      <c r="V34" s="717">
        <v>360</v>
      </c>
      <c r="W34" s="717">
        <v>0</v>
      </c>
      <c r="X34" s="717">
        <v>0</v>
      </c>
      <c r="Y34" s="717">
        <v>0</v>
      </c>
      <c r="Z34" s="717">
        <v>455.54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3">
        <v>884.75</v>
      </c>
    </row>
    <row r="35" spans="1:33" x14ac:dyDescent="0.2">
      <c r="A35" s="666" t="s">
        <v>1919</v>
      </c>
      <c r="B35" s="666" t="s">
        <v>35</v>
      </c>
      <c r="C35" s="666"/>
      <c r="D35" s="666"/>
      <c r="E35" s="715">
        <v>70</v>
      </c>
      <c r="F35" s="715">
        <v>0</v>
      </c>
      <c r="G35" s="715">
        <v>0</v>
      </c>
      <c r="H35" s="715">
        <v>0</v>
      </c>
      <c r="I35" s="715">
        <v>0</v>
      </c>
      <c r="J35" s="715">
        <v>0</v>
      </c>
      <c r="K35" s="715">
        <v>35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35</v>
      </c>
      <c r="S35" s="666" t="s">
        <v>650</v>
      </c>
      <c r="T35" s="717">
        <v>2324.62</v>
      </c>
      <c r="U35" s="717">
        <v>0</v>
      </c>
      <c r="V35" s="717">
        <v>0</v>
      </c>
      <c r="W35" s="717">
        <v>0</v>
      </c>
      <c r="X35" s="717">
        <v>0</v>
      </c>
      <c r="Y35" s="717">
        <v>0</v>
      </c>
      <c r="Z35" s="717">
        <v>661.72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3">
        <v>1662.9</v>
      </c>
    </row>
    <row r="36" spans="1:33" x14ac:dyDescent="0.2">
      <c r="A36" s="666" t="s">
        <v>1920</v>
      </c>
      <c r="B36" s="666" t="s">
        <v>35</v>
      </c>
      <c r="C36" s="666"/>
      <c r="D36" s="666"/>
      <c r="E36" s="715">
        <v>0</v>
      </c>
      <c r="F36" s="715">
        <v>0</v>
      </c>
      <c r="G36" s="715">
        <v>0</v>
      </c>
      <c r="H36" s="715">
        <v>0</v>
      </c>
      <c r="I36" s="715">
        <v>0</v>
      </c>
      <c r="J36" s="715">
        <v>0</v>
      </c>
      <c r="K36" s="715">
        <v>0</v>
      </c>
      <c r="L36" s="715">
        <v>0</v>
      </c>
      <c r="M36" s="715">
        <v>0</v>
      </c>
      <c r="N36" s="715">
        <v>0</v>
      </c>
      <c r="O36" s="715">
        <v>0</v>
      </c>
      <c r="P36" s="715">
        <v>0</v>
      </c>
      <c r="Q36" s="715">
        <v>0</v>
      </c>
      <c r="R36" s="716">
        <v>0</v>
      </c>
      <c r="S36" s="666" t="s">
        <v>651</v>
      </c>
      <c r="T36" s="717">
        <v>95.75</v>
      </c>
      <c r="U36" s="717">
        <v>0</v>
      </c>
      <c r="V36" s="717">
        <v>0</v>
      </c>
      <c r="W36" s="717">
        <v>0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0</v>
      </c>
      <c r="AE36" s="717">
        <v>0</v>
      </c>
      <c r="AF36" s="717">
        <v>0</v>
      </c>
      <c r="AG36" s="1993">
        <v>95.75</v>
      </c>
    </row>
    <row r="37" spans="1:33" x14ac:dyDescent="0.2">
      <c r="A37" s="666" t="s">
        <v>1921</v>
      </c>
      <c r="B37" s="716">
        <v>2116</v>
      </c>
      <c r="C37" s="716">
        <v>0</v>
      </c>
      <c r="D37" s="716">
        <v>401</v>
      </c>
      <c r="E37" s="717">
        <v>0</v>
      </c>
      <c r="F37" s="716">
        <v>0</v>
      </c>
      <c r="G37" s="716">
        <v>0</v>
      </c>
      <c r="H37" s="716">
        <v>834</v>
      </c>
      <c r="I37" s="716">
        <v>0</v>
      </c>
      <c r="J37" s="715">
        <v>0</v>
      </c>
      <c r="K37" s="715">
        <v>0</v>
      </c>
      <c r="L37" s="716">
        <v>0</v>
      </c>
      <c r="M37" s="715">
        <v>0</v>
      </c>
      <c r="N37" s="715">
        <v>0</v>
      </c>
      <c r="O37" s="716">
        <v>1683</v>
      </c>
      <c r="P37" s="666" t="s">
        <v>1922</v>
      </c>
      <c r="Q37" s="717">
        <v>67682.48</v>
      </c>
      <c r="R37" s="717">
        <v>0</v>
      </c>
      <c r="S37" s="717">
        <v>12030</v>
      </c>
      <c r="T37" s="717">
        <v>0</v>
      </c>
      <c r="U37" s="717">
        <v>0</v>
      </c>
      <c r="V37" s="717">
        <v>0</v>
      </c>
      <c r="W37" s="717">
        <v>22693.600000000002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0</v>
      </c>
      <c r="AD37" s="717">
        <v>57018.880000000005</v>
      </c>
      <c r="AE37" s="666"/>
      <c r="AF37" s="666"/>
      <c r="AG37" s="666"/>
    </row>
    <row r="38" spans="1:33" ht="12.75" customHeight="1" x14ac:dyDescent="0.2">
      <c r="A38" s="715">
        <v>2116</v>
      </c>
      <c r="B38" s="715">
        <v>0</v>
      </c>
      <c r="C38" s="715">
        <v>401</v>
      </c>
      <c r="D38" s="715">
        <v>0</v>
      </c>
      <c r="E38" s="715">
        <v>0</v>
      </c>
      <c r="F38" s="715">
        <v>0</v>
      </c>
      <c r="G38" s="715">
        <v>834</v>
      </c>
      <c r="H38" s="715">
        <v>0</v>
      </c>
      <c r="I38" s="715">
        <v>0</v>
      </c>
      <c r="J38" s="715">
        <v>0</v>
      </c>
      <c r="K38" s="715">
        <v>0</v>
      </c>
      <c r="L38" s="715">
        <v>0</v>
      </c>
      <c r="M38" s="715">
        <v>0</v>
      </c>
      <c r="N38" s="716">
        <v>1683</v>
      </c>
      <c r="O38" s="666" t="s">
        <v>1923</v>
      </c>
      <c r="P38" s="717">
        <v>67682.48</v>
      </c>
      <c r="Q38" s="717">
        <v>0</v>
      </c>
      <c r="R38" s="717">
        <v>12030</v>
      </c>
      <c r="S38" s="717">
        <v>0</v>
      </c>
      <c r="T38" s="717">
        <v>0</v>
      </c>
      <c r="U38" s="717">
        <v>0</v>
      </c>
      <c r="V38" s="717">
        <v>22693.600000000002</v>
      </c>
      <c r="W38" s="717">
        <v>0</v>
      </c>
      <c r="X38" s="717">
        <v>0</v>
      </c>
      <c r="Y38" s="717">
        <v>0</v>
      </c>
      <c r="Z38" s="717">
        <v>0</v>
      </c>
      <c r="AA38" s="717">
        <v>0</v>
      </c>
      <c r="AB38" s="717">
        <v>0</v>
      </c>
      <c r="AC38" s="717">
        <v>57018.880000000005</v>
      </c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1887</v>
      </c>
      <c r="B66" s="666" t="s">
        <v>1888</v>
      </c>
      <c r="C66" s="666" t="s">
        <v>1889</v>
      </c>
      <c r="D66" s="666" t="s">
        <v>1890</v>
      </c>
      <c r="E66" s="666" t="s">
        <v>1891</v>
      </c>
      <c r="F66" s="666" t="s">
        <v>1892</v>
      </c>
      <c r="G66" s="666" t="s">
        <v>1893</v>
      </c>
      <c r="H66" s="666" t="s">
        <v>1894</v>
      </c>
      <c r="I66" s="666" t="s">
        <v>1889</v>
      </c>
      <c r="J66" s="666" t="s">
        <v>1890</v>
      </c>
      <c r="K66" s="666" t="s">
        <v>1891</v>
      </c>
      <c r="L66" s="666" t="s">
        <v>1895</v>
      </c>
      <c r="M66" s="666" t="s">
        <v>1892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2010</v>
      </c>
      <c r="B67" s="666" t="s">
        <v>35</v>
      </c>
      <c r="C67" s="666"/>
      <c r="D67" s="666"/>
      <c r="E67" s="715">
        <v>31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4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27</v>
      </c>
      <c r="S67" s="666" t="s">
        <v>593</v>
      </c>
      <c r="T67" s="717">
        <v>315.78000000000003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22.13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3">
        <v>293.65000000000003</v>
      </c>
    </row>
    <row r="68" spans="1:33" x14ac:dyDescent="0.2">
      <c r="A68" s="666" t="s">
        <v>2011</v>
      </c>
      <c r="B68" s="666" t="s">
        <v>35</v>
      </c>
      <c r="C68" s="666"/>
      <c r="D68" s="666"/>
      <c r="E68" s="715">
        <v>173</v>
      </c>
      <c r="F68" s="715">
        <v>0</v>
      </c>
      <c r="G68" s="715">
        <v>50</v>
      </c>
      <c r="H68" s="715">
        <v>0</v>
      </c>
      <c r="I68" s="715">
        <v>0</v>
      </c>
      <c r="J68" s="715">
        <v>0</v>
      </c>
      <c r="K68" s="715">
        <v>37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186</v>
      </c>
      <c r="S68" s="666" t="s">
        <v>1346</v>
      </c>
      <c r="T68" s="717">
        <v>3520.9300000000003</v>
      </c>
      <c r="U68" s="717">
        <v>0</v>
      </c>
      <c r="V68" s="717">
        <v>1000</v>
      </c>
      <c r="W68" s="717">
        <v>0</v>
      </c>
      <c r="X68" s="717">
        <v>0</v>
      </c>
      <c r="Y68" s="717">
        <v>0</v>
      </c>
      <c r="Z68" s="717">
        <v>692.1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3">
        <v>3828.83</v>
      </c>
    </row>
    <row r="69" spans="1:33" x14ac:dyDescent="0.2">
      <c r="A69" s="666" t="s">
        <v>2012</v>
      </c>
      <c r="B69" s="666" t="s">
        <v>35</v>
      </c>
      <c r="C69" s="666"/>
      <c r="D69" s="666"/>
      <c r="E69" s="715">
        <v>3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3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0</v>
      </c>
      <c r="S69" s="666" t="s">
        <v>1840</v>
      </c>
      <c r="T69" s="717">
        <v>32.799999999999997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32.799999999999997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3">
        <v>0</v>
      </c>
    </row>
    <row r="70" spans="1:33" x14ac:dyDescent="0.2">
      <c r="A70" s="666" t="s">
        <v>2013</v>
      </c>
      <c r="B70" s="666" t="s">
        <v>35</v>
      </c>
      <c r="C70" s="666"/>
      <c r="D70" s="666"/>
      <c r="E70" s="715">
        <v>121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13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108</v>
      </c>
      <c r="S70" s="666" t="s">
        <v>602</v>
      </c>
      <c r="T70" s="717">
        <v>2588.5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419.6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3">
        <v>2168.9</v>
      </c>
    </row>
    <row r="71" spans="1:33" x14ac:dyDescent="0.2">
      <c r="A71" s="666" t="s">
        <v>2014</v>
      </c>
      <c r="B71" s="666" t="s">
        <v>35</v>
      </c>
      <c r="C71" s="666"/>
      <c r="D71" s="666"/>
      <c r="E71" s="715">
        <v>450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350</v>
      </c>
      <c r="S71" s="666" t="s">
        <v>969</v>
      </c>
      <c r="T71" s="717">
        <v>9693.36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1651.44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3">
        <v>8041.92</v>
      </c>
    </row>
    <row r="72" spans="1:33" x14ac:dyDescent="0.2">
      <c r="A72" s="666" t="s">
        <v>2015</v>
      </c>
      <c r="B72" s="666" t="s">
        <v>35</v>
      </c>
      <c r="C72" s="666"/>
      <c r="D72" s="666"/>
      <c r="E72" s="715">
        <v>7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7</v>
      </c>
      <c r="S72" s="666" t="s">
        <v>1370</v>
      </c>
      <c r="T72" s="717">
        <v>147.15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3">
        <v>147.15</v>
      </c>
    </row>
    <row r="73" spans="1:33" x14ac:dyDescent="0.2">
      <c r="A73" s="666" t="s">
        <v>2016</v>
      </c>
      <c r="B73" s="666" t="s">
        <v>35</v>
      </c>
      <c r="C73" s="666"/>
      <c r="D73" s="666"/>
      <c r="E73" s="715">
        <v>0</v>
      </c>
      <c r="F73" s="715">
        <v>0</v>
      </c>
      <c r="G73" s="715">
        <v>1</v>
      </c>
      <c r="H73" s="715">
        <v>0</v>
      </c>
      <c r="I73" s="715">
        <v>0</v>
      </c>
      <c r="J73" s="715">
        <v>0</v>
      </c>
      <c r="K73" s="715">
        <v>1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0</v>
      </c>
      <c r="S73" s="666" t="s">
        <v>1759</v>
      </c>
      <c r="T73" s="717">
        <v>6.45</v>
      </c>
      <c r="U73" s="717">
        <v>0</v>
      </c>
      <c r="V73" s="717">
        <v>20</v>
      </c>
      <c r="W73" s="717">
        <v>0</v>
      </c>
      <c r="X73" s="717">
        <v>0</v>
      </c>
      <c r="Y73" s="717">
        <v>0</v>
      </c>
      <c r="Z73" s="717">
        <v>12.8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3">
        <v>13.65</v>
      </c>
    </row>
    <row r="74" spans="1:33" x14ac:dyDescent="0.2">
      <c r="A74" s="666" t="s">
        <v>2017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1513</v>
      </c>
      <c r="T74" s="717">
        <v>144.35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22.68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3">
        <v>121.67</v>
      </c>
    </row>
    <row r="75" spans="1:33" x14ac:dyDescent="0.2">
      <c r="A75" s="666" t="s">
        <v>2018</v>
      </c>
      <c r="B75" s="666" t="s">
        <v>35</v>
      </c>
      <c r="C75" s="666"/>
      <c r="D75" s="666"/>
      <c r="E75" s="715">
        <v>4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0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4</v>
      </c>
      <c r="S75" s="666" t="s">
        <v>210</v>
      </c>
      <c r="T75" s="717">
        <v>131.69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9.4500000000000011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3">
        <v>122.24000000000001</v>
      </c>
    </row>
    <row r="76" spans="1:33" x14ac:dyDescent="0.2">
      <c r="A76" s="666" t="s">
        <v>2019</v>
      </c>
      <c r="B76" s="666" t="s">
        <v>35</v>
      </c>
      <c r="C76" s="666"/>
      <c r="D76" s="666"/>
      <c r="E76" s="715">
        <v>120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80</v>
      </c>
      <c r="S76" s="666" t="s">
        <v>385</v>
      </c>
      <c r="T76" s="717">
        <v>3860.56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1391.84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3">
        <v>2468.7200000000003</v>
      </c>
    </row>
    <row r="77" spans="1:33" x14ac:dyDescent="0.2">
      <c r="A77" s="666" t="s">
        <v>2020</v>
      </c>
      <c r="B77" s="666" t="s">
        <v>35</v>
      </c>
      <c r="C77" s="666"/>
      <c r="D77" s="666"/>
      <c r="E77" s="715">
        <v>7</v>
      </c>
      <c r="F77" s="715">
        <v>0</v>
      </c>
      <c r="G77" s="715">
        <v>12</v>
      </c>
      <c r="H77" s="715">
        <v>0</v>
      </c>
      <c r="I77" s="715">
        <v>0</v>
      </c>
      <c r="J77" s="715">
        <v>0</v>
      </c>
      <c r="K77" s="715">
        <v>6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13</v>
      </c>
      <c r="S77" s="666" t="s">
        <v>462</v>
      </c>
      <c r="T77" s="717">
        <v>262.86</v>
      </c>
      <c r="U77" s="717">
        <v>0</v>
      </c>
      <c r="V77" s="717">
        <v>300</v>
      </c>
      <c r="W77" s="717">
        <v>0</v>
      </c>
      <c r="X77" s="717">
        <v>0</v>
      </c>
      <c r="Y77" s="717">
        <v>0</v>
      </c>
      <c r="Z77" s="717">
        <v>177.66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3">
        <v>385.2</v>
      </c>
    </row>
    <row r="78" spans="1:33" x14ac:dyDescent="0.2">
      <c r="A78" s="666" t="s">
        <v>2021</v>
      </c>
      <c r="B78" s="666" t="s">
        <v>35</v>
      </c>
      <c r="C78" s="666"/>
      <c r="D78" s="666"/>
      <c r="E78" s="715">
        <v>28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6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22</v>
      </c>
      <c r="S78" s="666" t="s">
        <v>60</v>
      </c>
      <c r="T78" s="717">
        <v>780.55000000000007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229.12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3">
        <v>551.43000000000006</v>
      </c>
    </row>
    <row r="79" spans="1:33" x14ac:dyDescent="0.2">
      <c r="A79" s="666" t="s">
        <v>2022</v>
      </c>
      <c r="B79" s="666" t="s">
        <v>35</v>
      </c>
      <c r="C79" s="666"/>
      <c r="D79" s="666"/>
      <c r="E79" s="715">
        <v>34</v>
      </c>
      <c r="F79" s="715">
        <v>0</v>
      </c>
      <c r="G79" s="715">
        <v>40</v>
      </c>
      <c r="H79" s="715">
        <v>0</v>
      </c>
      <c r="I79" s="715">
        <v>0</v>
      </c>
      <c r="J79" s="715">
        <v>0</v>
      </c>
      <c r="K79" s="715">
        <v>12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62</v>
      </c>
      <c r="S79" s="666" t="s">
        <v>675</v>
      </c>
      <c r="T79" s="717">
        <v>712.82</v>
      </c>
      <c r="U79" s="717">
        <v>0</v>
      </c>
      <c r="V79" s="717">
        <v>800</v>
      </c>
      <c r="W79" s="717">
        <v>0</v>
      </c>
      <c r="X79" s="717">
        <v>0</v>
      </c>
      <c r="Y79" s="717">
        <v>0</v>
      </c>
      <c r="Z79" s="717">
        <v>189.6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3">
        <v>1323.22</v>
      </c>
    </row>
    <row r="80" spans="1:33" x14ac:dyDescent="0.2">
      <c r="A80" s="666" t="s">
        <v>2023</v>
      </c>
      <c r="B80" s="666" t="s">
        <v>35</v>
      </c>
      <c r="C80" s="666"/>
      <c r="D80" s="666"/>
      <c r="E80" s="715">
        <v>20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4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16</v>
      </c>
      <c r="S80" s="666" t="s">
        <v>1814</v>
      </c>
      <c r="T80" s="717">
        <v>514.79999999999995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40.950000000000003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3">
        <v>473.85</v>
      </c>
    </row>
    <row r="81" spans="1:34" x14ac:dyDescent="0.2">
      <c r="A81" s="666" t="s">
        <v>2127</v>
      </c>
      <c r="B81" s="666" t="s">
        <v>35</v>
      </c>
      <c r="C81" s="666"/>
      <c r="D81" s="666"/>
      <c r="E81" s="715">
        <v>1</v>
      </c>
      <c r="F81" s="715">
        <v>0</v>
      </c>
      <c r="G81" s="715">
        <v>0</v>
      </c>
      <c r="H81" s="715">
        <v>0</v>
      </c>
      <c r="I81" s="715">
        <v>0</v>
      </c>
      <c r="J81" s="715">
        <v>0</v>
      </c>
      <c r="K81" s="715">
        <v>0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1</v>
      </c>
      <c r="S81" s="666" t="s">
        <v>680</v>
      </c>
      <c r="T81" s="717">
        <v>34.880000000000003</v>
      </c>
      <c r="U81" s="717">
        <v>0</v>
      </c>
      <c r="V81" s="717">
        <v>0</v>
      </c>
      <c r="W81" s="717">
        <v>0</v>
      </c>
      <c r="X81" s="717">
        <v>0</v>
      </c>
      <c r="Y81" s="717">
        <v>0</v>
      </c>
      <c r="Z81" s="717">
        <v>7.5600000000000005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3">
        <v>27.32</v>
      </c>
    </row>
    <row r="82" spans="1:34" x14ac:dyDescent="0.2">
      <c r="A82" s="666" t="s">
        <v>2024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18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66</v>
      </c>
      <c r="S82" s="666" t="s">
        <v>917</v>
      </c>
      <c r="T82" s="717">
        <v>1768.6000000000001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388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3">
        <v>1380.6000000000001</v>
      </c>
    </row>
    <row r="83" spans="1:34" x14ac:dyDescent="0.2">
      <c r="A83" s="666" t="s">
        <v>2025</v>
      </c>
      <c r="B83" s="666" t="s">
        <v>35</v>
      </c>
      <c r="C83" s="666"/>
      <c r="D83" s="666"/>
      <c r="E83" s="715">
        <v>93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40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133</v>
      </c>
      <c r="S83" s="666" t="s">
        <v>1392</v>
      </c>
      <c r="T83" s="717">
        <v>2586.1799999999998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1071.1300000000001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3">
        <v>3515.05</v>
      </c>
    </row>
    <row r="84" spans="1:34" x14ac:dyDescent="0.2">
      <c r="A84" s="666" t="s">
        <v>2026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1594</v>
      </c>
      <c r="T84" s="717">
        <v>143.30000000000001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3">
        <v>143.30000000000001</v>
      </c>
    </row>
    <row r="85" spans="1:34" x14ac:dyDescent="0.2">
      <c r="A85" s="666" t="s">
        <v>2027</v>
      </c>
      <c r="B85" s="716">
        <v>1186</v>
      </c>
      <c r="C85" s="716">
        <v>80</v>
      </c>
      <c r="D85" s="716">
        <v>103</v>
      </c>
      <c r="E85" s="717">
        <v>0</v>
      </c>
      <c r="F85" s="716">
        <v>0</v>
      </c>
      <c r="G85" s="716">
        <v>0</v>
      </c>
      <c r="H85" s="716">
        <v>285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1084</v>
      </c>
      <c r="P85" s="666" t="s">
        <v>2028</v>
      </c>
      <c r="Q85" s="717">
        <v>27245.56</v>
      </c>
      <c r="R85" s="717">
        <v>2000</v>
      </c>
      <c r="S85" s="717">
        <v>2120</v>
      </c>
      <c r="T85" s="717">
        <v>0</v>
      </c>
      <c r="U85" s="717">
        <v>0</v>
      </c>
      <c r="V85" s="717">
        <v>0</v>
      </c>
      <c r="W85" s="717">
        <v>6358.8600000000006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25006.7</v>
      </c>
      <c r="AE85" s="666"/>
      <c r="AF85" s="666"/>
      <c r="AG85" s="666"/>
    </row>
    <row r="86" spans="1:34" x14ac:dyDescent="0.2">
      <c r="A86" s="666" t="s">
        <v>2029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4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14</v>
      </c>
      <c r="S86" s="666" t="s">
        <v>496</v>
      </c>
      <c r="T86" s="717">
        <v>45039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6605.7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3">
        <v>38433.300000000003</v>
      </c>
    </row>
    <row r="87" spans="1:34" x14ac:dyDescent="0.2">
      <c r="A87" s="666" t="s">
        <v>2030</v>
      </c>
      <c r="B87" s="666" t="s">
        <v>35</v>
      </c>
      <c r="C87" s="666"/>
      <c r="D87" s="666"/>
      <c r="E87" s="715">
        <v>660</v>
      </c>
      <c r="F87" s="715">
        <v>0</v>
      </c>
      <c r="G87" s="715">
        <v>6</v>
      </c>
      <c r="H87" s="715">
        <v>0</v>
      </c>
      <c r="I87" s="715">
        <v>0</v>
      </c>
      <c r="J87" s="715">
        <v>0</v>
      </c>
      <c r="K87" s="715">
        <v>106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560</v>
      </c>
      <c r="S87" s="666" t="s">
        <v>1634</v>
      </c>
      <c r="T87" s="717">
        <v>17551.600000000002</v>
      </c>
      <c r="U87" s="717">
        <v>0</v>
      </c>
      <c r="V87" s="717">
        <v>189.51</v>
      </c>
      <c r="W87" s="717">
        <v>0</v>
      </c>
      <c r="X87" s="717">
        <v>0</v>
      </c>
      <c r="Y87" s="717">
        <v>0</v>
      </c>
      <c r="Z87" s="717">
        <v>1891.97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3">
        <v>15849.140000000001</v>
      </c>
    </row>
    <row r="88" spans="1:34" x14ac:dyDescent="0.2">
      <c r="A88" s="666" t="s">
        <v>2031</v>
      </c>
      <c r="B88" s="666" t="s">
        <v>35</v>
      </c>
      <c r="C88" s="666"/>
      <c r="D88" s="666"/>
      <c r="E88" s="715">
        <v>2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1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49.4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4.2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3">
        <v>45.2</v>
      </c>
    </row>
    <row r="89" spans="1:34" x14ac:dyDescent="0.2">
      <c r="A89" s="666" t="s">
        <v>2032</v>
      </c>
      <c r="B89" s="666" t="s">
        <v>35</v>
      </c>
      <c r="C89" s="666"/>
      <c r="D89" s="666"/>
      <c r="E89" s="715">
        <v>600</v>
      </c>
      <c r="F89" s="715">
        <v>480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920</v>
      </c>
      <c r="S89" s="666" t="s">
        <v>1205</v>
      </c>
      <c r="T89" s="717">
        <v>16385.36</v>
      </c>
      <c r="U89" s="717">
        <v>12000</v>
      </c>
      <c r="V89" s="717">
        <v>0</v>
      </c>
      <c r="W89" s="717">
        <v>0</v>
      </c>
      <c r="X89" s="717">
        <v>0</v>
      </c>
      <c r="Y89" s="717">
        <v>0</v>
      </c>
      <c r="Z89" s="717">
        <v>4035.3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3">
        <v>24350.06</v>
      </c>
    </row>
    <row r="90" spans="1:34" x14ac:dyDescent="0.2">
      <c r="A90" s="666" t="s">
        <v>2033</v>
      </c>
      <c r="B90" s="666" t="s">
        <v>35</v>
      </c>
      <c r="C90" s="666"/>
      <c r="D90" s="666"/>
      <c r="E90" s="715">
        <v>30</v>
      </c>
      <c r="F90" s="715">
        <v>40</v>
      </c>
      <c r="G90" s="715">
        <v>0</v>
      </c>
      <c r="H90" s="715">
        <v>0</v>
      </c>
      <c r="I90" s="715">
        <v>0</v>
      </c>
      <c r="J90" s="715">
        <v>0</v>
      </c>
      <c r="K90" s="715">
        <v>12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58</v>
      </c>
      <c r="S90" s="666" t="s">
        <v>1208</v>
      </c>
      <c r="T90" s="717">
        <v>803.12</v>
      </c>
      <c r="U90" s="717">
        <v>1000</v>
      </c>
      <c r="V90" s="717">
        <v>0</v>
      </c>
      <c r="W90" s="717">
        <v>0</v>
      </c>
      <c r="X90" s="717">
        <v>0</v>
      </c>
      <c r="Y90" s="717">
        <v>0</v>
      </c>
      <c r="Z90" s="717">
        <v>276.19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3">
        <v>1526.93</v>
      </c>
    </row>
    <row r="91" spans="1:34" x14ac:dyDescent="0.2">
      <c r="A91" s="666" t="s">
        <v>2034</v>
      </c>
      <c r="B91" s="666" t="s">
        <v>35</v>
      </c>
      <c r="C91" s="666"/>
      <c r="D91" s="666"/>
      <c r="E91" s="715">
        <v>280</v>
      </c>
      <c r="F91" s="715">
        <v>280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440</v>
      </c>
      <c r="S91" s="666" t="s">
        <v>1206</v>
      </c>
      <c r="T91" s="717">
        <v>8340.66</v>
      </c>
      <c r="U91" s="717">
        <v>7000</v>
      </c>
      <c r="V91" s="717">
        <v>0</v>
      </c>
      <c r="W91" s="717">
        <v>0</v>
      </c>
      <c r="X91" s="717">
        <v>0</v>
      </c>
      <c r="Y91" s="717">
        <v>0</v>
      </c>
      <c r="Z91" s="717">
        <v>2908.68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3">
        <v>12431.98</v>
      </c>
      <c r="AH91" s="544"/>
    </row>
    <row r="92" spans="1:34" x14ac:dyDescent="0.2">
      <c r="A92" s="666" t="s">
        <v>2035</v>
      </c>
      <c r="B92" s="666" t="s">
        <v>35</v>
      </c>
      <c r="C92" s="666"/>
      <c r="D92" s="666"/>
      <c r="E92" s="715">
        <v>1501</v>
      </c>
      <c r="F92" s="715">
        <v>925</v>
      </c>
      <c r="G92" s="715">
        <v>37</v>
      </c>
      <c r="H92" s="715">
        <v>0</v>
      </c>
      <c r="I92" s="715">
        <v>0</v>
      </c>
      <c r="J92" s="715">
        <v>0</v>
      </c>
      <c r="K92" s="715">
        <v>508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1955</v>
      </c>
      <c r="S92" s="666" t="s">
        <v>1795</v>
      </c>
      <c r="T92" s="717">
        <v>75893.16</v>
      </c>
      <c r="U92" s="717">
        <v>36825</v>
      </c>
      <c r="V92" s="717">
        <v>1472.79</v>
      </c>
      <c r="W92" s="717">
        <v>0</v>
      </c>
      <c r="X92" s="717">
        <v>0</v>
      </c>
      <c r="Y92" s="717">
        <v>0</v>
      </c>
      <c r="Z92" s="717">
        <v>17641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3">
        <v>96549.95</v>
      </c>
    </row>
    <row r="93" spans="1:34" x14ac:dyDescent="0.2">
      <c r="A93" s="666" t="s">
        <v>2036</v>
      </c>
      <c r="B93" s="666" t="s">
        <v>35</v>
      </c>
      <c r="C93" s="666"/>
      <c r="D93" s="666"/>
      <c r="E93" s="715">
        <v>33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30</v>
      </c>
      <c r="S93" s="666" t="s">
        <v>678</v>
      </c>
      <c r="T93" s="717">
        <v>30120.600000000002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1954.3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3">
        <v>28166.3</v>
      </c>
    </row>
    <row r="94" spans="1:34" x14ac:dyDescent="0.2">
      <c r="A94" s="666" t="s">
        <v>2037</v>
      </c>
      <c r="B94" s="666" t="s">
        <v>35</v>
      </c>
      <c r="C94" s="666"/>
      <c r="D94" s="666"/>
      <c r="E94" s="715">
        <v>170</v>
      </c>
      <c r="F94" s="715">
        <v>0</v>
      </c>
      <c r="G94" s="715">
        <v>81</v>
      </c>
      <c r="H94" s="715">
        <v>0</v>
      </c>
      <c r="I94" s="715">
        <v>0</v>
      </c>
      <c r="J94" s="715">
        <v>0</v>
      </c>
      <c r="K94" s="715">
        <v>51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200</v>
      </c>
      <c r="S94" s="666" t="s">
        <v>839</v>
      </c>
      <c r="T94" s="717">
        <v>4465</v>
      </c>
      <c r="U94" s="717">
        <v>0</v>
      </c>
      <c r="V94" s="717">
        <v>2027.04</v>
      </c>
      <c r="W94" s="717">
        <v>0</v>
      </c>
      <c r="X94" s="717">
        <v>0</v>
      </c>
      <c r="Y94" s="717">
        <v>0</v>
      </c>
      <c r="Z94" s="717">
        <v>1463.42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3">
        <v>5028.62</v>
      </c>
    </row>
    <row r="95" spans="1:34" x14ac:dyDescent="0.2">
      <c r="A95" s="666" t="s">
        <v>2038</v>
      </c>
      <c r="B95" s="666" t="s">
        <v>35</v>
      </c>
      <c r="C95" s="666"/>
      <c r="D95" s="666"/>
      <c r="E95" s="715">
        <v>58</v>
      </c>
      <c r="F95" s="715">
        <v>0</v>
      </c>
      <c r="G95" s="715">
        <v>0</v>
      </c>
      <c r="H95" s="715">
        <v>0</v>
      </c>
      <c r="I95" s="715">
        <v>0</v>
      </c>
      <c r="J95" s="715">
        <v>0</v>
      </c>
      <c r="K95" s="715">
        <v>10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48</v>
      </c>
      <c r="S95" s="666" t="s">
        <v>1807</v>
      </c>
      <c r="T95" s="717">
        <v>1441.64</v>
      </c>
      <c r="U95" s="717">
        <v>0</v>
      </c>
      <c r="V95" s="717">
        <v>0</v>
      </c>
      <c r="W95" s="717">
        <v>0</v>
      </c>
      <c r="X95" s="717">
        <v>0</v>
      </c>
      <c r="Y95" s="717">
        <v>0</v>
      </c>
      <c r="Z95" s="717">
        <v>224.9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3">
        <v>1216.74</v>
      </c>
    </row>
    <row r="96" spans="1:34" x14ac:dyDescent="0.2">
      <c r="A96" s="666" t="s">
        <v>2039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68201.7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13425.800000000001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3">
        <v>54775.9</v>
      </c>
    </row>
    <row r="97" spans="1:33" x14ac:dyDescent="0.2">
      <c r="A97" s="666" t="s">
        <v>2040</v>
      </c>
      <c r="B97" s="666" t="s">
        <v>35</v>
      </c>
      <c r="C97" s="666"/>
      <c r="D97" s="666"/>
      <c r="E97" s="715">
        <v>7700</v>
      </c>
      <c r="F97" s="715">
        <v>0</v>
      </c>
      <c r="G97" s="715">
        <v>0</v>
      </c>
      <c r="H97" s="715">
        <v>0</v>
      </c>
      <c r="I97" s="715">
        <v>0</v>
      </c>
      <c r="J97" s="715">
        <v>0</v>
      </c>
      <c r="K97" s="715">
        <v>840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222392</v>
      </c>
      <c r="U97" s="717">
        <v>0</v>
      </c>
      <c r="V97" s="717">
        <v>0</v>
      </c>
      <c r="W97" s="717">
        <v>0</v>
      </c>
      <c r="X97" s="717">
        <v>0</v>
      </c>
      <c r="Y97" s="717">
        <v>0</v>
      </c>
      <c r="Z97" s="717">
        <v>21042.5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3">
        <v>201349.5</v>
      </c>
    </row>
    <row r="98" spans="1:33" x14ac:dyDescent="0.2">
      <c r="A98" s="666" t="s">
        <v>2041</v>
      </c>
      <c r="B98" s="666" t="s">
        <v>35</v>
      </c>
      <c r="C98" s="666"/>
      <c r="D98" s="666"/>
      <c r="E98" s="715">
        <v>8</v>
      </c>
      <c r="F98" s="715">
        <v>0</v>
      </c>
      <c r="G98" s="715">
        <v>5</v>
      </c>
      <c r="H98" s="715">
        <v>0</v>
      </c>
      <c r="I98" s="715">
        <v>0</v>
      </c>
      <c r="J98" s="715">
        <v>0</v>
      </c>
      <c r="K98" s="715">
        <v>3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10</v>
      </c>
      <c r="S98" s="666" t="s">
        <v>1419</v>
      </c>
      <c r="T98" s="717">
        <v>186.46</v>
      </c>
      <c r="U98" s="717">
        <v>0</v>
      </c>
      <c r="V98" s="717">
        <v>100</v>
      </c>
      <c r="W98" s="717">
        <v>0</v>
      </c>
      <c r="X98" s="717">
        <v>0</v>
      </c>
      <c r="Y98" s="717">
        <v>0</v>
      </c>
      <c r="Z98" s="717">
        <v>51.660000000000004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3">
        <v>234.8</v>
      </c>
    </row>
    <row r="99" spans="1:33" x14ac:dyDescent="0.2">
      <c r="A99" s="666" t="s">
        <v>2042</v>
      </c>
      <c r="B99" s="666" t="s">
        <v>35</v>
      </c>
      <c r="C99" s="666"/>
      <c r="D99" s="666"/>
      <c r="E99" s="715">
        <v>35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10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25</v>
      </c>
      <c r="S99" s="666" t="s">
        <v>1522</v>
      </c>
      <c r="T99" s="717">
        <v>957.66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195.27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3">
        <v>762.39</v>
      </c>
    </row>
    <row r="100" spans="1:33" x14ac:dyDescent="0.2">
      <c r="A100" s="666" t="s">
        <v>2043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1246</v>
      </c>
      <c r="T100" s="717">
        <v>54903.96</v>
      </c>
      <c r="U100" s="717">
        <v>0</v>
      </c>
      <c r="V100" s="717">
        <v>0</v>
      </c>
      <c r="W100" s="717">
        <v>0</v>
      </c>
      <c r="X100" s="717">
        <v>0</v>
      </c>
      <c r="Y100" s="717">
        <v>0</v>
      </c>
      <c r="Z100" s="717">
        <v>5798.43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3">
        <v>49105.53</v>
      </c>
    </row>
    <row r="101" spans="1:33" x14ac:dyDescent="0.2">
      <c r="A101" s="666" t="s">
        <v>2044</v>
      </c>
      <c r="B101" s="666" t="s">
        <v>35</v>
      </c>
      <c r="C101" s="666"/>
      <c r="D101" s="666"/>
      <c r="E101" s="715">
        <v>6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5</v>
      </c>
      <c r="S101" s="666" t="s">
        <v>878</v>
      </c>
      <c r="T101" s="717">
        <v>169.64000000000001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38.36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3">
        <v>131.28</v>
      </c>
    </row>
    <row r="102" spans="1:33" x14ac:dyDescent="0.2">
      <c r="A102" s="666" t="s">
        <v>2045</v>
      </c>
      <c r="B102" s="666" t="s">
        <v>35</v>
      </c>
      <c r="C102" s="666"/>
      <c r="D102" s="666"/>
      <c r="E102" s="715">
        <v>7</v>
      </c>
      <c r="F102" s="715">
        <v>0</v>
      </c>
      <c r="G102" s="715">
        <v>1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6</v>
      </c>
      <c r="S102" s="666" t="s">
        <v>1834</v>
      </c>
      <c r="T102" s="717">
        <v>193.55</v>
      </c>
      <c r="U102" s="717">
        <v>0</v>
      </c>
      <c r="V102" s="717">
        <v>41.7</v>
      </c>
      <c r="W102" s="717">
        <v>0</v>
      </c>
      <c r="X102" s="717">
        <v>0</v>
      </c>
      <c r="Y102" s="717">
        <v>0</v>
      </c>
      <c r="Z102" s="717">
        <v>38.36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3">
        <v>196.89000000000001</v>
      </c>
    </row>
    <row r="103" spans="1:33" x14ac:dyDescent="0.2">
      <c r="A103" s="666" t="s">
        <v>2046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1731</v>
      </c>
      <c r="T103" s="717">
        <v>573.72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0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3">
        <v>573.72</v>
      </c>
    </row>
    <row r="104" spans="1:33" x14ac:dyDescent="0.2">
      <c r="A104" s="666" t="s">
        <v>2047</v>
      </c>
      <c r="B104" s="666" t="s">
        <v>35</v>
      </c>
      <c r="C104" s="666"/>
      <c r="D104" s="666"/>
      <c r="E104" s="715">
        <v>213</v>
      </c>
      <c r="F104" s="715">
        <v>0</v>
      </c>
      <c r="G104" s="715">
        <v>0</v>
      </c>
      <c r="H104" s="715">
        <v>0</v>
      </c>
      <c r="I104" s="715">
        <v>0</v>
      </c>
      <c r="J104" s="715">
        <v>0</v>
      </c>
      <c r="K104" s="715">
        <v>17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196</v>
      </c>
      <c r="S104" s="666" t="s">
        <v>1638</v>
      </c>
      <c r="T104" s="717">
        <v>5464.6900000000005</v>
      </c>
      <c r="U104" s="717">
        <v>0</v>
      </c>
      <c r="V104" s="717">
        <v>0</v>
      </c>
      <c r="W104" s="717">
        <v>0</v>
      </c>
      <c r="X104" s="717">
        <v>0</v>
      </c>
      <c r="Y104" s="717">
        <v>0</v>
      </c>
      <c r="Z104" s="717">
        <v>486.86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3">
        <v>4977.83</v>
      </c>
    </row>
    <row r="105" spans="1:33" x14ac:dyDescent="0.2">
      <c r="A105" s="666" t="s">
        <v>2048</v>
      </c>
      <c r="B105" s="666" t="s">
        <v>35</v>
      </c>
      <c r="C105" s="666"/>
      <c r="D105" s="666"/>
      <c r="E105" s="715">
        <v>90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2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88</v>
      </c>
      <c r="S105" s="666" t="s">
        <v>1739</v>
      </c>
      <c r="T105" s="717">
        <v>2281.92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77.3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3">
        <v>2204.62</v>
      </c>
    </row>
    <row r="106" spans="1:33" x14ac:dyDescent="0.2">
      <c r="A106" s="666" t="s">
        <v>2049</v>
      </c>
      <c r="B106" s="666" t="s">
        <v>35</v>
      </c>
      <c r="C106" s="666"/>
      <c r="D106" s="666"/>
      <c r="E106" s="715">
        <v>20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20</v>
      </c>
      <c r="S106" s="666" t="s">
        <v>652</v>
      </c>
      <c r="T106" s="717">
        <v>66337.37</v>
      </c>
      <c r="U106" s="717">
        <v>0</v>
      </c>
      <c r="V106" s="717">
        <v>0</v>
      </c>
      <c r="W106" s="717">
        <v>0</v>
      </c>
      <c r="X106" s="717">
        <v>0</v>
      </c>
      <c r="Y106" s="717">
        <v>0</v>
      </c>
      <c r="Z106" s="717">
        <v>13913.130000000001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3">
        <v>52424.24</v>
      </c>
    </row>
    <row r="107" spans="1:33" x14ac:dyDescent="0.2">
      <c r="A107" s="666" t="s">
        <v>2050</v>
      </c>
      <c r="B107" s="666" t="s">
        <v>35</v>
      </c>
      <c r="C107" s="666"/>
      <c r="D107" s="666"/>
      <c r="E107" s="715">
        <v>600</v>
      </c>
      <c r="F107" s="715">
        <v>240</v>
      </c>
      <c r="G107" s="715">
        <v>0</v>
      </c>
      <c r="H107" s="715">
        <v>0</v>
      </c>
      <c r="I107" s="715">
        <v>0</v>
      </c>
      <c r="J107" s="715">
        <v>0</v>
      </c>
      <c r="K107" s="715">
        <v>300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540</v>
      </c>
      <c r="S107" s="666" t="s">
        <v>903</v>
      </c>
      <c r="T107" s="717">
        <v>16605</v>
      </c>
      <c r="U107" s="717">
        <v>6000</v>
      </c>
      <c r="V107" s="717">
        <v>0</v>
      </c>
      <c r="W107" s="717">
        <v>0</v>
      </c>
      <c r="X107" s="717">
        <v>0</v>
      </c>
      <c r="Y107" s="717">
        <v>0</v>
      </c>
      <c r="Z107" s="717">
        <v>7345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3">
        <v>15260</v>
      </c>
    </row>
    <row r="108" spans="1:33" x14ac:dyDescent="0.2">
      <c r="A108" s="666" t="s">
        <v>2051</v>
      </c>
      <c r="B108" s="666" t="s">
        <v>35</v>
      </c>
      <c r="C108" s="666"/>
      <c r="D108" s="666"/>
      <c r="E108" s="715">
        <v>125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35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90</v>
      </c>
      <c r="S108" s="666" t="s">
        <v>665</v>
      </c>
      <c r="T108" s="717">
        <v>3284.09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845.54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3">
        <v>2438.5500000000002</v>
      </c>
    </row>
    <row r="109" spans="1:33" x14ac:dyDescent="0.2">
      <c r="A109" s="666" t="s">
        <v>2052</v>
      </c>
      <c r="B109" s="666" t="s">
        <v>35</v>
      </c>
      <c r="C109" s="666"/>
      <c r="D109" s="666"/>
      <c r="E109" s="715">
        <v>140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140</v>
      </c>
      <c r="S109" s="666" t="s">
        <v>662</v>
      </c>
      <c r="T109" s="717">
        <v>3500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3">
        <v>3500</v>
      </c>
    </row>
    <row r="110" spans="1:33" x14ac:dyDescent="0.2">
      <c r="A110" s="666" t="s">
        <v>2053</v>
      </c>
      <c r="B110" s="666" t="s">
        <v>35</v>
      </c>
      <c r="C110" s="666"/>
      <c r="D110" s="666"/>
      <c r="E110" s="715">
        <v>110</v>
      </c>
      <c r="F110" s="715">
        <v>120</v>
      </c>
      <c r="G110" s="715">
        <v>0</v>
      </c>
      <c r="H110" s="715">
        <v>0</v>
      </c>
      <c r="I110" s="715">
        <v>0</v>
      </c>
      <c r="J110" s="715">
        <v>0</v>
      </c>
      <c r="K110" s="715">
        <v>33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197</v>
      </c>
      <c r="S110" s="666" t="s">
        <v>1707</v>
      </c>
      <c r="T110" s="717">
        <v>3408.2000000000003</v>
      </c>
      <c r="U110" s="717">
        <v>3000</v>
      </c>
      <c r="V110" s="717">
        <v>0</v>
      </c>
      <c r="W110" s="717">
        <v>0</v>
      </c>
      <c r="X110" s="717">
        <v>0</v>
      </c>
      <c r="Y110" s="717">
        <v>0</v>
      </c>
      <c r="Z110" s="717">
        <v>1305.6000000000001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3">
        <v>5102.6000000000004</v>
      </c>
    </row>
    <row r="111" spans="1:33" x14ac:dyDescent="0.2">
      <c r="A111" s="666" t="s">
        <v>2054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50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50</v>
      </c>
      <c r="S111" s="666" t="s">
        <v>1596</v>
      </c>
      <c r="T111" s="717">
        <v>2216.96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863.66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3">
        <v>1353.3</v>
      </c>
    </row>
    <row r="112" spans="1:33" x14ac:dyDescent="0.2">
      <c r="A112" s="666" t="s">
        <v>2055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155</v>
      </c>
      <c r="S112" s="666" t="s">
        <v>1685</v>
      </c>
      <c r="T112" s="717">
        <v>3874.8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3">
        <v>3874.8</v>
      </c>
    </row>
    <row r="113" spans="1:33" x14ac:dyDescent="0.2">
      <c r="A113" s="666" t="s">
        <v>2056</v>
      </c>
      <c r="B113" s="666" t="s">
        <v>35</v>
      </c>
      <c r="C113" s="666"/>
      <c r="D113" s="666"/>
      <c r="E113" s="715">
        <v>45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5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40</v>
      </c>
      <c r="S113" s="666" t="s">
        <v>471</v>
      </c>
      <c r="T113" s="717">
        <v>1226.05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147.69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3">
        <v>1078.3600000000001</v>
      </c>
    </row>
    <row r="114" spans="1:33" x14ac:dyDescent="0.2">
      <c r="A114" s="666" t="s">
        <v>2057</v>
      </c>
      <c r="B114" s="666" t="s">
        <v>35</v>
      </c>
      <c r="C114" s="666"/>
      <c r="D114" s="666"/>
      <c r="E114" s="715">
        <v>127</v>
      </c>
      <c r="F114" s="715">
        <v>0</v>
      </c>
      <c r="G114" s="715">
        <v>80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160</v>
      </c>
      <c r="S114" s="666" t="s">
        <v>836</v>
      </c>
      <c r="T114" s="717">
        <v>3452.82</v>
      </c>
      <c r="U114" s="717">
        <v>0</v>
      </c>
      <c r="V114" s="717">
        <v>2000</v>
      </c>
      <c r="W114" s="717">
        <v>0</v>
      </c>
      <c r="X114" s="717">
        <v>0</v>
      </c>
      <c r="Y114" s="717">
        <v>0</v>
      </c>
      <c r="Z114" s="717">
        <v>1124.6500000000001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3">
        <v>4328.17</v>
      </c>
    </row>
    <row r="115" spans="1:33" x14ac:dyDescent="0.2">
      <c r="A115" s="666" t="s">
        <v>2058</v>
      </c>
      <c r="B115" s="666" t="s">
        <v>35</v>
      </c>
      <c r="C115" s="666"/>
      <c r="D115" s="666"/>
      <c r="E115" s="715">
        <v>426</v>
      </c>
      <c r="F115" s="715">
        <v>0</v>
      </c>
      <c r="G115" s="715">
        <v>0</v>
      </c>
      <c r="H115" s="715">
        <v>0</v>
      </c>
      <c r="I115" s="715">
        <v>0</v>
      </c>
      <c r="J115" s="715">
        <v>0</v>
      </c>
      <c r="K115" s="715">
        <v>49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377</v>
      </c>
      <c r="S115" s="666" t="s">
        <v>1639</v>
      </c>
      <c r="T115" s="717">
        <v>10993.99</v>
      </c>
      <c r="U115" s="717">
        <v>0</v>
      </c>
      <c r="V115" s="717">
        <v>0</v>
      </c>
      <c r="W115" s="717">
        <v>0</v>
      </c>
      <c r="X115" s="717">
        <v>0</v>
      </c>
      <c r="Y115" s="717">
        <v>0</v>
      </c>
      <c r="Z115" s="717">
        <v>1155.76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3">
        <v>9838.23</v>
      </c>
    </row>
    <row r="116" spans="1:33" x14ac:dyDescent="0.2">
      <c r="A116" s="666" t="s">
        <v>2059</v>
      </c>
      <c r="B116" s="666" t="s">
        <v>35</v>
      </c>
      <c r="C116" s="666"/>
      <c r="D116" s="666"/>
      <c r="E116" s="715">
        <v>8</v>
      </c>
      <c r="F116" s="715">
        <v>0</v>
      </c>
      <c r="G116" s="715">
        <v>1</v>
      </c>
      <c r="H116" s="715">
        <v>0</v>
      </c>
      <c r="I116" s="715">
        <v>0</v>
      </c>
      <c r="J116" s="715">
        <v>0</v>
      </c>
      <c r="K116" s="715">
        <v>2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7</v>
      </c>
      <c r="S116" s="666" t="s">
        <v>1733</v>
      </c>
      <c r="T116" s="717">
        <v>203</v>
      </c>
      <c r="U116" s="717">
        <v>0</v>
      </c>
      <c r="V116" s="717">
        <v>28.61</v>
      </c>
      <c r="W116" s="717">
        <v>0</v>
      </c>
      <c r="X116" s="717">
        <v>0</v>
      </c>
      <c r="Y116" s="717">
        <v>0</v>
      </c>
      <c r="Z116" s="717">
        <v>15.13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3">
        <v>216.48000000000002</v>
      </c>
    </row>
    <row r="117" spans="1:33" x14ac:dyDescent="0.2">
      <c r="A117" s="666" t="s">
        <v>2060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80</v>
      </c>
      <c r="H117" s="715">
        <v>0</v>
      </c>
      <c r="I117" s="715">
        <v>0</v>
      </c>
      <c r="J117" s="715">
        <v>0</v>
      </c>
      <c r="K117" s="715">
        <v>80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320</v>
      </c>
      <c r="S117" s="666" t="s">
        <v>845</v>
      </c>
      <c r="T117" s="717">
        <v>9128.4</v>
      </c>
      <c r="U117" s="717">
        <v>0</v>
      </c>
      <c r="V117" s="717">
        <v>2000</v>
      </c>
      <c r="W117" s="717">
        <v>0</v>
      </c>
      <c r="X117" s="717">
        <v>0</v>
      </c>
      <c r="Y117" s="717">
        <v>0</v>
      </c>
      <c r="Z117" s="717">
        <v>2286.2600000000002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3">
        <v>8842.14</v>
      </c>
    </row>
    <row r="118" spans="1:33" x14ac:dyDescent="0.2">
      <c r="A118" s="666" t="s">
        <v>2061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1375</v>
      </c>
      <c r="T118" s="717">
        <v>18662.16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5305.57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3">
        <v>13356.59</v>
      </c>
    </row>
    <row r="119" spans="1:33" x14ac:dyDescent="0.2">
      <c r="A119" s="666" t="s">
        <v>2062</v>
      </c>
      <c r="B119" s="666" t="s">
        <v>35</v>
      </c>
      <c r="C119" s="666"/>
      <c r="D119" s="666"/>
      <c r="E119" s="715">
        <v>48</v>
      </c>
      <c r="F119" s="715">
        <v>0</v>
      </c>
      <c r="G119" s="715">
        <v>40</v>
      </c>
      <c r="H119" s="715">
        <v>0</v>
      </c>
      <c r="I119" s="715">
        <v>0</v>
      </c>
      <c r="J119" s="715">
        <v>0</v>
      </c>
      <c r="K119" s="715">
        <v>25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63</v>
      </c>
      <c r="S119" s="666" t="s">
        <v>879</v>
      </c>
      <c r="T119" s="717">
        <v>1558.6200000000001</v>
      </c>
      <c r="U119" s="717">
        <v>0</v>
      </c>
      <c r="V119" s="717">
        <v>1000</v>
      </c>
      <c r="W119" s="717">
        <v>0</v>
      </c>
      <c r="X119" s="717">
        <v>0</v>
      </c>
      <c r="Y119" s="717">
        <v>0</v>
      </c>
      <c r="Z119" s="717">
        <v>686.42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3">
        <v>1872.2</v>
      </c>
    </row>
    <row r="120" spans="1:33" x14ac:dyDescent="0.2">
      <c r="A120" s="666" t="s">
        <v>2142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1311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3">
        <v>25220</v>
      </c>
    </row>
    <row r="121" spans="1:33" x14ac:dyDescent="0.2">
      <c r="A121" s="666" t="s">
        <v>2063</v>
      </c>
      <c r="B121" s="666" t="s">
        <v>35</v>
      </c>
      <c r="C121" s="666"/>
      <c r="D121" s="666"/>
      <c r="E121" s="715">
        <v>2000</v>
      </c>
      <c r="F121" s="715">
        <v>1400</v>
      </c>
      <c r="G121" s="715">
        <v>0</v>
      </c>
      <c r="H121" s="715">
        <v>0</v>
      </c>
      <c r="I121" s="715">
        <v>0</v>
      </c>
      <c r="J121" s="715">
        <v>0</v>
      </c>
      <c r="K121" s="715">
        <v>900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2500</v>
      </c>
      <c r="S121" s="666" t="s">
        <v>1317</v>
      </c>
      <c r="T121" s="717">
        <v>60302.200000000004</v>
      </c>
      <c r="U121" s="717">
        <v>35000</v>
      </c>
      <c r="V121" s="717">
        <v>0</v>
      </c>
      <c r="W121" s="717">
        <v>0</v>
      </c>
      <c r="X121" s="717">
        <v>0</v>
      </c>
      <c r="Y121" s="717">
        <v>0</v>
      </c>
      <c r="Z121" s="717">
        <v>23468.5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3">
        <v>71833.7</v>
      </c>
    </row>
    <row r="122" spans="1:33" x14ac:dyDescent="0.2">
      <c r="A122" s="666" t="s">
        <v>2064</v>
      </c>
      <c r="B122" s="666" t="s">
        <v>35</v>
      </c>
      <c r="C122" s="666"/>
      <c r="D122" s="666"/>
      <c r="E122" s="715">
        <v>426</v>
      </c>
      <c r="F122" s="715">
        <v>0</v>
      </c>
      <c r="G122" s="715">
        <v>0</v>
      </c>
      <c r="H122" s="715">
        <v>0</v>
      </c>
      <c r="I122" s="715">
        <v>0</v>
      </c>
      <c r="J122" s="715">
        <v>0</v>
      </c>
      <c r="K122" s="715">
        <v>126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9101.7800000000007</v>
      </c>
      <c r="U122" s="717">
        <v>0</v>
      </c>
      <c r="V122" s="717">
        <v>0</v>
      </c>
      <c r="W122" s="717">
        <v>0</v>
      </c>
      <c r="X122" s="717">
        <v>0</v>
      </c>
      <c r="Y122" s="717">
        <v>0</v>
      </c>
      <c r="Z122" s="717">
        <v>2332.73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3">
        <v>6769.05</v>
      </c>
    </row>
    <row r="123" spans="1:33" x14ac:dyDescent="0.2">
      <c r="A123" s="666" t="s">
        <v>2065</v>
      </c>
      <c r="B123" s="666" t="s">
        <v>35</v>
      </c>
      <c r="C123" s="666"/>
      <c r="D123" s="666"/>
      <c r="E123" s="715">
        <v>1360</v>
      </c>
      <c r="F123" s="715">
        <v>0</v>
      </c>
      <c r="G123" s="715">
        <v>0</v>
      </c>
      <c r="H123" s="715">
        <v>0</v>
      </c>
      <c r="I123" s="715">
        <v>0</v>
      </c>
      <c r="J123" s="715">
        <v>0</v>
      </c>
      <c r="K123" s="715">
        <v>380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980</v>
      </c>
      <c r="S123" s="666" t="s">
        <v>359</v>
      </c>
      <c r="T123" s="717">
        <v>35994.93</v>
      </c>
      <c r="U123" s="717">
        <v>0</v>
      </c>
      <c r="V123" s="717">
        <v>0</v>
      </c>
      <c r="W123" s="717">
        <v>0</v>
      </c>
      <c r="X123" s="717">
        <v>0</v>
      </c>
      <c r="Y123" s="717">
        <v>0</v>
      </c>
      <c r="Z123" s="717">
        <v>10565.9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3">
        <v>25429.03</v>
      </c>
    </row>
    <row r="124" spans="1:33" x14ac:dyDescent="0.2">
      <c r="A124" s="666" t="s">
        <v>2066</v>
      </c>
      <c r="B124" s="666" t="s">
        <v>35</v>
      </c>
      <c r="C124" s="666"/>
      <c r="D124" s="666"/>
      <c r="E124" s="715">
        <v>2360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1120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2360</v>
      </c>
      <c r="S124" s="666" t="s">
        <v>654</v>
      </c>
      <c r="T124" s="717">
        <v>68539.7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29485.600000000002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3">
        <v>67054.100000000006</v>
      </c>
    </row>
    <row r="125" spans="1:33" x14ac:dyDescent="0.2">
      <c r="A125" s="666" t="s">
        <v>2067</v>
      </c>
      <c r="B125" s="666" t="s">
        <v>35</v>
      </c>
      <c r="C125" s="666"/>
      <c r="D125" s="666"/>
      <c r="E125" s="715">
        <v>97</v>
      </c>
      <c r="F125" s="715">
        <v>0</v>
      </c>
      <c r="G125" s="715">
        <v>0</v>
      </c>
      <c r="H125" s="715">
        <v>0</v>
      </c>
      <c r="I125" s="715">
        <v>0</v>
      </c>
      <c r="J125" s="715">
        <v>0</v>
      </c>
      <c r="K125" s="715">
        <v>17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80</v>
      </c>
      <c r="S125" s="666" t="s">
        <v>674</v>
      </c>
      <c r="T125" s="717">
        <v>2549.3000000000002</v>
      </c>
      <c r="U125" s="717">
        <v>0</v>
      </c>
      <c r="V125" s="717">
        <v>0</v>
      </c>
      <c r="W125" s="717">
        <v>0</v>
      </c>
      <c r="X125" s="717">
        <v>0</v>
      </c>
      <c r="Y125" s="717">
        <v>0</v>
      </c>
      <c r="Z125" s="717">
        <v>340.2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3">
        <v>2209.1</v>
      </c>
    </row>
    <row r="126" spans="1:33" x14ac:dyDescent="0.2">
      <c r="A126" s="666" t="s">
        <v>2068</v>
      </c>
      <c r="B126" s="666" t="s">
        <v>35</v>
      </c>
      <c r="C126" s="666"/>
      <c r="D126" s="666"/>
      <c r="E126" s="715">
        <v>17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12</v>
      </c>
      <c r="S126" s="666" t="s">
        <v>1198</v>
      </c>
      <c r="T126" s="717">
        <v>422.48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101.47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3">
        <v>321.01</v>
      </c>
    </row>
    <row r="127" spans="1:33" x14ac:dyDescent="0.2">
      <c r="A127" s="666" t="s">
        <v>2242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1</v>
      </c>
      <c r="H127" s="715">
        <v>0</v>
      </c>
      <c r="I127" s="715">
        <v>0</v>
      </c>
      <c r="J127" s="715">
        <v>0</v>
      </c>
      <c r="K127" s="715">
        <v>1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1729</v>
      </c>
      <c r="T127" s="717">
        <v>0</v>
      </c>
      <c r="U127" s="717">
        <v>0</v>
      </c>
      <c r="V127" s="717">
        <v>27.84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3">
        <v>27.84</v>
      </c>
    </row>
    <row r="128" spans="1:33" x14ac:dyDescent="0.2">
      <c r="A128" s="666" t="s">
        <v>2069</v>
      </c>
      <c r="B128" s="666" t="s">
        <v>35</v>
      </c>
      <c r="C128" s="666"/>
      <c r="D128" s="666"/>
      <c r="E128" s="715">
        <v>96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6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90</v>
      </c>
      <c r="S128" s="666" t="s">
        <v>1641</v>
      </c>
      <c r="T128" s="717">
        <v>2406.37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128.19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3">
        <v>2278.1799999999998</v>
      </c>
    </row>
    <row r="129" spans="1:34" x14ac:dyDescent="0.2">
      <c r="A129" s="666" t="s">
        <v>2070</v>
      </c>
      <c r="B129" s="666" t="s">
        <v>35</v>
      </c>
      <c r="C129" s="666"/>
      <c r="D129" s="666"/>
      <c r="E129" s="715">
        <v>25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2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23</v>
      </c>
      <c r="S129" s="666" t="s">
        <v>838</v>
      </c>
      <c r="T129" s="717">
        <v>730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133.69999999999999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3">
        <v>596.30000000000007</v>
      </c>
    </row>
    <row r="130" spans="1:34" x14ac:dyDescent="0.2">
      <c r="A130" s="666" t="s">
        <v>2071</v>
      </c>
      <c r="B130" s="666" t="s">
        <v>35</v>
      </c>
      <c r="C130" s="666"/>
      <c r="D130" s="666"/>
      <c r="E130" s="715">
        <v>160</v>
      </c>
      <c r="F130" s="715">
        <v>80</v>
      </c>
      <c r="G130" s="715">
        <v>0</v>
      </c>
      <c r="H130" s="715">
        <v>0</v>
      </c>
      <c r="I130" s="715">
        <v>0</v>
      </c>
      <c r="J130" s="715">
        <v>0</v>
      </c>
      <c r="K130" s="715">
        <v>40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200</v>
      </c>
      <c r="S130" s="666" t="s">
        <v>1229</v>
      </c>
      <c r="T130" s="717">
        <v>4619.0200000000004</v>
      </c>
      <c r="U130" s="717">
        <v>2000</v>
      </c>
      <c r="V130" s="717">
        <v>0</v>
      </c>
      <c r="W130" s="717">
        <v>0</v>
      </c>
      <c r="X130" s="717">
        <v>0</v>
      </c>
      <c r="Y130" s="717">
        <v>0</v>
      </c>
      <c r="Z130" s="717">
        <v>912.32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3">
        <v>5706.7</v>
      </c>
    </row>
    <row r="131" spans="1:34" x14ac:dyDescent="0.2">
      <c r="A131" s="666" t="s">
        <v>2072</v>
      </c>
      <c r="B131" s="666" t="s">
        <v>35</v>
      </c>
      <c r="C131" s="666"/>
      <c r="D131" s="666"/>
      <c r="E131" s="715">
        <v>100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0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100</v>
      </c>
      <c r="S131" s="666" t="s">
        <v>671</v>
      </c>
      <c r="T131" s="717">
        <v>143712.23000000001</v>
      </c>
      <c r="U131" s="717">
        <v>22140</v>
      </c>
      <c r="V131" s="717">
        <v>0</v>
      </c>
      <c r="W131" s="717">
        <v>0</v>
      </c>
      <c r="X131" s="717">
        <v>0</v>
      </c>
      <c r="Y131" s="717">
        <v>0</v>
      </c>
      <c r="Z131" s="717">
        <v>11850.98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3">
        <v>154001.25</v>
      </c>
    </row>
    <row r="132" spans="1:34" x14ac:dyDescent="0.2">
      <c r="A132" s="666" t="s">
        <v>2073</v>
      </c>
      <c r="B132" s="666" t="s">
        <v>35</v>
      </c>
      <c r="C132" s="666"/>
      <c r="D132" s="666"/>
      <c r="E132" s="715">
        <v>0</v>
      </c>
      <c r="F132" s="715">
        <v>0</v>
      </c>
      <c r="G132" s="715">
        <v>0</v>
      </c>
      <c r="H132" s="715">
        <v>0</v>
      </c>
      <c r="I132" s="715">
        <v>0</v>
      </c>
      <c r="J132" s="715">
        <v>0</v>
      </c>
      <c r="K132" s="715">
        <v>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0</v>
      </c>
      <c r="S132" s="666" t="s">
        <v>63</v>
      </c>
      <c r="T132" s="717">
        <v>724.18000000000006</v>
      </c>
      <c r="U132" s="717">
        <v>0</v>
      </c>
      <c r="V132" s="717">
        <v>0</v>
      </c>
      <c r="W132" s="717">
        <v>0</v>
      </c>
      <c r="X132" s="717">
        <v>0</v>
      </c>
      <c r="Y132" s="717">
        <v>0</v>
      </c>
      <c r="Z132" s="717">
        <v>218.82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3">
        <v>505.36</v>
      </c>
    </row>
    <row r="133" spans="1:34" x14ac:dyDescent="0.2">
      <c r="A133" s="666" t="s">
        <v>2074</v>
      </c>
      <c r="B133" s="666" t="s">
        <v>35</v>
      </c>
      <c r="C133" s="666"/>
      <c r="D133" s="666"/>
      <c r="E133" s="715">
        <v>400</v>
      </c>
      <c r="F133" s="715">
        <v>640</v>
      </c>
      <c r="G133" s="715">
        <v>172</v>
      </c>
      <c r="H133" s="715">
        <v>0</v>
      </c>
      <c r="I133" s="715">
        <v>0</v>
      </c>
      <c r="J133" s="715">
        <v>0</v>
      </c>
      <c r="K133" s="715">
        <v>201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1011</v>
      </c>
      <c r="S133" s="666" t="s">
        <v>1742</v>
      </c>
      <c r="T133" s="717">
        <v>11693.210000000001</v>
      </c>
      <c r="U133" s="717">
        <v>16000</v>
      </c>
      <c r="V133" s="717">
        <v>4307.84</v>
      </c>
      <c r="W133" s="717">
        <v>0</v>
      </c>
      <c r="X133" s="717">
        <v>0</v>
      </c>
      <c r="Y133" s="717">
        <v>0</v>
      </c>
      <c r="Z133" s="717">
        <v>4021.33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3">
        <v>27979.72</v>
      </c>
    </row>
    <row r="134" spans="1:34" x14ac:dyDescent="0.2">
      <c r="A134" s="666" t="s">
        <v>2075</v>
      </c>
      <c r="B134" s="666" t="s">
        <v>35</v>
      </c>
      <c r="C134" s="666"/>
      <c r="D134" s="666"/>
      <c r="E134" s="715">
        <v>34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7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27</v>
      </c>
      <c r="S134" s="666" t="s">
        <v>660</v>
      </c>
      <c r="T134" s="717">
        <v>939.15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166.16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3">
        <v>772.99</v>
      </c>
    </row>
    <row r="135" spans="1:34" x14ac:dyDescent="0.2">
      <c r="A135" s="666" t="s">
        <v>2076</v>
      </c>
      <c r="B135" s="666" t="s">
        <v>35</v>
      </c>
      <c r="C135" s="666"/>
      <c r="D135" s="666"/>
      <c r="E135" s="715">
        <v>10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4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6</v>
      </c>
      <c r="S135" s="666" t="s">
        <v>545</v>
      </c>
      <c r="T135" s="717">
        <v>328.13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94.43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3">
        <v>233.70000000000002</v>
      </c>
    </row>
    <row r="136" spans="1:34" x14ac:dyDescent="0.2">
      <c r="A136" s="666" t="s">
        <v>2077</v>
      </c>
      <c r="B136" s="666" t="s">
        <v>35</v>
      </c>
      <c r="C136" s="666"/>
      <c r="D136" s="666"/>
      <c r="E136" s="715">
        <v>86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21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65</v>
      </c>
      <c r="S136" s="666" t="s">
        <v>670</v>
      </c>
      <c r="T136" s="717">
        <v>2159.2800000000002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454.05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3">
        <v>1705.23</v>
      </c>
    </row>
    <row r="137" spans="1:34" x14ac:dyDescent="0.2">
      <c r="A137" s="666" t="s">
        <v>2078</v>
      </c>
      <c r="B137" s="666" t="s">
        <v>35</v>
      </c>
      <c r="C137" s="666"/>
      <c r="D137" s="666"/>
      <c r="E137" s="715">
        <v>22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2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20</v>
      </c>
      <c r="S137" s="666" t="s">
        <v>1824</v>
      </c>
      <c r="T137" s="717">
        <v>28624.400000000001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1451.7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3">
        <v>27172.7</v>
      </c>
      <c r="AH137" s="544"/>
    </row>
    <row r="138" spans="1:34" x14ac:dyDescent="0.2">
      <c r="A138" s="666" t="s">
        <v>2079</v>
      </c>
      <c r="B138" s="666" t="s">
        <v>35</v>
      </c>
      <c r="C138" s="666"/>
      <c r="D138" s="666"/>
      <c r="E138" s="715">
        <v>45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10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35</v>
      </c>
      <c r="S138" s="666" t="s">
        <v>1656</v>
      </c>
      <c r="T138" s="717">
        <v>1058.5899999999999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291.16000000000003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3">
        <v>767.43000000000006</v>
      </c>
    </row>
    <row r="139" spans="1:34" ht="12" customHeight="1" x14ac:dyDescent="0.2">
      <c r="A139" s="666" t="s">
        <v>2080</v>
      </c>
      <c r="B139" s="666" t="s">
        <v>35</v>
      </c>
      <c r="C139" s="666"/>
      <c r="D139" s="666"/>
      <c r="E139" s="715">
        <v>80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27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53</v>
      </c>
      <c r="S139" s="666" t="s">
        <v>1669</v>
      </c>
      <c r="T139" s="717">
        <v>2180.2200000000003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581.55000000000007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3">
        <v>1598.67</v>
      </c>
    </row>
    <row r="140" spans="1:34" ht="12" customHeight="1" x14ac:dyDescent="0.2">
      <c r="A140" s="666" t="s">
        <v>2081</v>
      </c>
      <c r="B140" s="666" t="s">
        <v>35</v>
      </c>
      <c r="C140" s="666"/>
      <c r="D140" s="666"/>
      <c r="E140" s="715">
        <v>78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6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72</v>
      </c>
      <c r="S140" s="666" t="s">
        <v>1324</v>
      </c>
      <c r="T140" s="717">
        <v>19832.080000000002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1758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3">
        <v>18074.080000000002</v>
      </c>
    </row>
    <row r="141" spans="1:34" ht="12" customHeight="1" x14ac:dyDescent="0.2">
      <c r="A141" s="666" t="s">
        <v>2082</v>
      </c>
      <c r="B141" s="666" t="s">
        <v>35</v>
      </c>
      <c r="C141" s="666"/>
      <c r="D141" s="666"/>
      <c r="E141" s="715">
        <v>1100</v>
      </c>
      <c r="F141" s="715">
        <v>800</v>
      </c>
      <c r="G141" s="715">
        <v>0</v>
      </c>
      <c r="H141" s="715">
        <v>0</v>
      </c>
      <c r="I141" s="715">
        <v>0</v>
      </c>
      <c r="J141" s="715">
        <v>0</v>
      </c>
      <c r="K141" s="715">
        <v>100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1800</v>
      </c>
      <c r="S141" s="666" t="s">
        <v>1643</v>
      </c>
      <c r="T141" s="717">
        <v>28845.22</v>
      </c>
      <c r="U141" s="717">
        <v>20000</v>
      </c>
      <c r="V141" s="717">
        <v>0</v>
      </c>
      <c r="W141" s="717">
        <v>0</v>
      </c>
      <c r="X141" s="717">
        <v>0</v>
      </c>
      <c r="Y141" s="717">
        <v>0</v>
      </c>
      <c r="Z141" s="717">
        <v>2520.8200000000002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3">
        <v>46324.4</v>
      </c>
    </row>
    <row r="142" spans="1:34" ht="12" customHeight="1" x14ac:dyDescent="0.2">
      <c r="A142" s="666" t="s">
        <v>2083</v>
      </c>
      <c r="B142" s="666" t="s">
        <v>35</v>
      </c>
      <c r="C142" s="666"/>
      <c r="D142" s="666"/>
      <c r="E142" s="715">
        <v>0</v>
      </c>
      <c r="F142" s="715">
        <v>1480</v>
      </c>
      <c r="G142" s="715">
        <v>6</v>
      </c>
      <c r="H142" s="715">
        <v>0</v>
      </c>
      <c r="I142" s="715">
        <v>0</v>
      </c>
      <c r="J142" s="715">
        <v>0</v>
      </c>
      <c r="K142" s="715">
        <v>86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1400</v>
      </c>
      <c r="S142" s="666" t="s">
        <v>1645</v>
      </c>
      <c r="T142" s="717">
        <v>37509.770000000004</v>
      </c>
      <c r="U142" s="717">
        <v>37000</v>
      </c>
      <c r="V142" s="717">
        <v>167.04</v>
      </c>
      <c r="W142" s="717">
        <v>0</v>
      </c>
      <c r="X142" s="717">
        <v>0</v>
      </c>
      <c r="Y142" s="717">
        <v>0</v>
      </c>
      <c r="Z142" s="717">
        <v>17270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3">
        <v>57406.81</v>
      </c>
    </row>
    <row r="143" spans="1:34" ht="12" customHeight="1" x14ac:dyDescent="0.2">
      <c r="A143" s="666" t="s">
        <v>2084</v>
      </c>
      <c r="B143" s="666" t="s">
        <v>35</v>
      </c>
      <c r="C143" s="666"/>
      <c r="D143" s="666"/>
      <c r="E143" s="715">
        <v>18</v>
      </c>
      <c r="F143" s="715">
        <v>0</v>
      </c>
      <c r="G143" s="715">
        <v>0</v>
      </c>
      <c r="H143" s="715">
        <v>0</v>
      </c>
      <c r="I143" s="715">
        <v>0</v>
      </c>
      <c r="J143" s="715">
        <v>0</v>
      </c>
      <c r="K143" s="715">
        <v>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18</v>
      </c>
      <c r="S143" s="666" t="s">
        <v>833</v>
      </c>
      <c r="T143" s="717">
        <v>20140</v>
      </c>
      <c r="U143" s="717">
        <v>0</v>
      </c>
      <c r="V143" s="717">
        <v>0</v>
      </c>
      <c r="W143" s="717">
        <v>0</v>
      </c>
      <c r="X143" s="717">
        <v>0</v>
      </c>
      <c r="Y143" s="717">
        <v>0</v>
      </c>
      <c r="Z143" s="717">
        <v>290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3">
        <v>19850</v>
      </c>
    </row>
    <row r="144" spans="1:34" x14ac:dyDescent="0.2">
      <c r="A144" s="666" t="s">
        <v>2085</v>
      </c>
      <c r="B144" s="666" t="s">
        <v>35</v>
      </c>
      <c r="C144" s="666"/>
      <c r="D144" s="666"/>
      <c r="E144" s="715">
        <v>200</v>
      </c>
      <c r="F144" s="715">
        <v>200</v>
      </c>
      <c r="G144" s="715">
        <v>0</v>
      </c>
      <c r="H144" s="715">
        <v>0</v>
      </c>
      <c r="I144" s="715">
        <v>0</v>
      </c>
      <c r="J144" s="715">
        <v>0</v>
      </c>
      <c r="K144" s="715">
        <v>100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300</v>
      </c>
      <c r="S144" s="666" t="s">
        <v>664</v>
      </c>
      <c r="T144" s="717">
        <v>7951.14</v>
      </c>
      <c r="U144" s="717">
        <v>5000</v>
      </c>
      <c r="V144" s="717">
        <v>0</v>
      </c>
      <c r="W144" s="717">
        <v>0</v>
      </c>
      <c r="X144" s="717">
        <v>0</v>
      </c>
      <c r="Y144" s="717">
        <v>0</v>
      </c>
      <c r="Z144" s="717">
        <v>3857.7000000000003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3">
        <v>9093.44</v>
      </c>
    </row>
    <row r="145" spans="1:33" x14ac:dyDescent="0.2">
      <c r="A145" s="666" t="s">
        <v>2086</v>
      </c>
      <c r="B145" s="666" t="s">
        <v>35</v>
      </c>
      <c r="C145" s="666"/>
      <c r="D145" s="666"/>
      <c r="E145" s="715">
        <v>78</v>
      </c>
      <c r="F145" s="715">
        <v>80</v>
      </c>
      <c r="G145" s="715">
        <v>4</v>
      </c>
      <c r="H145" s="715">
        <v>0</v>
      </c>
      <c r="I145" s="715">
        <v>0</v>
      </c>
      <c r="J145" s="715">
        <v>0</v>
      </c>
      <c r="K145" s="715">
        <v>14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148</v>
      </c>
      <c r="S145" s="666" t="s">
        <v>1861</v>
      </c>
      <c r="T145" s="717">
        <v>2088.23</v>
      </c>
      <c r="U145" s="717">
        <v>2000</v>
      </c>
      <c r="V145" s="717">
        <v>114.43</v>
      </c>
      <c r="W145" s="717">
        <v>0</v>
      </c>
      <c r="X145" s="717">
        <v>0</v>
      </c>
      <c r="Y145" s="717">
        <v>0</v>
      </c>
      <c r="Z145" s="717">
        <v>341.45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3">
        <v>3861.21</v>
      </c>
    </row>
    <row r="146" spans="1:33" x14ac:dyDescent="0.2">
      <c r="A146" s="666" t="s">
        <v>2087</v>
      </c>
      <c r="B146" s="666" t="s">
        <v>35</v>
      </c>
      <c r="C146" s="666"/>
      <c r="D146" s="666"/>
      <c r="E146" s="715">
        <v>44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8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36</v>
      </c>
      <c r="S146" s="666" t="s">
        <v>1721</v>
      </c>
      <c r="T146" s="717">
        <v>1117.56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189.4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3">
        <v>928.16</v>
      </c>
    </row>
    <row r="147" spans="1:33" x14ac:dyDescent="0.2">
      <c r="A147" s="666" t="s">
        <v>2088</v>
      </c>
      <c r="B147" s="666" t="s">
        <v>35</v>
      </c>
      <c r="C147" s="666"/>
      <c r="D147" s="666"/>
      <c r="E147" s="715">
        <v>13</v>
      </c>
      <c r="F147" s="715">
        <v>0</v>
      </c>
      <c r="G147" s="715">
        <v>0</v>
      </c>
      <c r="H147" s="715">
        <v>0</v>
      </c>
      <c r="I147" s="715">
        <v>0</v>
      </c>
      <c r="J147" s="715">
        <v>0</v>
      </c>
      <c r="K147" s="715">
        <v>3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10</v>
      </c>
      <c r="S147" s="666" t="s">
        <v>1111</v>
      </c>
      <c r="T147" s="717">
        <v>361.34000000000003</v>
      </c>
      <c r="U147" s="717">
        <v>0</v>
      </c>
      <c r="V147" s="717">
        <v>0</v>
      </c>
      <c r="W147" s="717">
        <v>0</v>
      </c>
      <c r="X147" s="717">
        <v>0</v>
      </c>
      <c r="Y147" s="717">
        <v>0</v>
      </c>
      <c r="Z147" s="717">
        <v>52.92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3">
        <v>308.42</v>
      </c>
    </row>
    <row r="148" spans="1:33" x14ac:dyDescent="0.2">
      <c r="A148" s="666" t="s">
        <v>2089</v>
      </c>
      <c r="B148" s="666" t="s">
        <v>35</v>
      </c>
      <c r="C148" s="666"/>
      <c r="D148" s="666"/>
      <c r="E148" s="715">
        <v>6</v>
      </c>
      <c r="F148" s="715">
        <v>0</v>
      </c>
      <c r="G148" s="715">
        <v>8</v>
      </c>
      <c r="H148" s="715">
        <v>0</v>
      </c>
      <c r="I148" s="715">
        <v>0</v>
      </c>
      <c r="J148" s="715">
        <v>0</v>
      </c>
      <c r="K148" s="715">
        <v>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12</v>
      </c>
      <c r="S148" s="666" t="s">
        <v>1863</v>
      </c>
      <c r="T148" s="717">
        <v>159.69</v>
      </c>
      <c r="U148" s="717">
        <v>0</v>
      </c>
      <c r="V148" s="717">
        <v>212.69</v>
      </c>
      <c r="W148" s="717">
        <v>0</v>
      </c>
      <c r="X148" s="717">
        <v>0</v>
      </c>
      <c r="Y148" s="717">
        <v>0</v>
      </c>
      <c r="Z148" s="717">
        <v>41.53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3">
        <v>330.85</v>
      </c>
    </row>
    <row r="149" spans="1:33" x14ac:dyDescent="0.2">
      <c r="A149" s="666" t="s">
        <v>2090</v>
      </c>
      <c r="B149" s="666" t="s">
        <v>35</v>
      </c>
      <c r="C149" s="666"/>
      <c r="D149" s="666"/>
      <c r="E149" s="715">
        <v>106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31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75</v>
      </c>
      <c r="S149" s="666" t="s">
        <v>1658</v>
      </c>
      <c r="T149" s="717">
        <v>2810.2400000000002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661.98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3">
        <v>2148.2600000000002</v>
      </c>
    </row>
    <row r="150" spans="1:33" x14ac:dyDescent="0.2">
      <c r="A150" s="666" t="s">
        <v>2091</v>
      </c>
      <c r="B150" s="666" t="s">
        <v>35</v>
      </c>
      <c r="C150" s="666"/>
      <c r="D150" s="666"/>
      <c r="E150" s="715">
        <v>412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188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224</v>
      </c>
      <c r="S150" s="666" t="s">
        <v>657</v>
      </c>
      <c r="T150" s="717">
        <v>25888.68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8000.02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3">
        <v>17888.66</v>
      </c>
    </row>
    <row r="151" spans="1:33" x14ac:dyDescent="0.2">
      <c r="A151" s="666" t="s">
        <v>2092</v>
      </c>
      <c r="B151" s="666" t="s">
        <v>35</v>
      </c>
      <c r="C151" s="666"/>
      <c r="D151" s="666"/>
      <c r="E151" s="715">
        <v>8</v>
      </c>
      <c r="F151" s="715">
        <v>0</v>
      </c>
      <c r="G151" s="715">
        <v>3</v>
      </c>
      <c r="H151" s="715">
        <v>0</v>
      </c>
      <c r="I151" s="715">
        <v>0</v>
      </c>
      <c r="J151" s="715">
        <v>0</v>
      </c>
      <c r="K151" s="715">
        <v>3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8</v>
      </c>
      <c r="S151" s="666" t="s">
        <v>846</v>
      </c>
      <c r="T151" s="717">
        <v>217.56</v>
      </c>
      <c r="U151" s="717">
        <v>0</v>
      </c>
      <c r="V151" s="717">
        <v>68.62</v>
      </c>
      <c r="W151" s="717">
        <v>0</v>
      </c>
      <c r="X151" s="717">
        <v>0</v>
      </c>
      <c r="Y151" s="717">
        <v>0</v>
      </c>
      <c r="Z151" s="717">
        <v>47.2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3">
        <v>238.98000000000002</v>
      </c>
    </row>
    <row r="152" spans="1:33" x14ac:dyDescent="0.2">
      <c r="A152" s="666" t="s">
        <v>2093</v>
      </c>
      <c r="B152" s="666" t="s">
        <v>35</v>
      </c>
      <c r="C152" s="666"/>
      <c r="D152" s="666"/>
      <c r="E152" s="715">
        <v>600</v>
      </c>
      <c r="F152" s="715">
        <v>0</v>
      </c>
      <c r="G152" s="715">
        <v>0</v>
      </c>
      <c r="H152" s="715">
        <v>0</v>
      </c>
      <c r="I152" s="715">
        <v>0</v>
      </c>
      <c r="J152" s="715">
        <v>0</v>
      </c>
      <c r="K152" s="715">
        <v>200</v>
      </c>
      <c r="L152" s="715">
        <v>0</v>
      </c>
      <c r="M152" s="715">
        <v>0</v>
      </c>
      <c r="N152" s="715">
        <v>0</v>
      </c>
      <c r="O152" s="715">
        <v>0</v>
      </c>
      <c r="P152" s="715">
        <v>0</v>
      </c>
      <c r="Q152" s="715">
        <v>0</v>
      </c>
      <c r="R152" s="716">
        <v>400</v>
      </c>
      <c r="S152" s="666" t="s">
        <v>262</v>
      </c>
      <c r="T152" s="717">
        <v>17085</v>
      </c>
      <c r="U152" s="717">
        <v>0</v>
      </c>
      <c r="V152" s="717">
        <v>0</v>
      </c>
      <c r="W152" s="717">
        <v>0</v>
      </c>
      <c r="X152" s="717">
        <v>0</v>
      </c>
      <c r="Y152" s="717">
        <v>0</v>
      </c>
      <c r="Z152" s="717">
        <v>4573.75</v>
      </c>
      <c r="AA152" s="717">
        <v>0</v>
      </c>
      <c r="AB152" s="717">
        <v>0</v>
      </c>
      <c r="AC152" s="717">
        <v>0</v>
      </c>
      <c r="AD152" s="717">
        <v>0</v>
      </c>
      <c r="AE152" s="717">
        <v>0</v>
      </c>
      <c r="AF152" s="717">
        <v>0</v>
      </c>
      <c r="AG152" s="1993">
        <v>12511.25</v>
      </c>
    </row>
    <row r="153" spans="1:33" x14ac:dyDescent="0.2">
      <c r="A153" s="666" t="s">
        <v>2094</v>
      </c>
      <c r="B153" s="716">
        <v>23643</v>
      </c>
      <c r="C153" s="716">
        <v>7885</v>
      </c>
      <c r="D153" s="716">
        <v>525</v>
      </c>
      <c r="E153" s="717">
        <v>0</v>
      </c>
      <c r="F153" s="716">
        <v>0</v>
      </c>
      <c r="G153" s="716">
        <v>0</v>
      </c>
      <c r="H153" s="716">
        <v>6086</v>
      </c>
      <c r="I153" s="716">
        <v>0</v>
      </c>
      <c r="J153" s="715">
        <v>0</v>
      </c>
      <c r="K153" s="715">
        <v>0</v>
      </c>
      <c r="L153" s="716">
        <v>0</v>
      </c>
      <c r="M153" s="715">
        <v>0</v>
      </c>
      <c r="N153" s="715">
        <v>0</v>
      </c>
      <c r="O153" s="716">
        <v>25967</v>
      </c>
      <c r="P153" s="666" t="s">
        <v>2095</v>
      </c>
      <c r="Q153" s="717">
        <v>1265177.98</v>
      </c>
      <c r="R153" s="717">
        <v>232965</v>
      </c>
      <c r="S153" s="717">
        <v>13758.11</v>
      </c>
      <c r="T153" s="717">
        <v>0</v>
      </c>
      <c r="U153" s="717">
        <v>0</v>
      </c>
      <c r="V153" s="717">
        <v>0</v>
      </c>
      <c r="W153" s="717">
        <v>239358.17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0</v>
      </c>
      <c r="AD153" s="717">
        <v>1272542.92</v>
      </c>
      <c r="AE153" s="666"/>
      <c r="AF153" s="666"/>
      <c r="AG153" s="666"/>
    </row>
    <row r="154" spans="1:33" x14ac:dyDescent="0.2">
      <c r="A154" s="715">
        <v>24829</v>
      </c>
      <c r="B154" s="715">
        <v>7965</v>
      </c>
      <c r="C154" s="715">
        <v>628</v>
      </c>
      <c r="D154" s="715">
        <v>0</v>
      </c>
      <c r="E154" s="715">
        <v>0</v>
      </c>
      <c r="F154" s="715">
        <v>0</v>
      </c>
      <c r="G154" s="715">
        <v>6371</v>
      </c>
      <c r="H154" s="715">
        <v>0</v>
      </c>
      <c r="I154" s="715">
        <v>0</v>
      </c>
      <c r="J154" s="715">
        <v>0</v>
      </c>
      <c r="K154" s="715">
        <v>0</v>
      </c>
      <c r="L154" s="715">
        <v>0</v>
      </c>
      <c r="M154" s="715">
        <v>0</v>
      </c>
      <c r="N154" s="716">
        <v>27051</v>
      </c>
      <c r="O154" s="666" t="s">
        <v>1923</v>
      </c>
      <c r="P154" s="717">
        <v>1292423.54</v>
      </c>
      <c r="Q154" s="717">
        <v>234965</v>
      </c>
      <c r="R154" s="717">
        <v>15878.11</v>
      </c>
      <c r="S154" s="717">
        <v>0</v>
      </c>
      <c r="T154" s="717">
        <v>0</v>
      </c>
      <c r="U154" s="717">
        <v>0</v>
      </c>
      <c r="V154" s="717">
        <v>245717.03</v>
      </c>
      <c r="W154" s="717">
        <v>0</v>
      </c>
      <c r="X154" s="717">
        <v>0</v>
      </c>
      <c r="Y154" s="717">
        <v>0</v>
      </c>
      <c r="Z154" s="717">
        <v>0</v>
      </c>
      <c r="AA154" s="717">
        <v>0</v>
      </c>
      <c r="AB154" s="717">
        <v>0</v>
      </c>
      <c r="AC154" s="717">
        <v>1297549.6200000001</v>
      </c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1887</v>
      </c>
      <c r="B219" s="666" t="s">
        <v>1888</v>
      </c>
      <c r="C219" s="666" t="s">
        <v>1889</v>
      </c>
      <c r="D219" s="666" t="s">
        <v>1890</v>
      </c>
      <c r="E219" s="666" t="s">
        <v>1891</v>
      </c>
      <c r="F219" s="666" t="s">
        <v>1892</v>
      </c>
      <c r="G219" s="666" t="s">
        <v>1893</v>
      </c>
      <c r="H219" s="666" t="s">
        <v>1894</v>
      </c>
      <c r="I219" s="666" t="s">
        <v>1889</v>
      </c>
      <c r="J219" s="666" t="s">
        <v>1890</v>
      </c>
      <c r="K219" s="666" t="s">
        <v>1891</v>
      </c>
      <c r="L219" s="666" t="s">
        <v>1895</v>
      </c>
      <c r="M219" s="666" t="s">
        <v>1892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1924</v>
      </c>
      <c r="B220" s="666" t="s">
        <v>35</v>
      </c>
      <c r="C220" s="666"/>
      <c r="D220" s="666"/>
      <c r="E220" s="715">
        <v>3080</v>
      </c>
      <c r="F220" s="715">
        <v>600</v>
      </c>
      <c r="G220" s="715">
        <v>0</v>
      </c>
      <c r="H220" s="715">
        <v>0</v>
      </c>
      <c r="I220" s="715">
        <v>0</v>
      </c>
      <c r="J220" s="715">
        <v>0</v>
      </c>
      <c r="K220" s="715">
        <v>880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2800</v>
      </c>
      <c r="S220" s="666" t="s">
        <v>36</v>
      </c>
      <c r="T220" s="717">
        <v>92307</v>
      </c>
      <c r="U220" s="717">
        <v>15000</v>
      </c>
      <c r="V220" s="717">
        <v>0</v>
      </c>
      <c r="W220" s="717">
        <v>0</v>
      </c>
      <c r="X220" s="717">
        <v>0</v>
      </c>
      <c r="Y220" s="717">
        <v>0</v>
      </c>
      <c r="Z220" s="717">
        <v>23919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3">
        <v>83388</v>
      </c>
    </row>
    <row r="221" spans="1:33" x14ac:dyDescent="0.2">
      <c r="A221" s="666" t="s">
        <v>1925</v>
      </c>
      <c r="B221" s="716">
        <v>3080</v>
      </c>
      <c r="C221" s="716">
        <v>600</v>
      </c>
      <c r="D221" s="716">
        <v>0</v>
      </c>
      <c r="E221" s="717">
        <v>0</v>
      </c>
      <c r="F221" s="716">
        <v>0</v>
      </c>
      <c r="G221" s="716">
        <v>0</v>
      </c>
      <c r="H221" s="716">
        <v>880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2800</v>
      </c>
      <c r="P221" s="666" t="s">
        <v>828</v>
      </c>
      <c r="Q221" s="717">
        <v>92307</v>
      </c>
      <c r="R221" s="717">
        <v>15000</v>
      </c>
      <c r="S221" s="717">
        <v>0</v>
      </c>
      <c r="T221" s="717">
        <v>0</v>
      </c>
      <c r="U221" s="717">
        <v>0</v>
      </c>
      <c r="V221" s="717">
        <v>0</v>
      </c>
      <c r="W221" s="717">
        <v>23919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83388</v>
      </c>
      <c r="AE221" s="666"/>
      <c r="AF221" s="666"/>
      <c r="AG221" s="666"/>
    </row>
    <row r="222" spans="1:33" ht="18" customHeight="1" x14ac:dyDescent="0.2">
      <c r="A222" s="666" t="s">
        <v>1926</v>
      </c>
      <c r="B222" s="666" t="s">
        <v>35</v>
      </c>
      <c r="C222" s="666"/>
      <c r="D222" s="666"/>
      <c r="E222" s="715">
        <v>48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2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46</v>
      </c>
      <c r="S222" s="666" t="s">
        <v>811</v>
      </c>
      <c r="T222" s="717">
        <v>95876</v>
      </c>
      <c r="U222" s="717">
        <v>142520</v>
      </c>
      <c r="V222" s="717">
        <v>0</v>
      </c>
      <c r="W222" s="717">
        <v>0</v>
      </c>
      <c r="X222" s="717">
        <v>0</v>
      </c>
      <c r="Y222" s="717">
        <v>0</v>
      </c>
      <c r="Z222" s="717">
        <v>147257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3">
        <v>91139</v>
      </c>
    </row>
    <row r="223" spans="1:33" ht="12.75" customHeight="1" x14ac:dyDescent="0.2">
      <c r="A223" s="666" t="s">
        <v>1927</v>
      </c>
      <c r="B223" s="666" t="s">
        <v>35</v>
      </c>
      <c r="C223" s="666"/>
      <c r="D223" s="666"/>
      <c r="E223" s="715">
        <v>20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6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14</v>
      </c>
      <c r="S223" s="666" t="s">
        <v>829</v>
      </c>
      <c r="T223" s="717">
        <v>43589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9480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3">
        <v>34109</v>
      </c>
    </row>
    <row r="224" spans="1:33" ht="12.75" customHeight="1" x14ac:dyDescent="0.2">
      <c r="A224" s="666" t="s">
        <v>1928</v>
      </c>
      <c r="B224" s="716">
        <v>68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8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60</v>
      </c>
      <c r="P224" s="666" t="s">
        <v>1929</v>
      </c>
      <c r="Q224" s="717">
        <v>139465</v>
      </c>
      <c r="R224" s="717">
        <v>142520</v>
      </c>
      <c r="S224" s="717">
        <v>0</v>
      </c>
      <c r="T224" s="717">
        <v>0</v>
      </c>
      <c r="U224" s="717">
        <v>0</v>
      </c>
      <c r="V224" s="717">
        <v>0</v>
      </c>
      <c r="W224" s="717">
        <v>156737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125248</v>
      </c>
      <c r="AE224" s="666"/>
      <c r="AF224" s="666"/>
      <c r="AG224" s="666"/>
    </row>
    <row r="225" spans="1:33" ht="12.75" customHeight="1" x14ac:dyDescent="0.2">
      <c r="A225" s="666" t="s">
        <v>1930</v>
      </c>
      <c r="B225" s="666" t="s">
        <v>35</v>
      </c>
      <c r="C225" s="666"/>
      <c r="D225" s="666"/>
      <c r="E225" s="715">
        <v>186</v>
      </c>
      <c r="F225" s="715">
        <v>40</v>
      </c>
      <c r="G225" s="715">
        <v>75</v>
      </c>
      <c r="H225" s="715">
        <v>0</v>
      </c>
      <c r="I225" s="715">
        <v>0</v>
      </c>
      <c r="J225" s="715">
        <v>0</v>
      </c>
      <c r="K225" s="715">
        <v>76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225</v>
      </c>
      <c r="S225" s="666" t="s">
        <v>1585</v>
      </c>
      <c r="T225" s="717">
        <v>202084</v>
      </c>
      <c r="U225" s="717">
        <v>40000</v>
      </c>
      <c r="V225" s="717">
        <v>75000</v>
      </c>
      <c r="W225" s="717">
        <v>0</v>
      </c>
      <c r="X225" s="717">
        <v>0</v>
      </c>
      <c r="Y225" s="717">
        <v>0</v>
      </c>
      <c r="Z225" s="717">
        <v>76465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3">
        <v>240619</v>
      </c>
    </row>
    <row r="226" spans="1:33" ht="12.75" customHeight="1" x14ac:dyDescent="0.2">
      <c r="A226" s="666" t="s">
        <v>1931</v>
      </c>
      <c r="B226" s="716">
        <v>186</v>
      </c>
      <c r="C226" s="716">
        <v>40</v>
      </c>
      <c r="D226" s="716">
        <v>75</v>
      </c>
      <c r="E226" s="717">
        <v>0</v>
      </c>
      <c r="F226" s="716">
        <v>0</v>
      </c>
      <c r="G226" s="716">
        <v>0</v>
      </c>
      <c r="H226" s="716">
        <v>76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225</v>
      </c>
      <c r="P226" s="666" t="s">
        <v>844</v>
      </c>
      <c r="Q226" s="717">
        <v>202084</v>
      </c>
      <c r="R226" s="717">
        <v>40000</v>
      </c>
      <c r="S226" s="717">
        <v>75000</v>
      </c>
      <c r="T226" s="717">
        <v>0</v>
      </c>
      <c r="U226" s="717">
        <v>0</v>
      </c>
      <c r="V226" s="717">
        <v>0</v>
      </c>
      <c r="W226" s="717">
        <v>76465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240619</v>
      </c>
      <c r="AE226" s="666"/>
      <c r="AF226" s="666"/>
      <c r="AG226" s="666"/>
    </row>
    <row r="227" spans="1:33" ht="12.75" customHeight="1" x14ac:dyDescent="0.2">
      <c r="A227" s="666" t="s">
        <v>1932</v>
      </c>
      <c r="B227" s="666" t="s">
        <v>35</v>
      </c>
      <c r="C227" s="666"/>
      <c r="D227" s="666"/>
      <c r="E227" s="715">
        <v>730</v>
      </c>
      <c r="F227" s="715">
        <v>640</v>
      </c>
      <c r="G227" s="715">
        <v>0</v>
      </c>
      <c r="H227" s="715">
        <v>0</v>
      </c>
      <c r="I227" s="715">
        <v>0</v>
      </c>
      <c r="J227" s="715">
        <v>0</v>
      </c>
      <c r="K227" s="715">
        <v>610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760</v>
      </c>
      <c r="S227" s="666" t="s">
        <v>1586</v>
      </c>
      <c r="T227" s="717">
        <v>46813</v>
      </c>
      <c r="U227" s="717">
        <v>33678</v>
      </c>
      <c r="V227" s="717">
        <v>0</v>
      </c>
      <c r="W227" s="717">
        <v>0</v>
      </c>
      <c r="X227" s="717">
        <v>0</v>
      </c>
      <c r="Y227" s="717">
        <v>0</v>
      </c>
      <c r="Z227" s="717">
        <v>33219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3">
        <v>47272</v>
      </c>
    </row>
    <row r="228" spans="1:33" ht="12.75" customHeight="1" x14ac:dyDescent="0.2">
      <c r="A228" s="666" t="s">
        <v>1933</v>
      </c>
      <c r="B228" s="716">
        <v>730</v>
      </c>
      <c r="C228" s="716">
        <v>640</v>
      </c>
      <c r="D228" s="716">
        <v>0</v>
      </c>
      <c r="E228" s="717">
        <v>0</v>
      </c>
      <c r="F228" s="716">
        <v>0</v>
      </c>
      <c r="G228" s="716">
        <v>0</v>
      </c>
      <c r="H228" s="716">
        <v>610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760</v>
      </c>
      <c r="P228" s="666" t="s">
        <v>825</v>
      </c>
      <c r="Q228" s="717">
        <v>46813</v>
      </c>
      <c r="R228" s="717">
        <v>33678</v>
      </c>
      <c r="S228" s="717">
        <v>0</v>
      </c>
      <c r="T228" s="717">
        <v>0</v>
      </c>
      <c r="U228" s="717">
        <v>0</v>
      </c>
      <c r="V228" s="717">
        <v>0</v>
      </c>
      <c r="W228" s="717">
        <v>33219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47272</v>
      </c>
      <c r="AE228" s="666"/>
      <c r="AF228" s="666"/>
      <c r="AG228" s="666"/>
    </row>
    <row r="229" spans="1:33" ht="12.75" customHeight="1" x14ac:dyDescent="0.2">
      <c r="A229" s="666" t="s">
        <v>1934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31635</v>
      </c>
      <c r="U229" s="717">
        <v>0</v>
      </c>
      <c r="V229" s="717">
        <v>0</v>
      </c>
      <c r="W229" s="717">
        <v>0</v>
      </c>
      <c r="X229" s="717">
        <v>0</v>
      </c>
      <c r="Y229" s="717">
        <v>0</v>
      </c>
      <c r="Z229" s="717">
        <v>12836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3">
        <v>18799</v>
      </c>
    </row>
    <row r="230" spans="1:33" x14ac:dyDescent="0.2">
      <c r="A230" s="666" t="s">
        <v>1935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1683</v>
      </c>
      <c r="Q230" s="717">
        <v>31635</v>
      </c>
      <c r="R230" s="717">
        <v>0</v>
      </c>
      <c r="S230" s="717">
        <v>0</v>
      </c>
      <c r="T230" s="717">
        <v>0</v>
      </c>
      <c r="U230" s="717">
        <v>0</v>
      </c>
      <c r="V230" s="717">
        <v>0</v>
      </c>
      <c r="W230" s="717">
        <v>12836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18799</v>
      </c>
      <c r="AE230" s="666"/>
      <c r="AF230" s="666"/>
      <c r="AG230" s="666"/>
    </row>
    <row r="231" spans="1:33" x14ac:dyDescent="0.2">
      <c r="A231" s="666" t="s">
        <v>1936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137555</v>
      </c>
      <c r="U231" s="717">
        <v>128890</v>
      </c>
      <c r="V231" s="717">
        <v>0</v>
      </c>
      <c r="W231" s="717">
        <v>0</v>
      </c>
      <c r="X231" s="717">
        <v>0</v>
      </c>
      <c r="Y231" s="717">
        <v>0</v>
      </c>
      <c r="Z231" s="717">
        <v>36650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3">
        <v>229795</v>
      </c>
    </row>
    <row r="232" spans="1:33" ht="12.75" customHeight="1" x14ac:dyDescent="0.2">
      <c r="A232" s="666" t="s">
        <v>1937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1692</v>
      </c>
      <c r="Q232" s="717">
        <v>137555</v>
      </c>
      <c r="R232" s="717">
        <v>128890</v>
      </c>
      <c r="S232" s="717">
        <v>0</v>
      </c>
      <c r="T232" s="717">
        <v>0</v>
      </c>
      <c r="U232" s="717">
        <v>0</v>
      </c>
      <c r="V232" s="717">
        <v>0</v>
      </c>
      <c r="W232" s="717">
        <v>36650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229795</v>
      </c>
      <c r="AE232" s="666"/>
      <c r="AF232" s="666"/>
      <c r="AG232" s="666"/>
    </row>
    <row r="233" spans="1:33" x14ac:dyDescent="0.2">
      <c r="A233" s="666" t="s">
        <v>1938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1939</v>
      </c>
      <c r="T233" s="717">
        <v>315967</v>
      </c>
      <c r="U233" s="717">
        <v>280060</v>
      </c>
      <c r="V233" s="717">
        <v>0</v>
      </c>
      <c r="W233" s="717">
        <v>0</v>
      </c>
      <c r="X233" s="717">
        <v>0</v>
      </c>
      <c r="Y233" s="717">
        <v>0</v>
      </c>
      <c r="Z233" s="717">
        <v>282851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3">
        <v>313176</v>
      </c>
    </row>
    <row r="234" spans="1:33" x14ac:dyDescent="0.2">
      <c r="A234" s="666" t="s">
        <v>1940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315967</v>
      </c>
      <c r="R234" s="717">
        <v>280060</v>
      </c>
      <c r="S234" s="717">
        <v>0</v>
      </c>
      <c r="T234" s="717">
        <v>0</v>
      </c>
      <c r="U234" s="717">
        <v>0</v>
      </c>
      <c r="V234" s="717">
        <v>0</v>
      </c>
      <c r="W234" s="717">
        <v>282851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313176</v>
      </c>
      <c r="AE234" s="666"/>
      <c r="AF234" s="666"/>
      <c r="AG234" s="666"/>
    </row>
    <row r="235" spans="1:33" x14ac:dyDescent="0.2">
      <c r="A235" s="666" t="s">
        <v>1941</v>
      </c>
      <c r="B235" s="666" t="s">
        <v>35</v>
      </c>
      <c r="C235" s="666"/>
      <c r="D235" s="666"/>
      <c r="E235" s="715">
        <v>20</v>
      </c>
      <c r="F235" s="715">
        <v>20</v>
      </c>
      <c r="G235" s="715">
        <v>0</v>
      </c>
      <c r="H235" s="715">
        <v>0</v>
      </c>
      <c r="I235" s="715">
        <v>0</v>
      </c>
      <c r="J235" s="715">
        <v>0</v>
      </c>
      <c r="K235" s="715">
        <v>16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24</v>
      </c>
      <c r="S235" s="666" t="s">
        <v>1587</v>
      </c>
      <c r="T235" s="717">
        <v>50805</v>
      </c>
      <c r="U235" s="717">
        <v>28870</v>
      </c>
      <c r="V235" s="717">
        <v>0</v>
      </c>
      <c r="W235" s="717">
        <v>0</v>
      </c>
      <c r="X235" s="717">
        <v>0</v>
      </c>
      <c r="Y235" s="717">
        <v>0</v>
      </c>
      <c r="Z235" s="717">
        <v>21787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3">
        <v>57888</v>
      </c>
    </row>
    <row r="236" spans="1:33" ht="12.75" customHeight="1" x14ac:dyDescent="0.2">
      <c r="A236" s="666" t="s">
        <v>1942</v>
      </c>
      <c r="B236" s="716">
        <v>20</v>
      </c>
      <c r="C236" s="716">
        <v>20</v>
      </c>
      <c r="D236" s="716">
        <v>0</v>
      </c>
      <c r="E236" s="717">
        <v>0</v>
      </c>
      <c r="F236" s="716">
        <v>0</v>
      </c>
      <c r="G236" s="716">
        <v>0</v>
      </c>
      <c r="H236" s="716">
        <v>16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24</v>
      </c>
      <c r="P236" s="666" t="s">
        <v>823</v>
      </c>
      <c r="Q236" s="717">
        <v>50805</v>
      </c>
      <c r="R236" s="717">
        <v>28870</v>
      </c>
      <c r="S236" s="717">
        <v>0</v>
      </c>
      <c r="T236" s="717">
        <v>0</v>
      </c>
      <c r="U236" s="717">
        <v>0</v>
      </c>
      <c r="V236" s="717">
        <v>0</v>
      </c>
      <c r="W236" s="717">
        <v>21787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57888</v>
      </c>
      <c r="AE236" s="666"/>
      <c r="AF236" s="666"/>
      <c r="AG236" s="666"/>
    </row>
    <row r="237" spans="1:33" ht="12.75" customHeight="1" x14ac:dyDescent="0.2">
      <c r="A237" s="666" t="s">
        <v>1943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1944</v>
      </c>
      <c r="T237" s="717">
        <v>376468</v>
      </c>
      <c r="U237" s="717">
        <v>192650</v>
      </c>
      <c r="V237" s="717">
        <v>0</v>
      </c>
      <c r="W237" s="717">
        <v>0</v>
      </c>
      <c r="X237" s="717">
        <v>0</v>
      </c>
      <c r="Y237" s="717">
        <v>0</v>
      </c>
      <c r="Z237" s="717">
        <v>178633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3">
        <v>390485</v>
      </c>
    </row>
    <row r="238" spans="1:33" x14ac:dyDescent="0.2">
      <c r="A238" s="666" t="s">
        <v>1945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376468</v>
      </c>
      <c r="R238" s="717">
        <v>192650</v>
      </c>
      <c r="S238" s="717">
        <v>0</v>
      </c>
      <c r="T238" s="717">
        <v>0</v>
      </c>
      <c r="U238" s="717">
        <v>0</v>
      </c>
      <c r="V238" s="717">
        <v>0</v>
      </c>
      <c r="W238" s="717">
        <v>178633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390485</v>
      </c>
      <c r="AE238" s="666"/>
      <c r="AF238" s="666"/>
      <c r="AG238" s="666"/>
    </row>
    <row r="239" spans="1:33" x14ac:dyDescent="0.2">
      <c r="A239" s="666" t="s">
        <v>1946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1947</v>
      </c>
      <c r="T239" s="717">
        <v>180499</v>
      </c>
      <c r="U239" s="717">
        <v>80250</v>
      </c>
      <c r="V239" s="717">
        <v>0</v>
      </c>
      <c r="W239" s="717">
        <v>0</v>
      </c>
      <c r="X239" s="717">
        <v>0</v>
      </c>
      <c r="Y239" s="717">
        <v>0</v>
      </c>
      <c r="Z239" s="717">
        <v>125939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3">
        <v>134810</v>
      </c>
    </row>
    <row r="240" spans="1:33" s="1845" customFormat="1" x14ac:dyDescent="0.2">
      <c r="A240" s="666" t="s">
        <v>1948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180499</v>
      </c>
      <c r="R240" s="717">
        <v>80250</v>
      </c>
      <c r="S240" s="717">
        <v>0</v>
      </c>
      <c r="T240" s="717">
        <v>0</v>
      </c>
      <c r="U240" s="717">
        <v>0</v>
      </c>
      <c r="V240" s="717">
        <v>0</v>
      </c>
      <c r="W240" s="717">
        <v>125939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134810</v>
      </c>
      <c r="AE240" s="666"/>
      <c r="AF240" s="666"/>
      <c r="AG240" s="666"/>
    </row>
    <row r="241" spans="1:33" s="1845" customFormat="1" x14ac:dyDescent="0.2">
      <c r="A241" s="666" t="s">
        <v>1949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3868884</v>
      </c>
      <c r="U241" s="717">
        <v>0</v>
      </c>
      <c r="V241" s="717">
        <v>0</v>
      </c>
      <c r="W241" s="717">
        <v>0</v>
      </c>
      <c r="X241" s="717">
        <v>0</v>
      </c>
      <c r="Y241" s="717">
        <v>0</v>
      </c>
      <c r="Z241" s="717">
        <v>710202</v>
      </c>
      <c r="AA241" s="717">
        <v>0</v>
      </c>
      <c r="AB241" s="717">
        <v>0</v>
      </c>
      <c r="AC241" s="717">
        <v>0</v>
      </c>
      <c r="AD241" s="717">
        <v>389261</v>
      </c>
      <c r="AE241" s="717">
        <v>0</v>
      </c>
      <c r="AF241" s="717">
        <v>0</v>
      </c>
      <c r="AG241" s="1993">
        <v>2769421</v>
      </c>
    </row>
    <row r="242" spans="1:33" s="1845" customFormat="1" ht="12.75" customHeight="1" x14ac:dyDescent="0.2">
      <c r="A242" s="666" t="s">
        <v>1950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1563</v>
      </c>
      <c r="T242" s="717">
        <v>27144271</v>
      </c>
      <c r="U242" s="717">
        <v>0</v>
      </c>
      <c r="V242" s="717">
        <v>6075460</v>
      </c>
      <c r="W242" s="717">
        <v>0</v>
      </c>
      <c r="X242" s="717">
        <v>0</v>
      </c>
      <c r="Y242" s="717">
        <v>0</v>
      </c>
      <c r="Z242" s="717">
        <v>5246958</v>
      </c>
      <c r="AA242" s="717">
        <v>0</v>
      </c>
      <c r="AB242" s="717">
        <v>0</v>
      </c>
      <c r="AC242" s="717">
        <v>0</v>
      </c>
      <c r="AD242" s="717">
        <v>0</v>
      </c>
      <c r="AE242" s="717">
        <v>0</v>
      </c>
      <c r="AF242" s="717">
        <v>0</v>
      </c>
      <c r="AG242" s="1993">
        <v>27972773</v>
      </c>
    </row>
    <row r="243" spans="1:33" s="1845" customFormat="1" x14ac:dyDescent="0.2">
      <c r="A243" s="666" t="s">
        <v>1951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1612</v>
      </c>
      <c r="T243" s="717">
        <v>451083</v>
      </c>
      <c r="U243" s="717">
        <v>0</v>
      </c>
      <c r="V243" s="717">
        <v>0</v>
      </c>
      <c r="W243" s="717">
        <v>0</v>
      </c>
      <c r="X243" s="717">
        <v>0</v>
      </c>
      <c r="Y243" s="717">
        <v>0</v>
      </c>
      <c r="Z243" s="717">
        <v>0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3">
        <v>451083</v>
      </c>
    </row>
    <row r="244" spans="1:33" x14ac:dyDescent="0.2">
      <c r="A244" s="666" t="s">
        <v>1952</v>
      </c>
      <c r="B244" s="666" t="s">
        <v>35</v>
      </c>
      <c r="C244" s="666"/>
      <c r="D244" s="666"/>
      <c r="E244" s="715">
        <v>0</v>
      </c>
      <c r="F244" s="715">
        <v>0</v>
      </c>
      <c r="G244" s="715">
        <v>0</v>
      </c>
      <c r="H244" s="715">
        <v>0</v>
      </c>
      <c r="I244" s="715">
        <v>0</v>
      </c>
      <c r="J244" s="715">
        <v>0</v>
      </c>
      <c r="K244" s="715">
        <v>0</v>
      </c>
      <c r="L244" s="715">
        <v>0</v>
      </c>
      <c r="M244" s="715">
        <v>0</v>
      </c>
      <c r="N244" s="715">
        <v>0</v>
      </c>
      <c r="O244" s="715">
        <v>0</v>
      </c>
      <c r="P244" s="715">
        <v>0</v>
      </c>
      <c r="Q244" s="715">
        <v>0</v>
      </c>
      <c r="R244" s="716">
        <v>0</v>
      </c>
      <c r="S244" s="666" t="s">
        <v>84</v>
      </c>
      <c r="T244" s="717">
        <v>160784</v>
      </c>
      <c r="U244" s="717">
        <v>0</v>
      </c>
      <c r="V244" s="717">
        <v>0</v>
      </c>
      <c r="W244" s="717">
        <v>0</v>
      </c>
      <c r="X244" s="717">
        <v>389261</v>
      </c>
      <c r="Y244" s="717">
        <v>0</v>
      </c>
      <c r="Z244" s="717">
        <v>457711</v>
      </c>
      <c r="AA244" s="717">
        <v>0</v>
      </c>
      <c r="AB244" s="717">
        <v>0</v>
      </c>
      <c r="AC244" s="717">
        <v>0</v>
      </c>
      <c r="AD244" s="717">
        <v>0</v>
      </c>
      <c r="AE244" s="717">
        <v>0</v>
      </c>
      <c r="AF244" s="717">
        <v>0</v>
      </c>
      <c r="AG244" s="1993">
        <v>92334</v>
      </c>
    </row>
    <row r="245" spans="1:33" x14ac:dyDescent="0.2">
      <c r="A245" s="666" t="s">
        <v>1953</v>
      </c>
      <c r="B245" s="716">
        <v>0</v>
      </c>
      <c r="C245" s="716">
        <v>0</v>
      </c>
      <c r="D245" s="716">
        <v>0</v>
      </c>
      <c r="E245" s="717">
        <v>0</v>
      </c>
      <c r="F245" s="716">
        <v>0</v>
      </c>
      <c r="G245" s="716">
        <v>0</v>
      </c>
      <c r="H245" s="716">
        <v>0</v>
      </c>
      <c r="I245" s="716">
        <v>0</v>
      </c>
      <c r="J245" s="715">
        <v>0</v>
      </c>
      <c r="K245" s="715">
        <v>0</v>
      </c>
      <c r="L245" s="716">
        <v>0</v>
      </c>
      <c r="M245" s="715">
        <v>0</v>
      </c>
      <c r="N245" s="715">
        <v>0</v>
      </c>
      <c r="O245" s="716">
        <v>0</v>
      </c>
      <c r="P245" s="666" t="s">
        <v>804</v>
      </c>
      <c r="Q245" s="717">
        <v>31625022</v>
      </c>
      <c r="R245" s="717">
        <v>0</v>
      </c>
      <c r="S245" s="717">
        <v>6075460</v>
      </c>
      <c r="T245" s="717">
        <v>0</v>
      </c>
      <c r="U245" s="717">
        <v>389261</v>
      </c>
      <c r="V245" s="717">
        <v>0</v>
      </c>
      <c r="W245" s="717">
        <v>6414871</v>
      </c>
      <c r="X245" s="717">
        <v>0</v>
      </c>
      <c r="Y245" s="717">
        <v>0</v>
      </c>
      <c r="Z245" s="717">
        <v>0</v>
      </c>
      <c r="AA245" s="717">
        <v>389261</v>
      </c>
      <c r="AB245" s="717">
        <v>0</v>
      </c>
      <c r="AC245" s="717">
        <v>0</v>
      </c>
      <c r="AD245" s="717">
        <v>31285611</v>
      </c>
      <c r="AE245" s="666"/>
      <c r="AF245" s="666"/>
      <c r="AG245" s="666"/>
    </row>
    <row r="246" spans="1:33" x14ac:dyDescent="0.2">
      <c r="A246" s="666" t="s">
        <v>1954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1955</v>
      </c>
      <c r="T246" s="717">
        <v>0</v>
      </c>
      <c r="U246" s="717">
        <v>153600</v>
      </c>
      <c r="V246" s="717">
        <v>0</v>
      </c>
      <c r="W246" s="717">
        <v>0</v>
      </c>
      <c r="X246" s="717">
        <v>0</v>
      </c>
      <c r="Y246" s="717">
        <v>0</v>
      </c>
      <c r="Z246" s="717">
        <v>0</v>
      </c>
      <c r="AA246" s="717">
        <v>0</v>
      </c>
      <c r="AB246" s="717">
        <v>0</v>
      </c>
      <c r="AC246" s="717">
        <v>0</v>
      </c>
      <c r="AD246" s="717">
        <v>153600</v>
      </c>
      <c r="AE246" s="717">
        <v>0</v>
      </c>
      <c r="AF246" s="717">
        <v>0</v>
      </c>
      <c r="AG246" s="1993">
        <v>0</v>
      </c>
    </row>
    <row r="247" spans="1:33" ht="12.75" customHeight="1" x14ac:dyDescent="0.2">
      <c r="A247" s="666" t="s">
        <v>1956</v>
      </c>
      <c r="B247" s="666" t="s">
        <v>35</v>
      </c>
      <c r="C247" s="666"/>
      <c r="D247" s="666"/>
      <c r="E247" s="715">
        <v>0</v>
      </c>
      <c r="F247" s="715">
        <v>0</v>
      </c>
      <c r="G247" s="715">
        <v>0</v>
      </c>
      <c r="H247" s="715">
        <v>0</v>
      </c>
      <c r="I247" s="715">
        <v>0</v>
      </c>
      <c r="J247" s="715">
        <v>0</v>
      </c>
      <c r="K247" s="715">
        <v>0</v>
      </c>
      <c r="L247" s="715">
        <v>0</v>
      </c>
      <c r="M247" s="715">
        <v>0</v>
      </c>
      <c r="N247" s="715">
        <v>0</v>
      </c>
      <c r="O247" s="715">
        <v>0</v>
      </c>
      <c r="P247" s="715">
        <v>0</v>
      </c>
      <c r="Q247" s="715">
        <v>0</v>
      </c>
      <c r="R247" s="716">
        <v>0</v>
      </c>
      <c r="S247" s="666" t="s">
        <v>1957</v>
      </c>
      <c r="T247" s="717">
        <v>36126</v>
      </c>
      <c r="U247" s="717">
        <v>0</v>
      </c>
      <c r="V247" s="717">
        <v>0</v>
      </c>
      <c r="W247" s="717">
        <v>0</v>
      </c>
      <c r="X247" s="717">
        <v>153600</v>
      </c>
      <c r="Y247" s="717">
        <v>0</v>
      </c>
      <c r="Z247" s="717">
        <v>92459</v>
      </c>
      <c r="AA247" s="717">
        <v>0</v>
      </c>
      <c r="AB247" s="717">
        <v>0</v>
      </c>
      <c r="AC247" s="717">
        <v>0</v>
      </c>
      <c r="AD247" s="717">
        <v>0</v>
      </c>
      <c r="AE247" s="717">
        <v>0</v>
      </c>
      <c r="AF247" s="717">
        <v>0</v>
      </c>
      <c r="AG247" s="1993">
        <v>97267</v>
      </c>
    </row>
    <row r="248" spans="1:33" x14ac:dyDescent="0.2">
      <c r="A248" s="666" t="s">
        <v>1958</v>
      </c>
      <c r="B248" s="716">
        <v>0</v>
      </c>
      <c r="C248" s="716">
        <v>0</v>
      </c>
      <c r="D248" s="716">
        <v>0</v>
      </c>
      <c r="E248" s="717">
        <v>0</v>
      </c>
      <c r="F248" s="716">
        <v>0</v>
      </c>
      <c r="G248" s="716">
        <v>0</v>
      </c>
      <c r="H248" s="716">
        <v>0</v>
      </c>
      <c r="I248" s="716">
        <v>0</v>
      </c>
      <c r="J248" s="715">
        <v>0</v>
      </c>
      <c r="K248" s="715">
        <v>0</v>
      </c>
      <c r="L248" s="716">
        <v>0</v>
      </c>
      <c r="M248" s="715">
        <v>0</v>
      </c>
      <c r="N248" s="715">
        <v>0</v>
      </c>
      <c r="O248" s="716">
        <v>0</v>
      </c>
      <c r="P248" s="666" t="s">
        <v>815</v>
      </c>
      <c r="Q248" s="717">
        <v>36126</v>
      </c>
      <c r="R248" s="717">
        <v>153600</v>
      </c>
      <c r="S248" s="717">
        <v>0</v>
      </c>
      <c r="T248" s="717">
        <v>0</v>
      </c>
      <c r="U248" s="717">
        <v>153600</v>
      </c>
      <c r="V248" s="717">
        <v>0</v>
      </c>
      <c r="W248" s="717">
        <v>92459</v>
      </c>
      <c r="X248" s="717">
        <v>0</v>
      </c>
      <c r="Y248" s="717">
        <v>0</v>
      </c>
      <c r="Z248" s="717">
        <v>0</v>
      </c>
      <c r="AA248" s="717">
        <v>153600</v>
      </c>
      <c r="AB248" s="717">
        <v>0</v>
      </c>
      <c r="AC248" s="717">
        <v>0</v>
      </c>
      <c r="AD248" s="717">
        <v>97267</v>
      </c>
      <c r="AE248" s="666"/>
      <c r="AF248" s="666"/>
      <c r="AG248" s="666"/>
    </row>
    <row r="249" spans="1:33" x14ac:dyDescent="0.2">
      <c r="A249" s="666" t="s">
        <v>1959</v>
      </c>
      <c r="B249" s="666" t="s">
        <v>35</v>
      </c>
      <c r="C249" s="666"/>
      <c r="D249" s="666"/>
      <c r="E249" s="715">
        <v>0</v>
      </c>
      <c r="F249" s="715">
        <v>0</v>
      </c>
      <c r="G249" s="715">
        <v>0</v>
      </c>
      <c r="H249" s="715">
        <v>0</v>
      </c>
      <c r="I249" s="715">
        <v>0</v>
      </c>
      <c r="J249" s="715">
        <v>0</v>
      </c>
      <c r="K249" s="715">
        <v>0</v>
      </c>
      <c r="L249" s="715">
        <v>0</v>
      </c>
      <c r="M249" s="715">
        <v>0</v>
      </c>
      <c r="N249" s="715">
        <v>0</v>
      </c>
      <c r="O249" s="715">
        <v>0</v>
      </c>
      <c r="P249" s="715">
        <v>0</v>
      </c>
      <c r="Q249" s="715">
        <v>0</v>
      </c>
      <c r="R249" s="716">
        <v>0</v>
      </c>
      <c r="S249" s="666" t="s">
        <v>1960</v>
      </c>
      <c r="T249" s="717">
        <v>33971</v>
      </c>
      <c r="U249" s="717">
        <v>0</v>
      </c>
      <c r="V249" s="717">
        <v>0</v>
      </c>
      <c r="W249" s="717">
        <v>0</v>
      </c>
      <c r="X249" s="717">
        <v>0</v>
      </c>
      <c r="Y249" s="717">
        <v>0</v>
      </c>
      <c r="Z249" s="717">
        <v>16685</v>
      </c>
      <c r="AA249" s="717">
        <v>0</v>
      </c>
      <c r="AB249" s="717">
        <v>0</v>
      </c>
      <c r="AC249" s="717">
        <v>0</v>
      </c>
      <c r="AD249" s="717">
        <v>0</v>
      </c>
      <c r="AE249" s="717">
        <v>0</v>
      </c>
      <c r="AF249" s="717">
        <v>0</v>
      </c>
      <c r="AG249" s="1993">
        <v>17286</v>
      </c>
    </row>
    <row r="250" spans="1:33" x14ac:dyDescent="0.2">
      <c r="A250" s="666" t="s">
        <v>1961</v>
      </c>
      <c r="B250" s="716">
        <v>0</v>
      </c>
      <c r="C250" s="716">
        <v>0</v>
      </c>
      <c r="D250" s="716">
        <v>0</v>
      </c>
      <c r="E250" s="717">
        <v>0</v>
      </c>
      <c r="F250" s="716">
        <v>0</v>
      </c>
      <c r="G250" s="716">
        <v>0</v>
      </c>
      <c r="H250" s="716">
        <v>0</v>
      </c>
      <c r="I250" s="716">
        <v>0</v>
      </c>
      <c r="J250" s="715">
        <v>0</v>
      </c>
      <c r="K250" s="715">
        <v>0</v>
      </c>
      <c r="L250" s="716">
        <v>0</v>
      </c>
      <c r="M250" s="715">
        <v>0</v>
      </c>
      <c r="N250" s="715">
        <v>0</v>
      </c>
      <c r="O250" s="716">
        <v>0</v>
      </c>
      <c r="P250" s="666" t="s">
        <v>818</v>
      </c>
      <c r="Q250" s="717">
        <v>33971</v>
      </c>
      <c r="R250" s="717">
        <v>0</v>
      </c>
      <c r="S250" s="717">
        <v>0</v>
      </c>
      <c r="T250" s="717">
        <v>0</v>
      </c>
      <c r="U250" s="717">
        <v>0</v>
      </c>
      <c r="V250" s="717">
        <v>0</v>
      </c>
      <c r="W250" s="717">
        <v>16685</v>
      </c>
      <c r="X250" s="717">
        <v>0</v>
      </c>
      <c r="Y250" s="717">
        <v>0</v>
      </c>
      <c r="Z250" s="717">
        <v>0</v>
      </c>
      <c r="AA250" s="717">
        <v>0</v>
      </c>
      <c r="AB250" s="717">
        <v>0</v>
      </c>
      <c r="AC250" s="717">
        <v>0</v>
      </c>
      <c r="AD250" s="717">
        <v>17286</v>
      </c>
      <c r="AE250" s="666"/>
      <c r="AF250" s="666"/>
      <c r="AG250" s="666"/>
    </row>
    <row r="251" spans="1:33" ht="12.75" customHeight="1" x14ac:dyDescent="0.2">
      <c r="A251" s="666" t="s">
        <v>1962</v>
      </c>
      <c r="B251" s="666" t="s">
        <v>35</v>
      </c>
      <c r="C251" s="666"/>
      <c r="D251" s="666"/>
      <c r="E251" s="715">
        <v>0</v>
      </c>
      <c r="F251" s="715">
        <v>0</v>
      </c>
      <c r="G251" s="715">
        <v>0</v>
      </c>
      <c r="H251" s="715">
        <v>0</v>
      </c>
      <c r="I251" s="715">
        <v>0</v>
      </c>
      <c r="J251" s="715">
        <v>0</v>
      </c>
      <c r="K251" s="715">
        <v>0</v>
      </c>
      <c r="L251" s="715">
        <v>0</v>
      </c>
      <c r="M251" s="715">
        <v>0</v>
      </c>
      <c r="N251" s="715">
        <v>0</v>
      </c>
      <c r="O251" s="715">
        <v>0</v>
      </c>
      <c r="P251" s="715">
        <v>0</v>
      </c>
      <c r="Q251" s="715">
        <v>0</v>
      </c>
      <c r="R251" s="716">
        <v>0</v>
      </c>
      <c r="S251" s="666" t="s">
        <v>1963</v>
      </c>
      <c r="T251" s="717">
        <v>75750</v>
      </c>
      <c r="U251" s="717">
        <v>0</v>
      </c>
      <c r="V251" s="717">
        <v>0</v>
      </c>
      <c r="W251" s="717">
        <v>0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0</v>
      </c>
      <c r="AE251" s="717">
        <v>0</v>
      </c>
      <c r="AF251" s="717">
        <v>0</v>
      </c>
      <c r="AG251" s="1993">
        <v>75750</v>
      </c>
    </row>
    <row r="252" spans="1:33" ht="12.75" customHeight="1" x14ac:dyDescent="0.2">
      <c r="A252" s="666" t="s">
        <v>1964</v>
      </c>
      <c r="B252" s="716">
        <v>0</v>
      </c>
      <c r="C252" s="716">
        <v>0</v>
      </c>
      <c r="D252" s="716">
        <v>0</v>
      </c>
      <c r="E252" s="717">
        <v>0</v>
      </c>
      <c r="F252" s="716">
        <v>0</v>
      </c>
      <c r="G252" s="716">
        <v>0</v>
      </c>
      <c r="H252" s="716">
        <v>0</v>
      </c>
      <c r="I252" s="716">
        <v>0</v>
      </c>
      <c r="J252" s="715">
        <v>0</v>
      </c>
      <c r="K252" s="715">
        <v>0</v>
      </c>
      <c r="L252" s="716">
        <v>0</v>
      </c>
      <c r="M252" s="715">
        <v>0</v>
      </c>
      <c r="N252" s="715">
        <v>0</v>
      </c>
      <c r="O252" s="716">
        <v>0</v>
      </c>
      <c r="P252" s="666" t="s">
        <v>1438</v>
      </c>
      <c r="Q252" s="717">
        <v>75750</v>
      </c>
      <c r="R252" s="717">
        <v>0</v>
      </c>
      <c r="S252" s="717">
        <v>0</v>
      </c>
      <c r="T252" s="717">
        <v>0</v>
      </c>
      <c r="U252" s="717">
        <v>0</v>
      </c>
      <c r="V252" s="717">
        <v>0</v>
      </c>
      <c r="W252" s="717">
        <v>0</v>
      </c>
      <c r="X252" s="717">
        <v>0</v>
      </c>
      <c r="Y252" s="717">
        <v>0</v>
      </c>
      <c r="Z252" s="717">
        <v>0</v>
      </c>
      <c r="AA252" s="717">
        <v>0</v>
      </c>
      <c r="AB252" s="717">
        <v>0</v>
      </c>
      <c r="AC252" s="717">
        <v>0</v>
      </c>
      <c r="AD252" s="717">
        <v>75750</v>
      </c>
      <c r="AE252" s="666"/>
      <c r="AF252" s="666"/>
      <c r="AG252" s="666"/>
    </row>
    <row r="253" spans="1:33" x14ac:dyDescent="0.2">
      <c r="A253" s="666" t="s">
        <v>1965</v>
      </c>
      <c r="B253" s="666" t="s">
        <v>35</v>
      </c>
      <c r="C253" s="666"/>
      <c r="D253" s="666"/>
      <c r="E253" s="715">
        <v>0</v>
      </c>
      <c r="F253" s="715">
        <v>0</v>
      </c>
      <c r="G253" s="715">
        <v>0</v>
      </c>
      <c r="H253" s="715">
        <v>0</v>
      </c>
      <c r="I253" s="715">
        <v>0</v>
      </c>
      <c r="J253" s="715">
        <v>0</v>
      </c>
      <c r="K253" s="715">
        <v>0</v>
      </c>
      <c r="L253" s="715">
        <v>0</v>
      </c>
      <c r="M253" s="715">
        <v>0</v>
      </c>
      <c r="N253" s="715">
        <v>0</v>
      </c>
      <c r="O253" s="715">
        <v>0</v>
      </c>
      <c r="P253" s="715">
        <v>0</v>
      </c>
      <c r="Q253" s="715">
        <v>0</v>
      </c>
      <c r="R253" s="716">
        <v>0</v>
      </c>
      <c r="S253" s="666" t="s">
        <v>1966</v>
      </c>
      <c r="T253" s="717">
        <v>1476395</v>
      </c>
      <c r="U253" s="717">
        <v>1541120</v>
      </c>
      <c r="V253" s="717">
        <v>0</v>
      </c>
      <c r="W253" s="717">
        <v>0</v>
      </c>
      <c r="X253" s="717">
        <v>0</v>
      </c>
      <c r="Y253" s="717">
        <v>0</v>
      </c>
      <c r="Z253" s="717">
        <v>427607</v>
      </c>
      <c r="AA253" s="717">
        <v>0</v>
      </c>
      <c r="AB253" s="717">
        <v>0</v>
      </c>
      <c r="AC253" s="717">
        <v>0</v>
      </c>
      <c r="AD253" s="717">
        <v>0</v>
      </c>
      <c r="AE253" s="717">
        <v>0</v>
      </c>
      <c r="AF253" s="717">
        <v>0</v>
      </c>
      <c r="AG253" s="1993">
        <v>2589908</v>
      </c>
    </row>
    <row r="254" spans="1:33" x14ac:dyDescent="0.2">
      <c r="A254" s="666" t="s">
        <v>1967</v>
      </c>
      <c r="B254" s="716">
        <v>0</v>
      </c>
      <c r="C254" s="716">
        <v>0</v>
      </c>
      <c r="D254" s="716">
        <v>0</v>
      </c>
      <c r="E254" s="717">
        <v>0</v>
      </c>
      <c r="F254" s="716">
        <v>0</v>
      </c>
      <c r="G254" s="716">
        <v>0</v>
      </c>
      <c r="H254" s="716">
        <v>0</v>
      </c>
      <c r="I254" s="716">
        <v>0</v>
      </c>
      <c r="J254" s="715">
        <v>0</v>
      </c>
      <c r="K254" s="715">
        <v>0</v>
      </c>
      <c r="L254" s="716">
        <v>0</v>
      </c>
      <c r="M254" s="715">
        <v>0</v>
      </c>
      <c r="N254" s="715">
        <v>0</v>
      </c>
      <c r="O254" s="716">
        <v>0</v>
      </c>
      <c r="P254" s="666" t="s">
        <v>808</v>
      </c>
      <c r="Q254" s="717">
        <v>1476395</v>
      </c>
      <c r="R254" s="717">
        <v>1541120</v>
      </c>
      <c r="S254" s="717">
        <v>0</v>
      </c>
      <c r="T254" s="717">
        <v>0</v>
      </c>
      <c r="U254" s="717">
        <v>0</v>
      </c>
      <c r="V254" s="717">
        <v>0</v>
      </c>
      <c r="W254" s="717">
        <v>427607</v>
      </c>
      <c r="X254" s="717">
        <v>0</v>
      </c>
      <c r="Y254" s="717">
        <v>0</v>
      </c>
      <c r="Z254" s="717">
        <v>0</v>
      </c>
      <c r="AA254" s="717">
        <v>0</v>
      </c>
      <c r="AB254" s="717">
        <v>0</v>
      </c>
      <c r="AC254" s="717">
        <v>0</v>
      </c>
      <c r="AD254" s="717">
        <v>2589908</v>
      </c>
      <c r="AE254" s="666"/>
      <c r="AF254" s="666"/>
      <c r="AG254" s="666"/>
    </row>
    <row r="255" spans="1:33" x14ac:dyDescent="0.2">
      <c r="A255" s="666" t="s">
        <v>1968</v>
      </c>
      <c r="B255" s="666" t="s">
        <v>35</v>
      </c>
      <c r="C255" s="666"/>
      <c r="D255" s="666"/>
      <c r="E255" s="715">
        <v>0</v>
      </c>
      <c r="F255" s="715">
        <v>0</v>
      </c>
      <c r="G255" s="715">
        <v>0</v>
      </c>
      <c r="H255" s="715">
        <v>0</v>
      </c>
      <c r="I255" s="715">
        <v>0</v>
      </c>
      <c r="J255" s="715">
        <v>0</v>
      </c>
      <c r="K255" s="715">
        <v>0</v>
      </c>
      <c r="L255" s="715">
        <v>0</v>
      </c>
      <c r="M255" s="715">
        <v>0</v>
      </c>
      <c r="N255" s="715">
        <v>0</v>
      </c>
      <c r="O255" s="715">
        <v>0</v>
      </c>
      <c r="P255" s="715">
        <v>0</v>
      </c>
      <c r="Q255" s="715">
        <v>0</v>
      </c>
      <c r="R255" s="716">
        <v>0</v>
      </c>
      <c r="S255" s="666" t="s">
        <v>1969</v>
      </c>
      <c r="T255" s="717">
        <v>378946</v>
      </c>
      <c r="U255" s="717">
        <v>605450</v>
      </c>
      <c r="V255" s="717">
        <v>0</v>
      </c>
      <c r="W255" s="717">
        <v>0</v>
      </c>
      <c r="X255" s="717">
        <v>0</v>
      </c>
      <c r="Y255" s="717">
        <v>0</v>
      </c>
      <c r="Z255" s="717">
        <v>548600</v>
      </c>
      <c r="AA255" s="717">
        <v>0</v>
      </c>
      <c r="AB255" s="717">
        <v>0</v>
      </c>
      <c r="AC255" s="717">
        <v>0</v>
      </c>
      <c r="AD255" s="717">
        <v>0</v>
      </c>
      <c r="AE255" s="717">
        <v>0</v>
      </c>
      <c r="AF255" s="717">
        <v>0</v>
      </c>
      <c r="AG255" s="1993">
        <v>435796</v>
      </c>
    </row>
    <row r="256" spans="1:33" x14ac:dyDescent="0.2">
      <c r="A256" s="666" t="s">
        <v>1970</v>
      </c>
      <c r="B256" s="716">
        <v>0</v>
      </c>
      <c r="C256" s="716">
        <v>0</v>
      </c>
      <c r="D256" s="716">
        <v>0</v>
      </c>
      <c r="E256" s="717">
        <v>0</v>
      </c>
      <c r="F256" s="716">
        <v>0</v>
      </c>
      <c r="G256" s="716">
        <v>0</v>
      </c>
      <c r="H256" s="716">
        <v>0</v>
      </c>
      <c r="I256" s="716">
        <v>0</v>
      </c>
      <c r="J256" s="715">
        <v>0</v>
      </c>
      <c r="K256" s="715">
        <v>0</v>
      </c>
      <c r="L256" s="716">
        <v>0</v>
      </c>
      <c r="M256" s="715">
        <v>0</v>
      </c>
      <c r="N256" s="715">
        <v>0</v>
      </c>
      <c r="O256" s="716">
        <v>0</v>
      </c>
      <c r="P256" s="666" t="s">
        <v>1380</v>
      </c>
      <c r="Q256" s="717">
        <v>378946</v>
      </c>
      <c r="R256" s="717">
        <v>605450</v>
      </c>
      <c r="S256" s="717">
        <v>0</v>
      </c>
      <c r="T256" s="717">
        <v>0</v>
      </c>
      <c r="U256" s="717">
        <v>0</v>
      </c>
      <c r="V256" s="717">
        <v>0</v>
      </c>
      <c r="W256" s="717">
        <v>548600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435796</v>
      </c>
      <c r="AE256" s="666"/>
      <c r="AF256" s="666"/>
      <c r="AG256" s="666"/>
    </row>
    <row r="257" spans="1:33" ht="12.75" customHeight="1" x14ac:dyDescent="0.2">
      <c r="A257" s="666" t="s">
        <v>1971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55</v>
      </c>
      <c r="T257" s="717">
        <v>21525</v>
      </c>
      <c r="U257" s="717">
        <v>10120</v>
      </c>
      <c r="V257" s="717">
        <v>0</v>
      </c>
      <c r="W257" s="717">
        <v>0</v>
      </c>
      <c r="X257" s="717">
        <v>0</v>
      </c>
      <c r="Y257" s="717">
        <v>0</v>
      </c>
      <c r="Z257" s="717">
        <v>9009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3">
        <v>22636</v>
      </c>
    </row>
    <row r="258" spans="1:33" x14ac:dyDescent="0.2">
      <c r="A258" s="666" t="s">
        <v>1972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830</v>
      </c>
      <c r="Q258" s="717">
        <v>21525</v>
      </c>
      <c r="R258" s="717">
        <v>10120</v>
      </c>
      <c r="S258" s="717">
        <v>0</v>
      </c>
      <c r="T258" s="717">
        <v>0</v>
      </c>
      <c r="U258" s="717">
        <v>0</v>
      </c>
      <c r="V258" s="717">
        <v>0</v>
      </c>
      <c r="W258" s="717">
        <v>9009</v>
      </c>
      <c r="X258" s="717">
        <v>0</v>
      </c>
      <c r="Y258" s="717">
        <v>0</v>
      </c>
      <c r="Z258" s="717">
        <v>0</v>
      </c>
      <c r="AA258" s="717">
        <v>0</v>
      </c>
      <c r="AB258" s="717">
        <v>0</v>
      </c>
      <c r="AC258" s="717">
        <v>0</v>
      </c>
      <c r="AD258" s="717">
        <v>22636</v>
      </c>
      <c r="AE258" s="666"/>
      <c r="AF258" s="666"/>
      <c r="AG258" s="666"/>
    </row>
    <row r="259" spans="1:33" x14ac:dyDescent="0.2">
      <c r="A259" s="666" t="s">
        <v>2212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2213</v>
      </c>
      <c r="T259" s="717">
        <v>0</v>
      </c>
      <c r="U259" s="717">
        <v>49280</v>
      </c>
      <c r="V259" s="717">
        <v>0</v>
      </c>
      <c r="W259" s="717">
        <v>0</v>
      </c>
      <c r="X259" s="717">
        <v>0</v>
      </c>
      <c r="Y259" s="717">
        <v>0</v>
      </c>
      <c r="Z259" s="717">
        <v>0</v>
      </c>
      <c r="AA259" s="717">
        <v>0</v>
      </c>
      <c r="AB259" s="717">
        <v>0</v>
      </c>
      <c r="AC259" s="717">
        <v>0</v>
      </c>
      <c r="AD259" s="717">
        <v>49280</v>
      </c>
      <c r="AE259" s="717">
        <v>0</v>
      </c>
      <c r="AF259" s="717">
        <v>0</v>
      </c>
      <c r="AG259" s="1993">
        <v>0</v>
      </c>
    </row>
    <row r="260" spans="1:33" x14ac:dyDescent="0.2">
      <c r="A260" s="666" t="s">
        <v>1973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1974</v>
      </c>
      <c r="T260" s="717">
        <v>334417</v>
      </c>
      <c r="U260" s="717">
        <v>0</v>
      </c>
      <c r="V260" s="717">
        <v>0</v>
      </c>
      <c r="W260" s="717">
        <v>0</v>
      </c>
      <c r="X260" s="717">
        <v>49280</v>
      </c>
      <c r="Y260" s="717">
        <v>0</v>
      </c>
      <c r="Z260" s="717">
        <v>96263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3">
        <v>287434</v>
      </c>
    </row>
    <row r="261" spans="1:33" ht="12.75" customHeight="1" x14ac:dyDescent="0.2">
      <c r="A261" s="666" t="s">
        <v>1975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810</v>
      </c>
      <c r="Q261" s="717">
        <v>334417</v>
      </c>
      <c r="R261" s="717">
        <v>49280</v>
      </c>
      <c r="S261" s="717">
        <v>0</v>
      </c>
      <c r="T261" s="717">
        <v>0</v>
      </c>
      <c r="U261" s="717">
        <v>49280</v>
      </c>
      <c r="V261" s="717">
        <v>0</v>
      </c>
      <c r="W261" s="717">
        <v>96263</v>
      </c>
      <c r="X261" s="717">
        <v>0</v>
      </c>
      <c r="Y261" s="717">
        <v>0</v>
      </c>
      <c r="Z261" s="717">
        <v>0</v>
      </c>
      <c r="AA261" s="717">
        <v>49280</v>
      </c>
      <c r="AB261" s="717">
        <v>0</v>
      </c>
      <c r="AC261" s="717">
        <v>0</v>
      </c>
      <c r="AD261" s="717">
        <v>287434</v>
      </c>
      <c r="AE261" s="666"/>
      <c r="AF261" s="666"/>
      <c r="AG261" s="666"/>
    </row>
    <row r="262" spans="1:33" ht="12.75" customHeight="1" x14ac:dyDescent="0.2">
      <c r="A262" s="666" t="s">
        <v>1976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1977</v>
      </c>
      <c r="T262" s="717">
        <v>172150</v>
      </c>
      <c r="U262" s="717">
        <v>131560</v>
      </c>
      <c r="V262" s="717">
        <v>0</v>
      </c>
      <c r="W262" s="717">
        <v>0</v>
      </c>
      <c r="X262" s="717">
        <v>0</v>
      </c>
      <c r="Y262" s="717">
        <v>0</v>
      </c>
      <c r="Z262" s="717">
        <v>0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3">
        <v>303710</v>
      </c>
    </row>
    <row r="263" spans="1:33" x14ac:dyDescent="0.2">
      <c r="A263" s="666" t="s">
        <v>1978</v>
      </c>
      <c r="B263" s="666" t="s">
        <v>35</v>
      </c>
      <c r="C263" s="666"/>
      <c r="D263" s="666"/>
      <c r="E263" s="715">
        <v>0</v>
      </c>
      <c r="F263" s="715">
        <v>0</v>
      </c>
      <c r="G263" s="715">
        <v>0</v>
      </c>
      <c r="H263" s="715">
        <v>0</v>
      </c>
      <c r="I263" s="715">
        <v>0</v>
      </c>
      <c r="J263" s="715">
        <v>0</v>
      </c>
      <c r="K263" s="715">
        <v>0</v>
      </c>
      <c r="L263" s="715">
        <v>0</v>
      </c>
      <c r="M263" s="715">
        <v>0</v>
      </c>
      <c r="N263" s="715">
        <v>0</v>
      </c>
      <c r="O263" s="715">
        <v>0</v>
      </c>
      <c r="P263" s="715">
        <v>0</v>
      </c>
      <c r="Q263" s="715">
        <v>0</v>
      </c>
      <c r="R263" s="716">
        <v>0</v>
      </c>
      <c r="S263" s="666" t="s">
        <v>1979</v>
      </c>
      <c r="T263" s="717">
        <v>455708</v>
      </c>
      <c r="U263" s="717">
        <v>140580</v>
      </c>
      <c r="V263" s="717">
        <v>0</v>
      </c>
      <c r="W263" s="717">
        <v>0</v>
      </c>
      <c r="X263" s="717">
        <v>0</v>
      </c>
      <c r="Y263" s="717">
        <v>0</v>
      </c>
      <c r="Z263" s="717">
        <v>389932</v>
      </c>
      <c r="AA263" s="717">
        <v>0</v>
      </c>
      <c r="AB263" s="717">
        <v>0</v>
      </c>
      <c r="AC263" s="717">
        <v>0</v>
      </c>
      <c r="AD263" s="717">
        <v>0</v>
      </c>
      <c r="AE263" s="717">
        <v>0</v>
      </c>
      <c r="AF263" s="717">
        <v>0</v>
      </c>
      <c r="AG263" s="1993">
        <v>206356</v>
      </c>
    </row>
    <row r="264" spans="1:33" x14ac:dyDescent="0.2">
      <c r="A264" s="666" t="s">
        <v>1980</v>
      </c>
      <c r="B264" s="716">
        <v>0</v>
      </c>
      <c r="C264" s="716">
        <v>0</v>
      </c>
      <c r="D264" s="716">
        <v>0</v>
      </c>
      <c r="E264" s="717">
        <v>0</v>
      </c>
      <c r="F264" s="716">
        <v>0</v>
      </c>
      <c r="G264" s="716">
        <v>0</v>
      </c>
      <c r="H264" s="716">
        <v>0</v>
      </c>
      <c r="I264" s="716">
        <v>0</v>
      </c>
      <c r="J264" s="715">
        <v>0</v>
      </c>
      <c r="K264" s="715">
        <v>0</v>
      </c>
      <c r="L264" s="716">
        <v>0</v>
      </c>
      <c r="M264" s="715">
        <v>0</v>
      </c>
      <c r="N264" s="715">
        <v>0</v>
      </c>
      <c r="O264" s="716">
        <v>0</v>
      </c>
      <c r="P264" s="666" t="s">
        <v>809</v>
      </c>
      <c r="Q264" s="717">
        <v>627858</v>
      </c>
      <c r="R264" s="717">
        <v>272140</v>
      </c>
      <c r="S264" s="717">
        <v>0</v>
      </c>
      <c r="T264" s="717">
        <v>0</v>
      </c>
      <c r="U264" s="717">
        <v>0</v>
      </c>
      <c r="V264" s="717">
        <v>0</v>
      </c>
      <c r="W264" s="717">
        <v>389932</v>
      </c>
      <c r="X264" s="717">
        <v>0</v>
      </c>
      <c r="Y264" s="717">
        <v>0</v>
      </c>
      <c r="Z264" s="717">
        <v>0</v>
      </c>
      <c r="AA264" s="717">
        <v>0</v>
      </c>
      <c r="AB264" s="717">
        <v>0</v>
      </c>
      <c r="AC264" s="717">
        <v>0</v>
      </c>
      <c r="AD264" s="717">
        <v>510066</v>
      </c>
      <c r="AE264" s="666"/>
      <c r="AF264" s="666"/>
      <c r="AG264" s="666"/>
    </row>
    <row r="265" spans="1:33" x14ac:dyDescent="0.2">
      <c r="A265" s="666" t="s">
        <v>1981</v>
      </c>
      <c r="B265" s="666" t="s">
        <v>35</v>
      </c>
      <c r="C265" s="666"/>
      <c r="D265" s="666"/>
      <c r="E265" s="715">
        <v>0</v>
      </c>
      <c r="F265" s="715">
        <v>0</v>
      </c>
      <c r="G265" s="715">
        <v>0</v>
      </c>
      <c r="H265" s="715">
        <v>0</v>
      </c>
      <c r="I265" s="715">
        <v>0</v>
      </c>
      <c r="J265" s="715">
        <v>0</v>
      </c>
      <c r="K265" s="715">
        <v>0</v>
      </c>
      <c r="L265" s="715">
        <v>0</v>
      </c>
      <c r="M265" s="715">
        <v>0</v>
      </c>
      <c r="N265" s="715">
        <v>0</v>
      </c>
      <c r="O265" s="715">
        <v>0</v>
      </c>
      <c r="P265" s="715">
        <v>0</v>
      </c>
      <c r="Q265" s="715">
        <v>0</v>
      </c>
      <c r="R265" s="716">
        <v>0</v>
      </c>
      <c r="S265" s="666" t="s">
        <v>1982</v>
      </c>
      <c r="T265" s="717">
        <v>172097</v>
      </c>
      <c r="U265" s="717">
        <v>0</v>
      </c>
      <c r="V265" s="717">
        <v>0</v>
      </c>
      <c r="W265" s="717">
        <v>0</v>
      </c>
      <c r="X265" s="717">
        <v>0</v>
      </c>
      <c r="Y265" s="717">
        <v>0</v>
      </c>
      <c r="Z265" s="717">
        <v>49454</v>
      </c>
      <c r="AA265" s="717">
        <v>0</v>
      </c>
      <c r="AB265" s="717">
        <v>0</v>
      </c>
      <c r="AC265" s="717">
        <v>0</v>
      </c>
      <c r="AD265" s="717">
        <v>0</v>
      </c>
      <c r="AE265" s="717">
        <v>0</v>
      </c>
      <c r="AF265" s="717">
        <v>0</v>
      </c>
      <c r="AG265" s="1993">
        <v>122643</v>
      </c>
    </row>
    <row r="266" spans="1:33" x14ac:dyDescent="0.2">
      <c r="A266" s="666" t="s">
        <v>1983</v>
      </c>
      <c r="B266" s="716">
        <v>0</v>
      </c>
      <c r="C266" s="716">
        <v>0</v>
      </c>
      <c r="D266" s="716">
        <v>0</v>
      </c>
      <c r="E266" s="717">
        <v>0</v>
      </c>
      <c r="F266" s="716">
        <v>0</v>
      </c>
      <c r="G266" s="716">
        <v>0</v>
      </c>
      <c r="H266" s="716">
        <v>0</v>
      </c>
      <c r="I266" s="716">
        <v>0</v>
      </c>
      <c r="J266" s="715">
        <v>0</v>
      </c>
      <c r="K266" s="715">
        <v>0</v>
      </c>
      <c r="L266" s="716">
        <v>0</v>
      </c>
      <c r="M266" s="715">
        <v>0</v>
      </c>
      <c r="N266" s="715">
        <v>0</v>
      </c>
      <c r="O266" s="716">
        <v>0</v>
      </c>
      <c r="P266" s="666" t="s">
        <v>814</v>
      </c>
      <c r="Q266" s="717">
        <v>172097</v>
      </c>
      <c r="R266" s="717">
        <v>0</v>
      </c>
      <c r="S266" s="717">
        <v>0</v>
      </c>
      <c r="T266" s="717">
        <v>0</v>
      </c>
      <c r="U266" s="717">
        <v>0</v>
      </c>
      <c r="V266" s="717">
        <v>0</v>
      </c>
      <c r="W266" s="717">
        <v>49454</v>
      </c>
      <c r="X266" s="717">
        <v>0</v>
      </c>
      <c r="Y266" s="717">
        <v>0</v>
      </c>
      <c r="Z266" s="717">
        <v>0</v>
      </c>
      <c r="AA266" s="717">
        <v>0</v>
      </c>
      <c r="AB266" s="717">
        <v>0</v>
      </c>
      <c r="AC266" s="717">
        <v>0</v>
      </c>
      <c r="AD266" s="717">
        <v>122643</v>
      </c>
      <c r="AE266" s="666"/>
      <c r="AF266" s="666"/>
      <c r="AG266" s="666"/>
    </row>
    <row r="267" spans="1:33" ht="12.75" customHeight="1" x14ac:dyDescent="0.2">
      <c r="A267" s="666" t="s">
        <v>1984</v>
      </c>
      <c r="B267" s="666" t="s">
        <v>35</v>
      </c>
      <c r="C267" s="666"/>
      <c r="D267" s="666"/>
      <c r="E267" s="715">
        <v>0</v>
      </c>
      <c r="F267" s="715">
        <v>0</v>
      </c>
      <c r="G267" s="715">
        <v>0</v>
      </c>
      <c r="H267" s="715">
        <v>0</v>
      </c>
      <c r="I267" s="715">
        <v>0</v>
      </c>
      <c r="J267" s="715">
        <v>0</v>
      </c>
      <c r="K267" s="715">
        <v>0</v>
      </c>
      <c r="L267" s="715">
        <v>0</v>
      </c>
      <c r="M267" s="715">
        <v>0</v>
      </c>
      <c r="N267" s="715">
        <v>0</v>
      </c>
      <c r="O267" s="715">
        <v>0</v>
      </c>
      <c r="P267" s="715">
        <v>0</v>
      </c>
      <c r="Q267" s="715">
        <v>0</v>
      </c>
      <c r="R267" s="716">
        <v>0</v>
      </c>
      <c r="S267" s="666" t="s">
        <v>1985</v>
      </c>
      <c r="T267" s="717">
        <v>230659</v>
      </c>
      <c r="U267" s="717">
        <v>545930</v>
      </c>
      <c r="V267" s="717">
        <v>379690</v>
      </c>
      <c r="W267" s="717">
        <v>0</v>
      </c>
      <c r="X267" s="717">
        <v>0</v>
      </c>
      <c r="Y267" s="717">
        <v>0</v>
      </c>
      <c r="Z267" s="717">
        <v>615613</v>
      </c>
      <c r="AA267" s="717">
        <v>0</v>
      </c>
      <c r="AB267" s="717">
        <v>0</v>
      </c>
      <c r="AC267" s="717">
        <v>0</v>
      </c>
      <c r="AD267" s="717">
        <v>0</v>
      </c>
      <c r="AE267" s="717">
        <v>0</v>
      </c>
      <c r="AF267" s="717">
        <v>0</v>
      </c>
      <c r="AG267" s="1993">
        <v>540666</v>
      </c>
    </row>
    <row r="268" spans="1:33" x14ac:dyDescent="0.2">
      <c r="A268" s="666" t="s">
        <v>1986</v>
      </c>
      <c r="B268" s="716">
        <v>0</v>
      </c>
      <c r="C268" s="716">
        <v>0</v>
      </c>
      <c r="D268" s="716">
        <v>0</v>
      </c>
      <c r="E268" s="717">
        <v>0</v>
      </c>
      <c r="F268" s="716">
        <v>0</v>
      </c>
      <c r="G268" s="716">
        <v>0</v>
      </c>
      <c r="H268" s="716">
        <v>0</v>
      </c>
      <c r="I268" s="716">
        <v>0</v>
      </c>
      <c r="J268" s="715">
        <v>0</v>
      </c>
      <c r="K268" s="715">
        <v>0</v>
      </c>
      <c r="L268" s="716">
        <v>0</v>
      </c>
      <c r="M268" s="715">
        <v>0</v>
      </c>
      <c r="N268" s="715">
        <v>0</v>
      </c>
      <c r="O268" s="716">
        <v>0</v>
      </c>
      <c r="P268" s="666" t="s">
        <v>807</v>
      </c>
      <c r="Q268" s="717">
        <v>230659</v>
      </c>
      <c r="R268" s="717">
        <v>545930</v>
      </c>
      <c r="S268" s="717">
        <v>379690</v>
      </c>
      <c r="T268" s="717">
        <v>0</v>
      </c>
      <c r="U268" s="717">
        <v>0</v>
      </c>
      <c r="V268" s="717">
        <v>0</v>
      </c>
      <c r="W268" s="717">
        <v>615613</v>
      </c>
      <c r="X268" s="717">
        <v>0</v>
      </c>
      <c r="Y268" s="717">
        <v>0</v>
      </c>
      <c r="Z268" s="717">
        <v>0</v>
      </c>
      <c r="AA268" s="717">
        <v>0</v>
      </c>
      <c r="AB268" s="717">
        <v>0</v>
      </c>
      <c r="AC268" s="717">
        <v>0</v>
      </c>
      <c r="AD268" s="717">
        <v>540666</v>
      </c>
      <c r="AE268" s="666"/>
      <c r="AF268" s="666"/>
      <c r="AG268" s="666"/>
    </row>
    <row r="269" spans="1:33" x14ac:dyDescent="0.2">
      <c r="A269" s="666" t="s">
        <v>1987</v>
      </c>
      <c r="B269" s="666" t="s">
        <v>35</v>
      </c>
      <c r="C269" s="666"/>
      <c r="D269" s="666"/>
      <c r="E269" s="715">
        <v>616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280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336</v>
      </c>
      <c r="S269" s="666" t="s">
        <v>1785</v>
      </c>
      <c r="T269" s="717">
        <v>26830</v>
      </c>
      <c r="U269" s="717">
        <v>0</v>
      </c>
      <c r="V269" s="717">
        <v>0</v>
      </c>
      <c r="W269" s="717">
        <v>0</v>
      </c>
      <c r="X269" s="717">
        <v>0</v>
      </c>
      <c r="Y269" s="717">
        <v>0</v>
      </c>
      <c r="Z269" s="717">
        <v>3337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3">
        <v>23493</v>
      </c>
    </row>
    <row r="270" spans="1:33" x14ac:dyDescent="0.2">
      <c r="A270" s="666" t="s">
        <v>1988</v>
      </c>
      <c r="B270" s="716">
        <v>616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280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336</v>
      </c>
      <c r="P270" s="666" t="s">
        <v>1791</v>
      </c>
      <c r="Q270" s="717">
        <v>26830</v>
      </c>
      <c r="R270" s="717">
        <v>0</v>
      </c>
      <c r="S270" s="717">
        <v>0</v>
      </c>
      <c r="T270" s="717">
        <v>0</v>
      </c>
      <c r="U270" s="717">
        <v>0</v>
      </c>
      <c r="V270" s="717">
        <v>0</v>
      </c>
      <c r="W270" s="717">
        <v>3337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23493</v>
      </c>
      <c r="AE270" s="666"/>
      <c r="AF270" s="666"/>
      <c r="AG270" s="666"/>
    </row>
    <row r="271" spans="1:33" ht="12.75" customHeight="1" x14ac:dyDescent="0.2">
      <c r="A271" s="666" t="s">
        <v>1989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1708</v>
      </c>
      <c r="T271" s="717">
        <v>2269476</v>
      </c>
      <c r="U271" s="717">
        <v>1615700</v>
      </c>
      <c r="V271" s="717">
        <v>0</v>
      </c>
      <c r="W271" s="717">
        <v>0</v>
      </c>
      <c r="X271" s="717">
        <v>0</v>
      </c>
      <c r="Y271" s="717">
        <v>0</v>
      </c>
      <c r="Z271" s="717">
        <v>2053840</v>
      </c>
      <c r="AA271" s="717">
        <v>0</v>
      </c>
      <c r="AB271" s="717">
        <v>0</v>
      </c>
      <c r="AC271" s="717">
        <v>0</v>
      </c>
      <c r="AD271" s="717">
        <v>0</v>
      </c>
      <c r="AE271" s="717">
        <v>0</v>
      </c>
      <c r="AF271" s="717">
        <v>0</v>
      </c>
      <c r="AG271" s="1993">
        <v>1831336</v>
      </c>
    </row>
    <row r="272" spans="1:33" ht="12.75" customHeight="1" x14ac:dyDescent="0.2">
      <c r="A272" s="666" t="s">
        <v>1990</v>
      </c>
      <c r="B272" s="716">
        <v>0</v>
      </c>
      <c r="C272" s="716">
        <v>0</v>
      </c>
      <c r="D272" s="716">
        <v>0</v>
      </c>
      <c r="E272" s="717">
        <v>0</v>
      </c>
      <c r="F272" s="716">
        <v>0</v>
      </c>
      <c r="G272" s="716">
        <v>0</v>
      </c>
      <c r="H272" s="716">
        <v>0</v>
      </c>
      <c r="I272" s="716">
        <v>0</v>
      </c>
      <c r="J272" s="715">
        <v>0</v>
      </c>
      <c r="K272" s="715">
        <v>0</v>
      </c>
      <c r="L272" s="716">
        <v>0</v>
      </c>
      <c r="M272" s="715">
        <v>0</v>
      </c>
      <c r="N272" s="715">
        <v>0</v>
      </c>
      <c r="O272" s="716">
        <v>0</v>
      </c>
      <c r="P272" s="666" t="s">
        <v>842</v>
      </c>
      <c r="Q272" s="717">
        <v>2269476</v>
      </c>
      <c r="R272" s="717">
        <v>1615700</v>
      </c>
      <c r="S272" s="717">
        <v>0</v>
      </c>
      <c r="T272" s="717">
        <v>0</v>
      </c>
      <c r="U272" s="717">
        <v>0</v>
      </c>
      <c r="V272" s="717">
        <v>0</v>
      </c>
      <c r="W272" s="717">
        <v>2053840</v>
      </c>
      <c r="X272" s="717">
        <v>0</v>
      </c>
      <c r="Y272" s="717">
        <v>0</v>
      </c>
      <c r="Z272" s="717">
        <v>0</v>
      </c>
      <c r="AA272" s="717">
        <v>0</v>
      </c>
      <c r="AB272" s="717">
        <v>0</v>
      </c>
      <c r="AC272" s="717">
        <v>0</v>
      </c>
      <c r="AD272" s="717">
        <v>1831336</v>
      </c>
      <c r="AE272" s="666"/>
      <c r="AF272" s="666"/>
      <c r="AG272" s="666"/>
    </row>
    <row r="273" spans="1:33" x14ac:dyDescent="0.2">
      <c r="A273" s="666" t="s">
        <v>1991</v>
      </c>
      <c r="B273" s="666" t="s">
        <v>35</v>
      </c>
      <c r="C273" s="666"/>
      <c r="D273" s="666"/>
      <c r="E273" s="715">
        <v>0</v>
      </c>
      <c r="F273" s="715">
        <v>0</v>
      </c>
      <c r="G273" s="715">
        <v>0</v>
      </c>
      <c r="H273" s="715">
        <v>0</v>
      </c>
      <c r="I273" s="715">
        <v>0</v>
      </c>
      <c r="J273" s="715">
        <v>0</v>
      </c>
      <c r="K273" s="715">
        <v>0</v>
      </c>
      <c r="L273" s="715">
        <v>0</v>
      </c>
      <c r="M273" s="715">
        <v>0</v>
      </c>
      <c r="N273" s="715">
        <v>0</v>
      </c>
      <c r="O273" s="715">
        <v>0</v>
      </c>
      <c r="P273" s="715">
        <v>0</v>
      </c>
      <c r="Q273" s="715">
        <v>0</v>
      </c>
      <c r="R273" s="716">
        <v>0</v>
      </c>
      <c r="S273" s="666" t="s">
        <v>1992</v>
      </c>
      <c r="T273" s="717">
        <v>137750</v>
      </c>
      <c r="U273" s="717">
        <v>0</v>
      </c>
      <c r="V273" s="717">
        <v>187770</v>
      </c>
      <c r="W273" s="717">
        <v>0</v>
      </c>
      <c r="X273" s="717">
        <v>0</v>
      </c>
      <c r="Y273" s="717">
        <v>0</v>
      </c>
      <c r="Z273" s="717">
        <v>0</v>
      </c>
      <c r="AA273" s="717">
        <v>0</v>
      </c>
      <c r="AB273" s="717">
        <v>0</v>
      </c>
      <c r="AC273" s="717">
        <v>0</v>
      </c>
      <c r="AD273" s="717">
        <v>116630</v>
      </c>
      <c r="AE273" s="717">
        <v>0</v>
      </c>
      <c r="AF273" s="717">
        <v>0</v>
      </c>
      <c r="AG273" s="1993">
        <v>208890</v>
      </c>
    </row>
    <row r="274" spans="1:33" x14ac:dyDescent="0.2">
      <c r="A274" s="666" t="s">
        <v>1993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1994</v>
      </c>
      <c r="T274" s="717">
        <v>89744</v>
      </c>
      <c r="U274" s="717">
        <v>0</v>
      </c>
      <c r="V274" s="717">
        <v>0</v>
      </c>
      <c r="W274" s="717">
        <v>0</v>
      </c>
      <c r="X274" s="717">
        <v>116630</v>
      </c>
      <c r="Y274" s="717">
        <v>0</v>
      </c>
      <c r="Z274" s="717">
        <v>172614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3">
        <v>33760</v>
      </c>
    </row>
    <row r="275" spans="1:33" x14ac:dyDescent="0.2">
      <c r="A275" s="666" t="s">
        <v>1995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812</v>
      </c>
      <c r="Q275" s="717">
        <v>227494</v>
      </c>
      <c r="R275" s="717">
        <v>0</v>
      </c>
      <c r="S275" s="717">
        <v>187770</v>
      </c>
      <c r="T275" s="717">
        <v>0</v>
      </c>
      <c r="U275" s="717">
        <v>116630</v>
      </c>
      <c r="V275" s="717">
        <v>0</v>
      </c>
      <c r="W275" s="717">
        <v>172614</v>
      </c>
      <c r="X275" s="717">
        <v>0</v>
      </c>
      <c r="Y275" s="717">
        <v>0</v>
      </c>
      <c r="Z275" s="717">
        <v>0</v>
      </c>
      <c r="AA275" s="717">
        <v>116630</v>
      </c>
      <c r="AB275" s="717">
        <v>0</v>
      </c>
      <c r="AC275" s="717">
        <v>0</v>
      </c>
      <c r="AD275" s="717">
        <v>242650</v>
      </c>
      <c r="AE275" s="666"/>
      <c r="AF275" s="666"/>
      <c r="AG275" s="666"/>
    </row>
    <row r="276" spans="1:33" x14ac:dyDescent="0.2">
      <c r="A276" s="666" t="s">
        <v>1996</v>
      </c>
      <c r="B276" s="666" t="s">
        <v>35</v>
      </c>
      <c r="C276" s="666"/>
      <c r="D276" s="666"/>
      <c r="E276" s="715">
        <v>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0</v>
      </c>
      <c r="S276" s="666" t="s">
        <v>1997</v>
      </c>
      <c r="T276" s="717">
        <v>140168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30906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3">
        <v>109262</v>
      </c>
    </row>
    <row r="277" spans="1:33" x14ac:dyDescent="0.2">
      <c r="A277" s="666" t="s">
        <v>1998</v>
      </c>
      <c r="B277" s="716">
        <v>0</v>
      </c>
      <c r="C277" s="716">
        <v>0</v>
      </c>
      <c r="D277" s="716">
        <v>0</v>
      </c>
      <c r="E277" s="717">
        <v>0</v>
      </c>
      <c r="F277" s="716">
        <v>0</v>
      </c>
      <c r="G277" s="716">
        <v>0</v>
      </c>
      <c r="H277" s="716">
        <v>0</v>
      </c>
      <c r="I277" s="716">
        <v>0</v>
      </c>
      <c r="J277" s="715">
        <v>0</v>
      </c>
      <c r="K277" s="715">
        <v>0</v>
      </c>
      <c r="L277" s="716">
        <v>0</v>
      </c>
      <c r="M277" s="715">
        <v>0</v>
      </c>
      <c r="N277" s="715">
        <v>0</v>
      </c>
      <c r="O277" s="716">
        <v>0</v>
      </c>
      <c r="P277" s="666" t="s">
        <v>1654</v>
      </c>
      <c r="Q277" s="717">
        <v>140168</v>
      </c>
      <c r="R277" s="717">
        <v>0</v>
      </c>
      <c r="S277" s="717">
        <v>0</v>
      </c>
      <c r="T277" s="717">
        <v>0</v>
      </c>
      <c r="U277" s="717">
        <v>0</v>
      </c>
      <c r="V277" s="717">
        <v>0</v>
      </c>
      <c r="W277" s="717">
        <v>30906</v>
      </c>
      <c r="X277" s="717">
        <v>0</v>
      </c>
      <c r="Y277" s="717">
        <v>0</v>
      </c>
      <c r="Z277" s="717">
        <v>0</v>
      </c>
      <c r="AA277" s="717">
        <v>0</v>
      </c>
      <c r="AB277" s="717">
        <v>0</v>
      </c>
      <c r="AC277" s="717">
        <v>0</v>
      </c>
      <c r="AD277" s="717">
        <v>109262</v>
      </c>
      <c r="AE277" s="666"/>
      <c r="AF277" s="666"/>
      <c r="AG277" s="666"/>
    </row>
    <row r="278" spans="1:33" ht="12.75" customHeight="1" x14ac:dyDescent="0.2">
      <c r="A278" s="666" t="s">
        <v>1999</v>
      </c>
      <c r="B278" s="666" t="s">
        <v>35</v>
      </c>
      <c r="C278" s="666"/>
      <c r="D278" s="666"/>
      <c r="E278" s="715">
        <v>6800</v>
      </c>
      <c r="F278" s="715">
        <v>2400</v>
      </c>
      <c r="G278" s="715">
        <v>0</v>
      </c>
      <c r="H278" s="715">
        <v>0</v>
      </c>
      <c r="I278" s="715">
        <v>0</v>
      </c>
      <c r="J278" s="715">
        <v>0</v>
      </c>
      <c r="K278" s="715">
        <v>1900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7300</v>
      </c>
      <c r="S278" s="666" t="s">
        <v>1234</v>
      </c>
      <c r="T278" s="717">
        <v>191734</v>
      </c>
      <c r="U278" s="717">
        <v>60000</v>
      </c>
      <c r="V278" s="717">
        <v>0</v>
      </c>
      <c r="W278" s="717">
        <v>0</v>
      </c>
      <c r="X278" s="717">
        <v>0</v>
      </c>
      <c r="Y278" s="717">
        <v>0</v>
      </c>
      <c r="Z278" s="717">
        <v>59023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3">
        <v>192711</v>
      </c>
    </row>
    <row r="279" spans="1:33" ht="12.75" customHeight="1" x14ac:dyDescent="0.2">
      <c r="A279" s="666" t="s">
        <v>2237</v>
      </c>
      <c r="B279" s="666" t="s">
        <v>35</v>
      </c>
      <c r="C279" s="666"/>
      <c r="D279" s="666"/>
      <c r="E279" s="715">
        <v>1200</v>
      </c>
      <c r="F279" s="715">
        <v>0</v>
      </c>
      <c r="G279" s="715">
        <v>0</v>
      </c>
      <c r="H279" s="715">
        <v>0</v>
      </c>
      <c r="I279" s="715">
        <v>0</v>
      </c>
      <c r="J279" s="715">
        <v>0</v>
      </c>
      <c r="K279" s="715">
        <v>0</v>
      </c>
      <c r="L279" s="715">
        <v>0</v>
      </c>
      <c r="M279" s="715">
        <v>0</v>
      </c>
      <c r="N279" s="715">
        <v>0</v>
      </c>
      <c r="O279" s="715">
        <v>0</v>
      </c>
      <c r="P279" s="715">
        <v>0</v>
      </c>
      <c r="Q279" s="715">
        <v>0</v>
      </c>
      <c r="R279" s="716">
        <v>1200</v>
      </c>
      <c r="S279" s="666" t="s">
        <v>2238</v>
      </c>
      <c r="T279" s="717">
        <v>30020</v>
      </c>
      <c r="U279" s="717">
        <v>0</v>
      </c>
      <c r="V279" s="717">
        <v>0</v>
      </c>
      <c r="W279" s="717">
        <v>0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0</v>
      </c>
      <c r="AE279" s="717">
        <v>0</v>
      </c>
      <c r="AF279" s="717">
        <v>0</v>
      </c>
      <c r="AG279" s="1993">
        <v>30020</v>
      </c>
    </row>
    <row r="280" spans="1:33" ht="12.75" customHeight="1" x14ac:dyDescent="0.2">
      <c r="A280" s="666" t="s">
        <v>2000</v>
      </c>
      <c r="B280" s="716">
        <v>8000</v>
      </c>
      <c r="C280" s="716">
        <v>2400</v>
      </c>
      <c r="D280" s="716">
        <v>0</v>
      </c>
      <c r="E280" s="717">
        <v>0</v>
      </c>
      <c r="F280" s="716">
        <v>0</v>
      </c>
      <c r="G280" s="716">
        <v>0</v>
      </c>
      <c r="H280" s="716">
        <v>1900</v>
      </c>
      <c r="I280" s="716">
        <v>0</v>
      </c>
      <c r="J280" s="715">
        <v>0</v>
      </c>
      <c r="K280" s="715">
        <v>0</v>
      </c>
      <c r="L280" s="716">
        <v>0</v>
      </c>
      <c r="M280" s="715">
        <v>0</v>
      </c>
      <c r="N280" s="715">
        <v>0</v>
      </c>
      <c r="O280" s="716">
        <v>8500</v>
      </c>
      <c r="P280" s="666" t="s">
        <v>1244</v>
      </c>
      <c r="Q280" s="717">
        <v>221754</v>
      </c>
      <c r="R280" s="717">
        <v>60000</v>
      </c>
      <c r="S280" s="717">
        <v>0</v>
      </c>
      <c r="T280" s="717">
        <v>0</v>
      </c>
      <c r="U280" s="717">
        <v>0</v>
      </c>
      <c r="V280" s="717">
        <v>0</v>
      </c>
      <c r="W280" s="717">
        <v>59023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222731</v>
      </c>
      <c r="AE280" s="666"/>
      <c r="AF280" s="666"/>
      <c r="AG280" s="666"/>
    </row>
    <row r="281" spans="1:33" x14ac:dyDescent="0.2">
      <c r="A281" s="666" t="s">
        <v>2239</v>
      </c>
      <c r="B281" s="666" t="s">
        <v>35</v>
      </c>
      <c r="C281" s="666"/>
      <c r="D281" s="666"/>
      <c r="E281" s="715">
        <v>0</v>
      </c>
      <c r="F281" s="715">
        <v>18</v>
      </c>
      <c r="G281" s="715">
        <v>0</v>
      </c>
      <c r="H281" s="715">
        <v>0</v>
      </c>
      <c r="I281" s="715">
        <v>0</v>
      </c>
      <c r="J281" s="715">
        <v>0</v>
      </c>
      <c r="K281" s="715">
        <v>0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18</v>
      </c>
      <c r="S281" s="666" t="s">
        <v>2240</v>
      </c>
      <c r="T281" s="717">
        <v>0</v>
      </c>
      <c r="U281" s="717">
        <v>22086</v>
      </c>
      <c r="V281" s="717">
        <v>0</v>
      </c>
      <c r="W281" s="717">
        <v>0</v>
      </c>
      <c r="X281" s="717">
        <v>0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3">
        <v>22086</v>
      </c>
    </row>
    <row r="282" spans="1:33" x14ac:dyDescent="0.2">
      <c r="A282" s="666" t="s">
        <v>2169</v>
      </c>
      <c r="B282" s="666" t="s">
        <v>35</v>
      </c>
      <c r="C282" s="666"/>
      <c r="D282" s="666"/>
      <c r="E282" s="715">
        <v>0</v>
      </c>
      <c r="F282" s="715">
        <v>0</v>
      </c>
      <c r="G282" s="715">
        <v>0</v>
      </c>
      <c r="H282" s="715">
        <v>0</v>
      </c>
      <c r="I282" s="715">
        <v>0</v>
      </c>
      <c r="J282" s="715">
        <v>0</v>
      </c>
      <c r="K282" s="715">
        <v>0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0</v>
      </c>
      <c r="S282" s="666" t="s">
        <v>2170</v>
      </c>
      <c r="T282" s="717">
        <v>25601</v>
      </c>
      <c r="U282" s="717">
        <v>0</v>
      </c>
      <c r="V282" s="717">
        <v>0</v>
      </c>
      <c r="W282" s="717">
        <v>0</v>
      </c>
      <c r="X282" s="717">
        <v>0</v>
      </c>
      <c r="Y282" s="717">
        <v>0</v>
      </c>
      <c r="Z282" s="717">
        <v>13055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3">
        <v>12546</v>
      </c>
    </row>
    <row r="283" spans="1:33" x14ac:dyDescent="0.2">
      <c r="A283" s="666" t="s">
        <v>2001</v>
      </c>
      <c r="B283" s="666" t="s">
        <v>35</v>
      </c>
      <c r="C283" s="666"/>
      <c r="D283" s="666"/>
      <c r="E283" s="715">
        <v>19</v>
      </c>
      <c r="F283" s="715">
        <v>0</v>
      </c>
      <c r="G283" s="715">
        <v>0</v>
      </c>
      <c r="H283" s="715">
        <v>0</v>
      </c>
      <c r="I283" s="715">
        <v>0</v>
      </c>
      <c r="J283" s="715">
        <v>0</v>
      </c>
      <c r="K283" s="715">
        <v>11</v>
      </c>
      <c r="L283" s="715">
        <v>0</v>
      </c>
      <c r="M283" s="715">
        <v>0</v>
      </c>
      <c r="N283" s="715">
        <v>0</v>
      </c>
      <c r="O283" s="715">
        <v>0</v>
      </c>
      <c r="P283" s="715">
        <v>0</v>
      </c>
      <c r="Q283" s="715">
        <v>0</v>
      </c>
      <c r="R283" s="716">
        <v>8</v>
      </c>
      <c r="S283" s="666" t="s">
        <v>1655</v>
      </c>
      <c r="T283" s="717">
        <v>26783</v>
      </c>
      <c r="U283" s="717">
        <v>0</v>
      </c>
      <c r="V283" s="717">
        <v>0</v>
      </c>
      <c r="W283" s="717">
        <v>0</v>
      </c>
      <c r="X283" s="717">
        <v>0</v>
      </c>
      <c r="Y283" s="717">
        <v>0</v>
      </c>
      <c r="Z283" s="717">
        <v>3983</v>
      </c>
      <c r="AA283" s="717">
        <v>0</v>
      </c>
      <c r="AB283" s="717">
        <v>0</v>
      </c>
      <c r="AC283" s="717">
        <v>0</v>
      </c>
      <c r="AD283" s="717">
        <v>0</v>
      </c>
      <c r="AE283" s="717">
        <v>0</v>
      </c>
      <c r="AF283" s="717">
        <v>0</v>
      </c>
      <c r="AG283" s="1993">
        <v>22800</v>
      </c>
    </row>
    <row r="284" spans="1:33" x14ac:dyDescent="0.2">
      <c r="A284" s="666" t="s">
        <v>2002</v>
      </c>
      <c r="B284" s="716">
        <v>19</v>
      </c>
      <c r="C284" s="716">
        <v>18</v>
      </c>
      <c r="D284" s="716">
        <v>0</v>
      </c>
      <c r="E284" s="717">
        <v>0</v>
      </c>
      <c r="F284" s="716">
        <v>0</v>
      </c>
      <c r="G284" s="716">
        <v>0</v>
      </c>
      <c r="H284" s="716">
        <v>11</v>
      </c>
      <c r="I284" s="716">
        <v>0</v>
      </c>
      <c r="J284" s="715">
        <v>0</v>
      </c>
      <c r="K284" s="715">
        <v>0</v>
      </c>
      <c r="L284" s="716">
        <v>0</v>
      </c>
      <c r="M284" s="715">
        <v>0</v>
      </c>
      <c r="N284" s="715">
        <v>0</v>
      </c>
      <c r="O284" s="716">
        <v>26</v>
      </c>
      <c r="P284" s="666" t="s">
        <v>820</v>
      </c>
      <c r="Q284" s="717">
        <v>52384</v>
      </c>
      <c r="R284" s="717">
        <v>22086</v>
      </c>
      <c r="S284" s="717">
        <v>0</v>
      </c>
      <c r="T284" s="717">
        <v>0</v>
      </c>
      <c r="U284" s="717">
        <v>0</v>
      </c>
      <c r="V284" s="717">
        <v>0</v>
      </c>
      <c r="W284" s="717">
        <v>17038</v>
      </c>
      <c r="X284" s="717">
        <v>0</v>
      </c>
      <c r="Y284" s="717">
        <v>0</v>
      </c>
      <c r="Z284" s="717">
        <v>0</v>
      </c>
      <c r="AA284" s="717">
        <v>0</v>
      </c>
      <c r="AB284" s="717">
        <v>0</v>
      </c>
      <c r="AC284" s="717">
        <v>0</v>
      </c>
      <c r="AD284" s="717">
        <v>57432</v>
      </c>
      <c r="AE284" s="666"/>
      <c r="AF284" s="666"/>
      <c r="AG284" s="666"/>
    </row>
    <row r="285" spans="1:33" x14ac:dyDescent="0.2">
      <c r="A285" s="666" t="s">
        <v>2125</v>
      </c>
      <c r="B285" s="666" t="s">
        <v>35</v>
      </c>
      <c r="C285" s="666"/>
      <c r="D285" s="666"/>
      <c r="E285" s="715">
        <v>5352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3688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1664</v>
      </c>
      <c r="S285" s="666" t="s">
        <v>2126</v>
      </c>
      <c r="T285" s="717">
        <v>133800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67147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3">
        <v>66653</v>
      </c>
    </row>
    <row r="286" spans="1:33" ht="12.75" customHeight="1" x14ac:dyDescent="0.2">
      <c r="A286" s="666" t="s">
        <v>2214</v>
      </c>
      <c r="B286" s="666" t="s">
        <v>35</v>
      </c>
      <c r="C286" s="666"/>
      <c r="D286" s="666"/>
      <c r="E286" s="715">
        <v>2070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2070</v>
      </c>
      <c r="S286" s="666" t="s">
        <v>1699</v>
      </c>
      <c r="T286" s="717">
        <v>51750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0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3">
        <v>51750</v>
      </c>
    </row>
    <row r="287" spans="1:33" ht="12.75" customHeight="1" x14ac:dyDescent="0.2">
      <c r="A287" s="666" t="s">
        <v>2003</v>
      </c>
      <c r="B287" s="666" t="s">
        <v>35</v>
      </c>
      <c r="C287" s="666"/>
      <c r="D287" s="666"/>
      <c r="E287" s="715">
        <v>2701</v>
      </c>
      <c r="F287" s="715">
        <v>0</v>
      </c>
      <c r="G287" s="715">
        <v>0</v>
      </c>
      <c r="H287" s="715">
        <v>0</v>
      </c>
      <c r="I287" s="715">
        <v>0</v>
      </c>
      <c r="J287" s="715">
        <v>0</v>
      </c>
      <c r="K287" s="715">
        <v>701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2000</v>
      </c>
      <c r="S287" s="666" t="s">
        <v>1589</v>
      </c>
      <c r="T287" s="717">
        <v>74036</v>
      </c>
      <c r="U287" s="717">
        <v>0</v>
      </c>
      <c r="V287" s="717">
        <v>0</v>
      </c>
      <c r="W287" s="717">
        <v>0</v>
      </c>
      <c r="X287" s="717">
        <v>0</v>
      </c>
      <c r="Y287" s="717">
        <v>0</v>
      </c>
      <c r="Z287" s="717">
        <v>18111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3">
        <v>55925</v>
      </c>
    </row>
    <row r="288" spans="1:33" ht="12.75" customHeight="1" x14ac:dyDescent="0.2">
      <c r="A288" s="666" t="s">
        <v>2241</v>
      </c>
      <c r="B288" s="666" t="s">
        <v>35</v>
      </c>
      <c r="C288" s="666"/>
      <c r="D288" s="666"/>
      <c r="E288" s="715">
        <v>0</v>
      </c>
      <c r="F288" s="715">
        <v>5994</v>
      </c>
      <c r="G288" s="715">
        <v>0</v>
      </c>
      <c r="H288" s="715">
        <v>0</v>
      </c>
      <c r="I288" s="715">
        <v>0</v>
      </c>
      <c r="J288" s="715">
        <v>0</v>
      </c>
      <c r="K288" s="715">
        <v>0</v>
      </c>
      <c r="L288" s="715">
        <v>0</v>
      </c>
      <c r="M288" s="715">
        <v>0</v>
      </c>
      <c r="N288" s="715">
        <v>0</v>
      </c>
      <c r="O288" s="715">
        <v>0</v>
      </c>
      <c r="P288" s="715">
        <v>0</v>
      </c>
      <c r="Q288" s="715">
        <v>0</v>
      </c>
      <c r="R288" s="716">
        <v>5994</v>
      </c>
      <c r="S288" s="666" t="s">
        <v>1784</v>
      </c>
      <c r="T288" s="717">
        <v>0</v>
      </c>
      <c r="U288" s="717">
        <v>149850</v>
      </c>
      <c r="V288" s="717">
        <v>0</v>
      </c>
      <c r="W288" s="717">
        <v>0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0</v>
      </c>
      <c r="AE288" s="717">
        <v>0</v>
      </c>
      <c r="AF288" s="717">
        <v>0</v>
      </c>
      <c r="AG288" s="1993">
        <v>149850</v>
      </c>
    </row>
    <row r="289" spans="1:35" x14ac:dyDescent="0.2">
      <c r="A289" s="666" t="s">
        <v>2004</v>
      </c>
      <c r="B289" s="666" t="s">
        <v>35</v>
      </c>
      <c r="C289" s="666"/>
      <c r="D289" s="666"/>
      <c r="E289" s="715">
        <v>7368</v>
      </c>
      <c r="F289" s="715">
        <v>5000</v>
      </c>
      <c r="G289" s="715">
        <v>0</v>
      </c>
      <c r="H289" s="715">
        <v>0</v>
      </c>
      <c r="I289" s="715">
        <v>0</v>
      </c>
      <c r="J289" s="715">
        <v>0</v>
      </c>
      <c r="K289" s="715">
        <v>1484</v>
      </c>
      <c r="L289" s="715">
        <v>0</v>
      </c>
      <c r="M289" s="715">
        <v>0</v>
      </c>
      <c r="N289" s="715">
        <v>0</v>
      </c>
      <c r="O289" s="715">
        <v>0</v>
      </c>
      <c r="P289" s="715">
        <v>0</v>
      </c>
      <c r="Q289" s="715">
        <v>0</v>
      </c>
      <c r="R289" s="716">
        <v>10884</v>
      </c>
      <c r="S289" s="666" t="s">
        <v>39</v>
      </c>
      <c r="T289" s="717">
        <v>225993</v>
      </c>
      <c r="U289" s="717">
        <v>125000</v>
      </c>
      <c r="V289" s="717">
        <v>0</v>
      </c>
      <c r="W289" s="717">
        <v>0</v>
      </c>
      <c r="X289" s="717">
        <v>0</v>
      </c>
      <c r="Y289" s="717">
        <v>0</v>
      </c>
      <c r="Z289" s="717">
        <v>50621</v>
      </c>
      <c r="AA289" s="717">
        <v>0</v>
      </c>
      <c r="AB289" s="717">
        <v>0</v>
      </c>
      <c r="AC289" s="717">
        <v>0</v>
      </c>
      <c r="AD289" s="717">
        <v>0</v>
      </c>
      <c r="AE289" s="717">
        <v>0</v>
      </c>
      <c r="AF289" s="717">
        <v>0</v>
      </c>
      <c r="AG289" s="1993">
        <v>300372</v>
      </c>
    </row>
    <row r="290" spans="1:35" x14ac:dyDescent="0.2">
      <c r="A290" s="666" t="s">
        <v>2005</v>
      </c>
      <c r="B290" s="716">
        <v>17491</v>
      </c>
      <c r="C290" s="716">
        <v>10994</v>
      </c>
      <c r="D290" s="716">
        <v>0</v>
      </c>
      <c r="E290" s="717">
        <v>0</v>
      </c>
      <c r="F290" s="716">
        <v>0</v>
      </c>
      <c r="G290" s="716">
        <v>0</v>
      </c>
      <c r="H290" s="716">
        <v>5873</v>
      </c>
      <c r="I290" s="716">
        <v>0</v>
      </c>
      <c r="J290" s="715">
        <v>0</v>
      </c>
      <c r="K290" s="715">
        <v>0</v>
      </c>
      <c r="L290" s="716">
        <v>0</v>
      </c>
      <c r="M290" s="715">
        <v>0</v>
      </c>
      <c r="N290" s="715">
        <v>0</v>
      </c>
      <c r="O290" s="716">
        <v>22612</v>
      </c>
      <c r="P290" s="666" t="s">
        <v>826</v>
      </c>
      <c r="Q290" s="717">
        <v>485579</v>
      </c>
      <c r="R290" s="717">
        <v>274850</v>
      </c>
      <c r="S290" s="717">
        <v>0</v>
      </c>
      <c r="T290" s="717">
        <v>0</v>
      </c>
      <c r="U290" s="717">
        <v>0</v>
      </c>
      <c r="V290" s="717">
        <v>0</v>
      </c>
      <c r="W290" s="717">
        <v>135879</v>
      </c>
      <c r="X290" s="717">
        <v>0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624550</v>
      </c>
      <c r="AE290" s="666"/>
      <c r="AF290" s="666"/>
      <c r="AG290" s="666"/>
    </row>
    <row r="291" spans="1:35" x14ac:dyDescent="0.2">
      <c r="A291" s="666" t="s">
        <v>2006</v>
      </c>
      <c r="B291" s="666" t="s">
        <v>35</v>
      </c>
      <c r="C291" s="666"/>
      <c r="D291" s="666"/>
      <c r="E291" s="715">
        <v>0</v>
      </c>
      <c r="F291" s="715">
        <v>60</v>
      </c>
      <c r="G291" s="715">
        <v>0</v>
      </c>
      <c r="H291" s="715">
        <v>0</v>
      </c>
      <c r="I291" s="715">
        <v>0</v>
      </c>
      <c r="J291" s="715">
        <v>0</v>
      </c>
      <c r="K291" s="715">
        <v>0</v>
      </c>
      <c r="L291" s="715">
        <v>0</v>
      </c>
      <c r="M291" s="715">
        <v>0</v>
      </c>
      <c r="N291" s="715">
        <v>0</v>
      </c>
      <c r="O291" s="715">
        <v>20</v>
      </c>
      <c r="P291" s="715">
        <v>0</v>
      </c>
      <c r="Q291" s="715">
        <v>0</v>
      </c>
      <c r="R291" s="716">
        <v>40</v>
      </c>
      <c r="S291" s="666" t="s">
        <v>2007</v>
      </c>
      <c r="T291" s="717">
        <v>0</v>
      </c>
      <c r="U291" s="717">
        <v>92400</v>
      </c>
      <c r="V291" s="717">
        <v>0</v>
      </c>
      <c r="W291" s="717">
        <v>0</v>
      </c>
      <c r="X291" s="717">
        <v>0</v>
      </c>
      <c r="Y291" s="717">
        <v>0</v>
      </c>
      <c r="Z291" s="717">
        <v>0</v>
      </c>
      <c r="AA291" s="717">
        <v>0</v>
      </c>
      <c r="AB291" s="717">
        <v>0</v>
      </c>
      <c r="AC291" s="717">
        <v>0</v>
      </c>
      <c r="AD291" s="717">
        <v>32400</v>
      </c>
      <c r="AE291" s="717">
        <v>0</v>
      </c>
      <c r="AF291" s="717">
        <v>0</v>
      </c>
      <c r="AG291" s="1993">
        <v>60000</v>
      </c>
      <c r="AI291" s="544"/>
    </row>
    <row r="292" spans="1:35" x14ac:dyDescent="0.2">
      <c r="A292" s="666" t="s">
        <v>2008</v>
      </c>
      <c r="B292" s="666" t="s">
        <v>35</v>
      </c>
      <c r="C292" s="666"/>
      <c r="D292" s="666"/>
      <c r="E292" s="715">
        <v>47</v>
      </c>
      <c r="F292" s="715">
        <v>0</v>
      </c>
      <c r="G292" s="715">
        <v>0</v>
      </c>
      <c r="H292" s="715">
        <v>0</v>
      </c>
      <c r="I292" s="715">
        <v>20</v>
      </c>
      <c r="J292" s="715">
        <v>0</v>
      </c>
      <c r="K292" s="715">
        <v>47</v>
      </c>
      <c r="L292" s="715">
        <v>0</v>
      </c>
      <c r="M292" s="715">
        <v>0</v>
      </c>
      <c r="N292" s="715">
        <v>0</v>
      </c>
      <c r="O292" s="715">
        <v>0</v>
      </c>
      <c r="P292" s="715">
        <v>0</v>
      </c>
      <c r="Q292" s="715">
        <v>0</v>
      </c>
      <c r="R292" s="716">
        <v>20</v>
      </c>
      <c r="S292" s="666" t="s">
        <v>1590</v>
      </c>
      <c r="T292" s="717">
        <v>81724</v>
      </c>
      <c r="U292" s="717">
        <v>0</v>
      </c>
      <c r="V292" s="717">
        <v>0</v>
      </c>
      <c r="W292" s="717">
        <v>0</v>
      </c>
      <c r="X292" s="717">
        <v>32400</v>
      </c>
      <c r="Y292" s="717">
        <v>0</v>
      </c>
      <c r="Z292" s="717">
        <v>74174</v>
      </c>
      <c r="AA292" s="717">
        <v>0</v>
      </c>
      <c r="AB292" s="717">
        <v>0</v>
      </c>
      <c r="AC292" s="717">
        <v>0</v>
      </c>
      <c r="AD292" s="717">
        <v>0</v>
      </c>
      <c r="AE292" s="717">
        <v>0</v>
      </c>
      <c r="AF292" s="717">
        <v>0</v>
      </c>
      <c r="AG292" s="1993">
        <v>39950</v>
      </c>
    </row>
    <row r="293" spans="1:35" ht="12.75" customHeight="1" x14ac:dyDescent="0.2">
      <c r="A293" s="666" t="s">
        <v>2009</v>
      </c>
      <c r="B293" s="716">
        <v>47</v>
      </c>
      <c r="C293" s="716">
        <v>60</v>
      </c>
      <c r="D293" s="716">
        <v>0</v>
      </c>
      <c r="E293" s="717">
        <v>0</v>
      </c>
      <c r="F293" s="716">
        <v>20</v>
      </c>
      <c r="G293" s="716">
        <v>0</v>
      </c>
      <c r="H293" s="716">
        <v>47</v>
      </c>
      <c r="I293" s="716">
        <v>0</v>
      </c>
      <c r="J293" s="715">
        <v>0</v>
      </c>
      <c r="K293" s="715">
        <v>0</v>
      </c>
      <c r="L293" s="716">
        <v>20</v>
      </c>
      <c r="M293" s="715">
        <v>0</v>
      </c>
      <c r="N293" s="715">
        <v>0</v>
      </c>
      <c r="O293" s="716">
        <v>60</v>
      </c>
      <c r="P293" s="666" t="s">
        <v>1202</v>
      </c>
      <c r="Q293" s="717">
        <v>81724</v>
      </c>
      <c r="R293" s="717">
        <v>92400</v>
      </c>
      <c r="S293" s="717">
        <v>0</v>
      </c>
      <c r="T293" s="717">
        <v>0</v>
      </c>
      <c r="U293" s="717">
        <v>32400</v>
      </c>
      <c r="V293" s="717">
        <v>0</v>
      </c>
      <c r="W293" s="717">
        <v>74174</v>
      </c>
      <c r="X293" s="717">
        <v>0</v>
      </c>
      <c r="Y293" s="717">
        <v>0</v>
      </c>
      <c r="Z293" s="717">
        <v>0</v>
      </c>
      <c r="AA293" s="717">
        <v>32400</v>
      </c>
      <c r="AB293" s="717">
        <v>0</v>
      </c>
      <c r="AC293" s="717">
        <v>0</v>
      </c>
      <c r="AD293" s="717">
        <v>99950</v>
      </c>
      <c r="AE293" s="666"/>
      <c r="AF293" s="666"/>
      <c r="AG293" s="666"/>
    </row>
    <row r="294" spans="1:35" x14ac:dyDescent="0.2">
      <c r="A294" s="715">
        <v>30257</v>
      </c>
      <c r="B294" s="715">
        <v>14772</v>
      </c>
      <c r="C294" s="715">
        <v>75</v>
      </c>
      <c r="D294" s="715">
        <v>0</v>
      </c>
      <c r="E294" s="715">
        <v>20</v>
      </c>
      <c r="F294" s="715">
        <v>0</v>
      </c>
      <c r="G294" s="715">
        <v>9701</v>
      </c>
      <c r="H294" s="715">
        <v>0</v>
      </c>
      <c r="I294" s="715">
        <v>0</v>
      </c>
      <c r="J294" s="715">
        <v>0</v>
      </c>
      <c r="K294" s="715">
        <v>20</v>
      </c>
      <c r="L294" s="715">
        <v>0</v>
      </c>
      <c r="M294" s="715">
        <v>0</v>
      </c>
      <c r="N294" s="716">
        <v>35403</v>
      </c>
      <c r="O294" s="666" t="s">
        <v>1923</v>
      </c>
      <c r="P294" s="717">
        <v>40091773</v>
      </c>
      <c r="Q294" s="717">
        <v>6184594</v>
      </c>
      <c r="R294" s="717">
        <v>6717920</v>
      </c>
      <c r="S294" s="717">
        <v>0</v>
      </c>
      <c r="T294" s="717">
        <v>741171</v>
      </c>
      <c r="U294" s="717">
        <v>0</v>
      </c>
      <c r="V294" s="717">
        <v>12156340</v>
      </c>
      <c r="W294" s="717">
        <v>0</v>
      </c>
      <c r="X294" s="717">
        <v>0</v>
      </c>
      <c r="Y294" s="717">
        <v>0</v>
      </c>
      <c r="Z294" s="717">
        <v>741171</v>
      </c>
      <c r="AA294" s="717">
        <v>0</v>
      </c>
      <c r="AB294" s="717">
        <v>0</v>
      </c>
      <c r="AC294" s="717">
        <v>40837947</v>
      </c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0"/>
  <sheetViews>
    <sheetView topLeftCell="A415" zoomScale="98" zoomScaleNormal="98" workbookViewId="0">
      <selection activeCell="L431" sqref="L431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1594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1446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1446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1692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1594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9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1446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1382</v>
      </c>
      <c r="C326" s="1067" t="s">
        <v>811</v>
      </c>
    </row>
    <row r="327" spans="2:3" x14ac:dyDescent="0.2">
      <c r="B327" s="667" t="s">
        <v>1381</v>
      </c>
      <c r="C327" s="1067" t="s">
        <v>1282</v>
      </c>
    </row>
    <row r="328" spans="2:3" x14ac:dyDescent="0.2">
      <c r="B328" s="667" t="s">
        <v>1388</v>
      </c>
      <c r="C328" s="1067" t="s">
        <v>1370</v>
      </c>
    </row>
    <row r="329" spans="2:3" x14ac:dyDescent="0.2">
      <c r="B329" s="667" t="s">
        <v>1389</v>
      </c>
      <c r="C329" s="1067" t="s">
        <v>234</v>
      </c>
    </row>
    <row r="330" spans="2:3" x14ac:dyDescent="0.2">
      <c r="B330" s="667" t="s">
        <v>1390</v>
      </c>
      <c r="C330" s="1067" t="s">
        <v>823</v>
      </c>
    </row>
    <row r="331" spans="2:3" x14ac:dyDescent="0.2">
      <c r="B331" s="667" t="s">
        <v>1399</v>
      </c>
      <c r="C331" s="666" t="s">
        <v>1395</v>
      </c>
    </row>
    <row r="332" spans="2:3" x14ac:dyDescent="0.2">
      <c r="B332" s="667" t="s">
        <v>1402</v>
      </c>
      <c r="C332" s="666" t="s">
        <v>1403</v>
      </c>
    </row>
    <row r="333" spans="2:3" x14ac:dyDescent="0.2">
      <c r="B333" s="1204" t="s">
        <v>1013</v>
      </c>
      <c r="C333" s="666" t="s">
        <v>1446</v>
      </c>
    </row>
    <row r="334" spans="2:3" x14ac:dyDescent="0.2">
      <c r="B334" s="667" t="s">
        <v>1408</v>
      </c>
      <c r="C334" s="666" t="s">
        <v>1404</v>
      </c>
    </row>
    <row r="335" spans="2:3" x14ac:dyDescent="0.2">
      <c r="B335" s="1204" t="s">
        <v>1415</v>
      </c>
      <c r="C335" s="1067" t="s">
        <v>804</v>
      </c>
    </row>
    <row r="336" spans="2:3" x14ac:dyDescent="0.2">
      <c r="B336" s="1204" t="s">
        <v>1417</v>
      </c>
      <c r="C336" s="1067" t="s">
        <v>804</v>
      </c>
    </row>
    <row r="337" spans="2:3" ht="15.75" x14ac:dyDescent="0.25">
      <c r="B337" s="667" t="s">
        <v>1428</v>
      </c>
      <c r="C337" s="795" t="s">
        <v>805</v>
      </c>
    </row>
    <row r="338" spans="2:3" x14ac:dyDescent="0.2">
      <c r="B338" s="667" t="s">
        <v>1434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1435</v>
      </c>
      <c r="C340" s="814" t="s">
        <v>1430</v>
      </c>
    </row>
    <row r="341" spans="2:3" ht="15.75" x14ac:dyDescent="0.25">
      <c r="B341" s="1204" t="s">
        <v>1443</v>
      </c>
      <c r="C341" s="795" t="s">
        <v>1440</v>
      </c>
    </row>
    <row r="342" spans="2:3" x14ac:dyDescent="0.2">
      <c r="B342" s="1204" t="s">
        <v>1444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1446</v>
      </c>
    </row>
    <row r="345" spans="2:3" x14ac:dyDescent="0.2">
      <c r="B345" s="1204" t="s">
        <v>1491</v>
      </c>
      <c r="C345" s="1204" t="s">
        <v>673</v>
      </c>
    </row>
    <row r="346" spans="2:3" x14ac:dyDescent="0.2">
      <c r="B346" s="1204" t="s">
        <v>1490</v>
      </c>
      <c r="C346" s="1222" t="s">
        <v>1172</v>
      </c>
    </row>
    <row r="347" spans="2:3" x14ac:dyDescent="0.2">
      <c r="B347" s="667" t="s">
        <v>1493</v>
      </c>
      <c r="C347" s="1067" t="s">
        <v>814</v>
      </c>
    </row>
    <row r="348" spans="2:3" x14ac:dyDescent="0.2">
      <c r="B348" s="1204" t="s">
        <v>1499</v>
      </c>
      <c r="C348" s="1067" t="s">
        <v>1198</v>
      </c>
    </row>
    <row r="349" spans="2:3" x14ac:dyDescent="0.2">
      <c r="B349" s="1722" t="s">
        <v>1498</v>
      </c>
      <c r="C349" s="666" t="s">
        <v>1500</v>
      </c>
    </row>
    <row r="350" spans="2:3" x14ac:dyDescent="0.2">
      <c r="B350" s="1204" t="s">
        <v>1501</v>
      </c>
      <c r="C350" s="1067" t="s">
        <v>809</v>
      </c>
    </row>
    <row r="351" spans="2:3" x14ac:dyDescent="0.2">
      <c r="B351" s="667" t="s">
        <v>1516</v>
      </c>
      <c r="C351" s="1067" t="s">
        <v>1517</v>
      </c>
    </row>
    <row r="352" spans="2:3" x14ac:dyDescent="0.2">
      <c r="B352" s="667" t="s">
        <v>1524</v>
      </c>
      <c r="C352" s="1067" t="s">
        <v>1522</v>
      </c>
    </row>
    <row r="353" spans="2:3" x14ac:dyDescent="0.2">
      <c r="B353" s="667" t="s">
        <v>1525</v>
      </c>
      <c r="C353" s="1067" t="s">
        <v>1508</v>
      </c>
    </row>
    <row r="354" spans="2:3" x14ac:dyDescent="0.2">
      <c r="B354" s="667" t="s">
        <v>1526</v>
      </c>
      <c r="C354" s="1067" t="s">
        <v>1507</v>
      </c>
    </row>
    <row r="355" spans="2:3" x14ac:dyDescent="0.2">
      <c r="B355" s="667" t="s">
        <v>1530</v>
      </c>
      <c r="C355" s="1067" t="s">
        <v>809</v>
      </c>
    </row>
    <row r="356" spans="2:3" x14ac:dyDescent="0.2">
      <c r="B356" s="667" t="s">
        <v>1531</v>
      </c>
      <c r="C356" s="1067" t="s">
        <v>1513</v>
      </c>
    </row>
    <row r="357" spans="2:3" x14ac:dyDescent="0.2">
      <c r="B357" s="667" t="s">
        <v>1532</v>
      </c>
      <c r="C357" s="666" t="s">
        <v>1536</v>
      </c>
    </row>
    <row r="358" spans="2:3" x14ac:dyDescent="0.2">
      <c r="B358" s="667" t="s">
        <v>1538</v>
      </c>
      <c r="C358" s="1067" t="s">
        <v>1517</v>
      </c>
    </row>
    <row r="359" spans="2:3" x14ac:dyDescent="0.2">
      <c r="B359" s="667" t="s">
        <v>1540</v>
      </c>
      <c r="C359" s="666" t="s">
        <v>1404</v>
      </c>
    </row>
    <row r="360" spans="2:3" x14ac:dyDescent="0.2">
      <c r="B360" s="667" t="s">
        <v>1547</v>
      </c>
      <c r="C360" s="1067" t="s">
        <v>810</v>
      </c>
    </row>
    <row r="361" spans="2:3" x14ac:dyDescent="0.2">
      <c r="B361" s="667" t="s">
        <v>1548</v>
      </c>
      <c r="C361" s="1067" t="s">
        <v>810</v>
      </c>
    </row>
    <row r="362" spans="2:3" x14ac:dyDescent="0.2">
      <c r="B362" s="667" t="s">
        <v>1553</v>
      </c>
      <c r="C362" s="1067" t="s">
        <v>807</v>
      </c>
    </row>
    <row r="363" spans="2:3" x14ac:dyDescent="0.2">
      <c r="B363" s="667" t="s">
        <v>1554</v>
      </c>
      <c r="C363" s="1067" t="s">
        <v>262</v>
      </c>
    </row>
    <row r="364" spans="2:3" x14ac:dyDescent="0.2">
      <c r="B364" s="1788" t="s">
        <v>1220</v>
      </c>
      <c r="C364" s="1070" t="s">
        <v>841</v>
      </c>
    </row>
    <row r="365" spans="2:3" x14ac:dyDescent="0.2">
      <c r="B365" s="667" t="s">
        <v>1566</v>
      </c>
      <c r="C365" s="1070" t="s">
        <v>841</v>
      </c>
    </row>
    <row r="366" spans="2:3" x14ac:dyDescent="0.2">
      <c r="B366" s="667" t="s">
        <v>1567</v>
      </c>
      <c r="C366" s="1070" t="s">
        <v>841</v>
      </c>
    </row>
    <row r="367" spans="2:3" ht="15.75" x14ac:dyDescent="0.25">
      <c r="B367" s="1204" t="s">
        <v>1570</v>
      </c>
      <c r="C367" s="795" t="s">
        <v>1563</v>
      </c>
    </row>
    <row r="368" spans="2:3" ht="15.75" x14ac:dyDescent="0.25">
      <c r="B368" s="1204" t="s">
        <v>1569</v>
      </c>
      <c r="C368" s="795" t="s">
        <v>1563</v>
      </c>
    </row>
    <row r="369" spans="2:3" x14ac:dyDescent="0.2">
      <c r="B369" s="1067" t="s">
        <v>1571</v>
      </c>
      <c r="C369" s="1067" t="s">
        <v>545</v>
      </c>
    </row>
    <row r="370" spans="2:3" x14ac:dyDescent="0.2">
      <c r="B370" s="667" t="s">
        <v>1572</v>
      </c>
      <c r="C370" s="1067" t="s">
        <v>808</v>
      </c>
    </row>
    <row r="371" spans="2:3" x14ac:dyDescent="0.2">
      <c r="B371" s="667" t="s">
        <v>1597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1578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1617</v>
      </c>
      <c r="C375" s="666" t="s">
        <v>1596</v>
      </c>
    </row>
    <row r="376" spans="2:3" ht="15.75" x14ac:dyDescent="0.25">
      <c r="B376" s="667" t="s">
        <v>1618</v>
      </c>
      <c r="C376" s="809" t="s">
        <v>1601</v>
      </c>
    </row>
    <row r="377" spans="2:3" x14ac:dyDescent="0.2">
      <c r="B377" s="667" t="s">
        <v>1619</v>
      </c>
      <c r="C377" s="1067" t="s">
        <v>1522</v>
      </c>
    </row>
    <row r="378" spans="2:3" x14ac:dyDescent="0.2">
      <c r="B378" s="667" t="s">
        <v>1620</v>
      </c>
      <c r="C378" s="1067" t="s">
        <v>545</v>
      </c>
    </row>
    <row r="379" spans="2:3" x14ac:dyDescent="0.2">
      <c r="B379" s="1204" t="s">
        <v>1622</v>
      </c>
      <c r="C379" s="1067" t="s">
        <v>807</v>
      </c>
    </row>
    <row r="380" spans="2:3" x14ac:dyDescent="0.2">
      <c r="B380" s="1204" t="s">
        <v>1631</v>
      </c>
      <c r="C380" s="1067" t="s">
        <v>808</v>
      </c>
    </row>
    <row r="381" spans="2:3" ht="15.75" x14ac:dyDescent="0.25">
      <c r="B381" s="1204" t="s">
        <v>1632</v>
      </c>
      <c r="C381" s="809" t="s">
        <v>1192</v>
      </c>
    </row>
    <row r="382" spans="2:3" x14ac:dyDescent="0.2">
      <c r="B382" s="667" t="s">
        <v>1664</v>
      </c>
      <c r="C382" s="666" t="s">
        <v>1656</v>
      </c>
    </row>
    <row r="383" spans="2:3" ht="15.75" x14ac:dyDescent="0.25">
      <c r="B383" s="667" t="s">
        <v>1673</v>
      </c>
      <c r="C383" s="809" t="s">
        <v>1661</v>
      </c>
    </row>
    <row r="384" spans="2:3" x14ac:dyDescent="0.2">
      <c r="B384" s="667" t="s">
        <v>1674</v>
      </c>
      <c r="C384" s="666" t="s">
        <v>1669</v>
      </c>
    </row>
    <row r="385" spans="2:3" x14ac:dyDescent="0.2">
      <c r="B385" s="667" t="s">
        <v>1675</v>
      </c>
      <c r="C385" s="1067" t="s">
        <v>1346</v>
      </c>
    </row>
    <row r="386" spans="2:3" ht="15.75" x14ac:dyDescent="0.25">
      <c r="B386" s="667" t="s">
        <v>1678</v>
      </c>
      <c r="C386" s="795" t="s">
        <v>805</v>
      </c>
    </row>
    <row r="387" spans="2:3" x14ac:dyDescent="0.2">
      <c r="B387" s="667" t="s">
        <v>1679</v>
      </c>
      <c r="C387" s="666" t="s">
        <v>1683</v>
      </c>
    </row>
    <row r="388" spans="2:3" ht="15.75" x14ac:dyDescent="0.25">
      <c r="B388" s="667" t="s">
        <v>1682</v>
      </c>
      <c r="C388" s="784" t="s">
        <v>1676</v>
      </c>
    </row>
    <row r="389" spans="2:3" ht="15.75" x14ac:dyDescent="0.2">
      <c r="B389" s="667" t="s">
        <v>1684</v>
      </c>
      <c r="C389" s="814" t="s">
        <v>659</v>
      </c>
    </row>
    <row r="390" spans="2:3" ht="15.75" x14ac:dyDescent="0.25">
      <c r="B390" s="667" t="s">
        <v>1691</v>
      </c>
      <c r="C390" s="809" t="s">
        <v>1685</v>
      </c>
    </row>
    <row r="391" spans="2:3" x14ac:dyDescent="0.2">
      <c r="B391" s="667" t="s">
        <v>1695</v>
      </c>
      <c r="C391" s="666" t="s">
        <v>1654</v>
      </c>
    </row>
    <row r="392" spans="2:3" ht="15.75" x14ac:dyDescent="0.25">
      <c r="B392" s="667" t="s">
        <v>1697</v>
      </c>
      <c r="C392" s="795" t="s">
        <v>813</v>
      </c>
    </row>
    <row r="393" spans="2:3" ht="15.75" x14ac:dyDescent="0.25">
      <c r="B393" s="667" t="s">
        <v>1702</v>
      </c>
      <c r="C393" s="809" t="s">
        <v>1687</v>
      </c>
    </row>
    <row r="394" spans="2:3" x14ac:dyDescent="0.2">
      <c r="B394" s="667" t="s">
        <v>1701</v>
      </c>
      <c r="C394" s="1067" t="s">
        <v>804</v>
      </c>
    </row>
    <row r="395" spans="2:3" ht="15.75" x14ac:dyDescent="0.25">
      <c r="B395" s="667" t="s">
        <v>1711</v>
      </c>
      <c r="C395" s="809" t="s">
        <v>1707</v>
      </c>
    </row>
    <row r="396" spans="2:3" x14ac:dyDescent="0.2">
      <c r="B396" s="667" t="s">
        <v>1725</v>
      </c>
      <c r="C396" s="1067" t="s">
        <v>1716</v>
      </c>
    </row>
    <row r="397" spans="2:3" x14ac:dyDescent="0.2">
      <c r="B397" s="667" t="s">
        <v>1726</v>
      </c>
      <c r="C397" s="666" t="s">
        <v>1720</v>
      </c>
    </row>
    <row r="398" spans="2:3" ht="15.75" x14ac:dyDescent="0.25">
      <c r="B398" s="667" t="s">
        <v>1727</v>
      </c>
      <c r="C398" s="795" t="s">
        <v>323</v>
      </c>
    </row>
    <row r="399" spans="2:3" ht="15.75" x14ac:dyDescent="0.25">
      <c r="B399" s="667" t="s">
        <v>1741</v>
      </c>
      <c r="C399" s="809" t="s">
        <v>1707</v>
      </c>
    </row>
    <row r="400" spans="2:3" x14ac:dyDescent="0.2">
      <c r="B400" s="667" t="s">
        <v>1753</v>
      </c>
      <c r="C400" s="1067" t="s">
        <v>804</v>
      </c>
    </row>
    <row r="401" spans="2:3" ht="15.75" x14ac:dyDescent="0.25">
      <c r="B401" s="667" t="s">
        <v>1773</v>
      </c>
      <c r="C401" s="795" t="s">
        <v>846</v>
      </c>
    </row>
    <row r="402" spans="2:3" ht="15.75" x14ac:dyDescent="0.25">
      <c r="B402" s="667" t="s">
        <v>1772</v>
      </c>
      <c r="C402" s="809" t="s">
        <v>1639</v>
      </c>
    </row>
    <row r="403" spans="2:3" x14ac:dyDescent="0.2">
      <c r="B403" s="667" t="s">
        <v>1771</v>
      </c>
      <c r="C403" s="666" t="s">
        <v>1731</v>
      </c>
    </row>
    <row r="404" spans="2:3" ht="15.75" x14ac:dyDescent="0.25">
      <c r="B404" s="667" t="s">
        <v>1770</v>
      </c>
      <c r="C404" s="809" t="s">
        <v>1638</v>
      </c>
    </row>
    <row r="405" spans="2:3" x14ac:dyDescent="0.2">
      <c r="B405" s="667" t="s">
        <v>1769</v>
      </c>
      <c r="C405" s="666" t="s">
        <v>1739</v>
      </c>
    </row>
    <row r="406" spans="2:3" ht="15.75" x14ac:dyDescent="0.25">
      <c r="B406" s="667" t="s">
        <v>1768</v>
      </c>
      <c r="C406" s="809" t="s">
        <v>1643</v>
      </c>
    </row>
    <row r="407" spans="2:3" ht="15.75" x14ac:dyDescent="0.25">
      <c r="B407" s="667" t="s">
        <v>1767</v>
      </c>
      <c r="C407" s="809" t="s">
        <v>808</v>
      </c>
    </row>
    <row r="408" spans="2:3" ht="15.75" x14ac:dyDescent="0.25">
      <c r="B408" s="667" t="s">
        <v>1766</v>
      </c>
      <c r="C408" s="809" t="s">
        <v>1645</v>
      </c>
    </row>
    <row r="409" spans="2:3" ht="15.75" x14ac:dyDescent="0.25">
      <c r="B409" s="667" t="s">
        <v>1774</v>
      </c>
      <c r="C409" s="809" t="s">
        <v>1735</v>
      </c>
    </row>
    <row r="410" spans="2:3" x14ac:dyDescent="0.2">
      <c r="B410" s="667" t="s">
        <v>1780</v>
      </c>
      <c r="C410" s="666" t="s">
        <v>1791</v>
      </c>
    </row>
    <row r="411" spans="2:3" ht="15.75" x14ac:dyDescent="0.25">
      <c r="B411" s="667" t="s">
        <v>1779</v>
      </c>
      <c r="C411" s="795" t="s">
        <v>1244</v>
      </c>
    </row>
    <row r="412" spans="2:3" ht="15.75" x14ac:dyDescent="0.25">
      <c r="B412" s="667" t="s">
        <v>1781</v>
      </c>
      <c r="C412" s="809" t="s">
        <v>808</v>
      </c>
    </row>
    <row r="413" spans="2:3" ht="15.75" x14ac:dyDescent="0.25">
      <c r="B413" s="667" t="s">
        <v>1782</v>
      </c>
      <c r="C413" s="809" t="s">
        <v>1634</v>
      </c>
    </row>
    <row r="414" spans="2:3" ht="15.75" x14ac:dyDescent="0.25">
      <c r="B414" s="667" t="s">
        <v>1783</v>
      </c>
      <c r="C414" s="809" t="s">
        <v>1759</v>
      </c>
    </row>
    <row r="415" spans="2:3" ht="15.75" x14ac:dyDescent="0.25">
      <c r="B415" s="667" t="s">
        <v>1788</v>
      </c>
      <c r="C415" s="795" t="s">
        <v>1202</v>
      </c>
    </row>
    <row r="416" spans="2:3" x14ac:dyDescent="0.2">
      <c r="B416" s="667" t="s">
        <v>1789</v>
      </c>
      <c r="C416" s="666" t="s">
        <v>1742</v>
      </c>
    </row>
    <row r="417" spans="2:3" x14ac:dyDescent="0.2">
      <c r="B417" s="667" t="s">
        <v>1790</v>
      </c>
      <c r="C417" s="666" t="s">
        <v>1733</v>
      </c>
    </row>
    <row r="418" spans="2:3" x14ac:dyDescent="0.2">
      <c r="B418" s="667" t="s">
        <v>1813</v>
      </c>
      <c r="C418" s="1067" t="s">
        <v>804</v>
      </c>
    </row>
    <row r="419" spans="2:3" ht="15.75" x14ac:dyDescent="0.25">
      <c r="B419" s="667" t="s">
        <v>1821</v>
      </c>
      <c r="C419" s="795" t="s">
        <v>323</v>
      </c>
    </row>
    <row r="420" spans="2:3" ht="15.75" x14ac:dyDescent="0.2">
      <c r="B420" s="667" t="s">
        <v>1820</v>
      </c>
      <c r="C420" s="814" t="s">
        <v>1807</v>
      </c>
    </row>
    <row r="421" spans="2:3" ht="15.75" x14ac:dyDescent="0.2">
      <c r="B421" s="667" t="s">
        <v>1837</v>
      </c>
      <c r="C421" s="814" t="s">
        <v>1824</v>
      </c>
    </row>
    <row r="422" spans="2:3" x14ac:dyDescent="0.2">
      <c r="B422" s="667" t="s">
        <v>1876</v>
      </c>
      <c r="C422" s="1163" t="s">
        <v>1795</v>
      </c>
    </row>
    <row r="423" spans="2:3" x14ac:dyDescent="0.2">
      <c r="B423" s="667" t="s">
        <v>2100</v>
      </c>
      <c r="C423" s="1163" t="s">
        <v>1861</v>
      </c>
    </row>
    <row r="424" spans="2:3" ht="15.75" x14ac:dyDescent="0.25">
      <c r="B424" s="667" t="s">
        <v>2101</v>
      </c>
      <c r="C424" s="809" t="s">
        <v>1641</v>
      </c>
    </row>
    <row r="425" spans="2:3" x14ac:dyDescent="0.2">
      <c r="B425" s="667" t="s">
        <v>2102</v>
      </c>
      <c r="C425" s="1163" t="s">
        <v>1863</v>
      </c>
    </row>
    <row r="426" spans="2:3" x14ac:dyDescent="0.2">
      <c r="B426" s="667" t="s">
        <v>2108</v>
      </c>
      <c r="C426" s="666" t="s">
        <v>1791</v>
      </c>
    </row>
    <row r="427" spans="2:3" x14ac:dyDescent="0.2">
      <c r="B427" s="667" t="s">
        <v>2123</v>
      </c>
      <c r="C427" s="1067" t="s">
        <v>813</v>
      </c>
    </row>
    <row r="428" spans="2:3" ht="15.75" x14ac:dyDescent="0.25">
      <c r="B428" s="667" t="s">
        <v>2124</v>
      </c>
      <c r="C428" s="818" t="s">
        <v>834</v>
      </c>
    </row>
    <row r="429" spans="2:3" ht="15.75" x14ac:dyDescent="0.2">
      <c r="B429" s="667" t="s">
        <v>2141</v>
      </c>
      <c r="C429" s="814" t="s">
        <v>2104</v>
      </c>
    </row>
    <row r="430" spans="2:3" x14ac:dyDescent="0.2">
      <c r="B430" s="667" t="s">
        <v>2211</v>
      </c>
      <c r="C430" s="1067" t="s">
        <v>807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2026-08-28T03:29:26Z</dcterms:modified>
</cp:coreProperties>
</file>