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IMARTICUS\General Motors Project\"/>
    </mc:Choice>
  </mc:AlternateContent>
  <xr:revisionPtr revIDLastSave="0" documentId="13_ncr:1_{FAF68BED-08FD-4851-AE08-57B4307209D8}" xr6:coauthVersionLast="47" xr6:coauthVersionMax="47" xr10:uidLastSave="{00000000-0000-0000-0000-000000000000}"/>
  <bookViews>
    <workbookView xWindow="-120" yWindow="-120" windowWidth="20730" windowHeight="11760" tabRatio="1000" xr2:uid="{00000000-000D-0000-FFFF-FFFF00000000}"/>
  </bookViews>
  <sheets>
    <sheet name="Revenue Projection" sheetId="1" r:id="rId1"/>
    <sheet name="GM-I.S." sheetId="2" r:id="rId2"/>
    <sheet name="GM-B.S." sheetId="3" r:id="rId3"/>
    <sheet name="GM-C.F.S." sheetId="4" r:id="rId4"/>
    <sheet name="Debt Schedule" sheetId="5" r:id="rId5"/>
    <sheet name="FA Schedule" sheetId="6" r:id="rId6"/>
    <sheet name="WACC" sheetId="9" r:id="rId7"/>
    <sheet name="FCFF" sheetId="10" r:id="rId8"/>
    <sheet name="Football Field Analysis" sheetId="19" r:id="rId9"/>
    <sheet name="DuPont Analysis" sheetId="21" r:id="rId10"/>
    <sheet name="Regression Beta" sheetId="7" r:id="rId11"/>
    <sheet name="Bottom-Up Beta" sheetId="8" r:id="rId12"/>
    <sheet name="Valuation-GM" sheetId="11" r:id="rId13"/>
    <sheet name="Output" sheetId="13" state="hidden" r:id="rId14"/>
    <sheet name="TESLA" sheetId="12" state="hidden" r:id="rId15"/>
    <sheet name="FERRARI N.V." sheetId="14" state="hidden" r:id="rId16"/>
    <sheet name="FORD MOTOR COMPANY" sheetId="15" state="hidden" r:id="rId17"/>
    <sheet name="STELLANTIS N.V." sheetId="20" state="hidden" r:id="rId18"/>
    <sheet name="TOYOTA MOTOR CORP." sheetId="18" state="hidden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1" l="1"/>
  <c r="D20" i="21" s="1"/>
  <c r="D22" i="21"/>
  <c r="I24" i="21"/>
  <c r="H24" i="21"/>
  <c r="G24" i="21"/>
  <c r="F24" i="21"/>
  <c r="E24" i="21"/>
  <c r="J27" i="3"/>
  <c r="J59" i="3"/>
  <c r="N35" i="2"/>
  <c r="M35" i="2"/>
  <c r="L35" i="2"/>
  <c r="K35" i="2"/>
  <c r="J35" i="2"/>
  <c r="I79" i="3"/>
  <c r="H79" i="3"/>
  <c r="G79" i="3"/>
  <c r="F79" i="3"/>
  <c r="E79" i="3"/>
  <c r="D79" i="3"/>
  <c r="I77" i="3"/>
  <c r="H77" i="3"/>
  <c r="G77" i="3"/>
  <c r="F77" i="3"/>
  <c r="E77" i="3"/>
  <c r="D77" i="3"/>
  <c r="D24" i="21" l="1"/>
  <c r="U29" i="10"/>
  <c r="G9" i="19"/>
  <c r="H8" i="19"/>
  <c r="F9" i="19" l="1"/>
  <c r="D9" i="19"/>
  <c r="V29" i="10" l="1"/>
  <c r="T29" i="10"/>
  <c r="S29" i="10"/>
  <c r="Q32" i="10"/>
  <c r="Q31" i="10"/>
  <c r="I17" i="21"/>
  <c r="H17" i="21"/>
  <c r="G17" i="21"/>
  <c r="F17" i="21"/>
  <c r="E17" i="21"/>
  <c r="D17" i="21"/>
  <c r="I13" i="21"/>
  <c r="H13" i="21"/>
  <c r="G13" i="21"/>
  <c r="F13" i="21"/>
  <c r="E13" i="21"/>
  <c r="D13" i="21"/>
  <c r="D8" i="19"/>
  <c r="B17" i="19" s="1"/>
  <c r="F8" i="19"/>
  <c r="H13" i="9"/>
  <c r="W29" i="10" l="1"/>
  <c r="H9" i="19"/>
  <c r="L8" i="9" l="1"/>
  <c r="H16" i="21"/>
  <c r="H18" i="21" s="1"/>
  <c r="G16" i="21"/>
  <c r="G18" i="21" s="1"/>
  <c r="F16" i="21"/>
  <c r="F18" i="21" s="1"/>
  <c r="E16" i="21"/>
  <c r="E18" i="21" s="1"/>
  <c r="D16" i="21"/>
  <c r="G12" i="21"/>
  <c r="G14" i="21" s="1"/>
  <c r="I9" i="21"/>
  <c r="I12" i="21" s="1"/>
  <c r="I14" i="21" s="1"/>
  <c r="H9" i="21"/>
  <c r="H12" i="21" s="1"/>
  <c r="H14" i="21" s="1"/>
  <c r="G9" i="21"/>
  <c r="F9" i="21"/>
  <c r="F12" i="21" s="1"/>
  <c r="F14" i="21" s="1"/>
  <c r="E9" i="21"/>
  <c r="E12" i="21" s="1"/>
  <c r="E14" i="21" s="1"/>
  <c r="D9" i="21"/>
  <c r="D12" i="21" s="1"/>
  <c r="D14" i="21" s="1"/>
  <c r="I8" i="21"/>
  <c r="I22" i="21" s="1"/>
  <c r="H8" i="21"/>
  <c r="H22" i="21" s="1"/>
  <c r="G8" i="21"/>
  <c r="G22" i="21" s="1"/>
  <c r="F8" i="21"/>
  <c r="F22" i="21" s="1"/>
  <c r="E8" i="21"/>
  <c r="E22" i="21" s="1"/>
  <c r="D8" i="21"/>
  <c r="D18" i="20"/>
  <c r="G22" i="20"/>
  <c r="G26" i="20"/>
  <c r="G25" i="20" s="1"/>
  <c r="G28" i="20"/>
  <c r="G33" i="20"/>
  <c r="F42" i="20"/>
  <c r="G42" i="20"/>
  <c r="K42" i="20"/>
  <c r="D43" i="20"/>
  <c r="H56" i="20"/>
  <c r="G62" i="20"/>
  <c r="K62" i="20"/>
  <c r="G64" i="20"/>
  <c r="D66" i="20"/>
  <c r="G66" i="20" s="1"/>
  <c r="E66" i="20"/>
  <c r="E68" i="20" s="1"/>
  <c r="F66" i="20"/>
  <c r="F68" i="20"/>
  <c r="G70" i="20"/>
  <c r="D71" i="20"/>
  <c r="D73" i="20" s="1"/>
  <c r="D75" i="20" s="1"/>
  <c r="E71" i="20"/>
  <c r="F71" i="20"/>
  <c r="E73" i="20"/>
  <c r="E75" i="20" s="1"/>
  <c r="E77" i="20" s="1"/>
  <c r="E80" i="20" s="1"/>
  <c r="F73" i="20"/>
  <c r="F75" i="20" s="1"/>
  <c r="F77" i="20" s="1"/>
  <c r="F80" i="20" s="1"/>
  <c r="D79" i="20"/>
  <c r="E79" i="20"/>
  <c r="F79" i="20"/>
  <c r="E10" i="21" l="1"/>
  <c r="E20" i="21" s="1"/>
  <c r="F10" i="21"/>
  <c r="H10" i="21"/>
  <c r="G10" i="21"/>
  <c r="I10" i="21"/>
  <c r="D10" i="21"/>
  <c r="H20" i="21"/>
  <c r="G20" i="21"/>
  <c r="F20" i="21"/>
  <c r="I16" i="21"/>
  <c r="I18" i="21" s="1"/>
  <c r="J42" i="20"/>
  <c r="G75" i="20"/>
  <c r="D77" i="20"/>
  <c r="F43" i="20"/>
  <c r="G43" i="20" s="1"/>
  <c r="H42" i="20"/>
  <c r="I42" i="20" s="1"/>
  <c r="D68" i="20"/>
  <c r="K66" i="20"/>
  <c r="D14" i="19"/>
  <c r="F14" i="19"/>
  <c r="I20" i="21" l="1"/>
  <c r="G68" i="20"/>
  <c r="K68" i="20"/>
  <c r="L42" i="20"/>
  <c r="H43" i="20"/>
  <c r="I43" i="20" s="1"/>
  <c r="J43" i="20" s="1"/>
  <c r="J45" i="20" s="1"/>
  <c r="D19" i="20" s="1"/>
  <c r="K77" i="20"/>
  <c r="D80" i="20"/>
  <c r="G77" i="20"/>
  <c r="E14" i="19"/>
  <c r="E13" i="19"/>
  <c r="E12" i="19"/>
  <c r="E8" i="19"/>
  <c r="M29" i="10"/>
  <c r="I31" i="10"/>
  <c r="I32" i="10" s="1"/>
  <c r="K29" i="10"/>
  <c r="L29" i="10" s="1"/>
  <c r="E46" i="8"/>
  <c r="E45" i="8"/>
  <c r="E44" i="8"/>
  <c r="E43" i="8"/>
  <c r="E41" i="8"/>
  <c r="E40" i="8"/>
  <c r="E39" i="8"/>
  <c r="E38" i="8"/>
  <c r="E31" i="8"/>
  <c r="E30" i="8"/>
  <c r="E29" i="8"/>
  <c r="E28" i="8"/>
  <c r="E25" i="8"/>
  <c r="E24" i="8"/>
  <c r="E23" i="8"/>
  <c r="E21" i="8"/>
  <c r="E20" i="8"/>
  <c r="E19" i="8"/>
  <c r="E18" i="8"/>
  <c r="G19" i="20" l="1"/>
  <c r="D20" i="20"/>
  <c r="G20" i="20" s="1"/>
  <c r="K80" i="20"/>
  <c r="G80" i="20"/>
  <c r="N29" i="10"/>
  <c r="O29" i="10" s="1"/>
  <c r="D39" i="8"/>
  <c r="D40" i="8" s="1"/>
  <c r="D41" i="8" s="1"/>
  <c r="E35" i="8"/>
  <c r="E34" i="8"/>
  <c r="E33" i="8"/>
  <c r="G32" i="20" l="1"/>
  <c r="G34" i="20" s="1"/>
  <c r="G35" i="20"/>
  <c r="D46" i="10"/>
  <c r="D47" i="10"/>
  <c r="F40" i="10"/>
  <c r="D40" i="10"/>
  <c r="J11" i="3"/>
  <c r="G62" i="18"/>
  <c r="G33" i="14"/>
  <c r="G26" i="14"/>
  <c r="G31" i="14"/>
  <c r="D79" i="18"/>
  <c r="F79" i="14"/>
  <c r="E79" i="14"/>
  <c r="D79" i="14"/>
  <c r="E79" i="18" l="1"/>
  <c r="F79" i="18" s="1"/>
  <c r="D66" i="18"/>
  <c r="E66" i="18"/>
  <c r="F66" i="18"/>
  <c r="F68" i="18" s="1"/>
  <c r="G64" i="18"/>
  <c r="E71" i="18"/>
  <c r="E73" i="18" s="1"/>
  <c r="F71" i="18"/>
  <c r="F73" i="18" s="1"/>
  <c r="E68" i="18" l="1"/>
  <c r="G26" i="18" l="1"/>
  <c r="D18" i="18"/>
  <c r="M7" i="11"/>
  <c r="K7" i="11"/>
  <c r="J7" i="11"/>
  <c r="G21" i="14" l="1"/>
  <c r="D43" i="14"/>
  <c r="F70" i="14"/>
  <c r="E70" i="14"/>
  <c r="D70" i="14"/>
  <c r="D67" i="14"/>
  <c r="F67" i="14"/>
  <c r="E67" i="14"/>
  <c r="F64" i="14"/>
  <c r="E64" i="14"/>
  <c r="F62" i="14"/>
  <c r="E62" i="14"/>
  <c r="D64" i="14"/>
  <c r="D62" i="14"/>
  <c r="K66" i="14" l="1"/>
  <c r="K62" i="14"/>
  <c r="D66" i="12"/>
  <c r="D18" i="14" l="1"/>
  <c r="D42" i="2"/>
  <c r="K42" i="18"/>
  <c r="G33" i="15" l="1"/>
  <c r="K66" i="15"/>
  <c r="K62" i="15"/>
  <c r="D67" i="15"/>
  <c r="K42" i="15"/>
  <c r="L42" i="15" s="1"/>
  <c r="K42" i="14"/>
  <c r="G29" i="15" l="1"/>
  <c r="G26" i="15"/>
  <c r="E20" i="15"/>
  <c r="E19" i="15"/>
  <c r="E17" i="15"/>
  <c r="K66" i="12"/>
  <c r="K62" i="12"/>
  <c r="E18" i="15"/>
  <c r="D18" i="15"/>
  <c r="L42" i="12" l="1"/>
  <c r="K42" i="12"/>
  <c r="D43" i="12"/>
  <c r="D42" i="12"/>
  <c r="G33" i="12"/>
  <c r="G26" i="12"/>
  <c r="D18" i="12" l="1"/>
  <c r="F2" i="11" l="1" a="1"/>
  <c r="F2" i="11" s="1"/>
  <c r="F73" i="12"/>
  <c r="E73" i="12"/>
  <c r="D73" i="12"/>
  <c r="F75" i="18" l="1"/>
  <c r="F77" i="18" s="1"/>
  <c r="F80" i="18" s="1"/>
  <c r="E75" i="18"/>
  <c r="E77" i="18" s="1"/>
  <c r="E80" i="18" s="1"/>
  <c r="D73" i="18"/>
  <c r="D71" i="18"/>
  <c r="K62" i="18"/>
  <c r="H56" i="18"/>
  <c r="F43" i="18"/>
  <c r="G43" i="18" s="1"/>
  <c r="G42" i="18"/>
  <c r="F42" i="18"/>
  <c r="G28" i="18"/>
  <c r="G25" i="18"/>
  <c r="G22" i="18"/>
  <c r="F73" i="15"/>
  <c r="F75" i="15" s="1"/>
  <c r="F77" i="15" s="1"/>
  <c r="F80" i="15" s="1"/>
  <c r="E73" i="15"/>
  <c r="E75" i="15" s="1"/>
  <c r="E77" i="15" s="1"/>
  <c r="E80" i="15" s="1"/>
  <c r="F71" i="15"/>
  <c r="E71" i="15"/>
  <c r="D71" i="15"/>
  <c r="D73" i="15" s="1"/>
  <c r="G70" i="15"/>
  <c r="F68" i="15"/>
  <c r="E68" i="15"/>
  <c r="D68" i="15"/>
  <c r="K68" i="15" s="1"/>
  <c r="G64" i="15"/>
  <c r="G62" i="15"/>
  <c r="H56" i="15"/>
  <c r="F43" i="15"/>
  <c r="G43" i="15" s="1"/>
  <c r="F42" i="15"/>
  <c r="G42" i="15" s="1"/>
  <c r="G28" i="15"/>
  <c r="G25" i="15"/>
  <c r="G22" i="15"/>
  <c r="F71" i="14"/>
  <c r="F73" i="14" s="1"/>
  <c r="E71" i="14"/>
  <c r="E73" i="14" s="1"/>
  <c r="E75" i="14" s="1"/>
  <c r="E77" i="14" s="1"/>
  <c r="E80" i="14" s="1"/>
  <c r="D71" i="14"/>
  <c r="D73" i="14" s="1"/>
  <c r="G70" i="14"/>
  <c r="F68" i="14"/>
  <c r="E68" i="14"/>
  <c r="D68" i="14"/>
  <c r="K68" i="14" s="1"/>
  <c r="G64" i="14"/>
  <c r="G62" i="14"/>
  <c r="H56" i="14"/>
  <c r="F43" i="14"/>
  <c r="G43" i="14" s="1"/>
  <c r="F42" i="14"/>
  <c r="G42" i="14" s="1"/>
  <c r="G28" i="14"/>
  <c r="G25" i="14"/>
  <c r="G22" i="14"/>
  <c r="F75" i="12"/>
  <c r="F77" i="12" s="1"/>
  <c r="F80" i="12" s="1"/>
  <c r="F71" i="12"/>
  <c r="E71" i="12"/>
  <c r="E75" i="12" s="1"/>
  <c r="E77" i="12" s="1"/>
  <c r="E80" i="12" s="1"/>
  <c r="F66" i="12"/>
  <c r="F68" i="12" s="1"/>
  <c r="E66" i="12"/>
  <c r="E68" i="12" s="1"/>
  <c r="D71" i="12"/>
  <c r="F43" i="12"/>
  <c r="G43" i="12" s="1"/>
  <c r="H43" i="12" s="1"/>
  <c r="I43" i="12" s="1"/>
  <c r="J43" i="12" s="1"/>
  <c r="F42" i="12"/>
  <c r="G42" i="12" s="1"/>
  <c r="H42" i="12" s="1"/>
  <c r="I42" i="12" s="1"/>
  <c r="J42" i="12" s="1"/>
  <c r="G22" i="12"/>
  <c r="G25" i="12"/>
  <c r="G28" i="12"/>
  <c r="G70" i="12"/>
  <c r="G64" i="12"/>
  <c r="G62" i="12"/>
  <c r="D68" i="18" l="1"/>
  <c r="G68" i="18" s="1"/>
  <c r="G66" i="18"/>
  <c r="D75" i="18"/>
  <c r="G75" i="18" s="1"/>
  <c r="F75" i="14"/>
  <c r="F77" i="14" s="1"/>
  <c r="F80" i="14" s="1"/>
  <c r="H43" i="18"/>
  <c r="I43" i="18" s="1"/>
  <c r="J43" i="18" s="1"/>
  <c r="H42" i="18"/>
  <c r="I42" i="18" s="1"/>
  <c r="J42" i="18" s="1"/>
  <c r="K66" i="18"/>
  <c r="H42" i="15"/>
  <c r="I42" i="15" s="1"/>
  <c r="J42" i="15" s="1"/>
  <c r="H43" i="15"/>
  <c r="I43" i="15" s="1"/>
  <c r="J43" i="15" s="1"/>
  <c r="G68" i="15"/>
  <c r="D75" i="15"/>
  <c r="G66" i="15"/>
  <c r="H43" i="14"/>
  <c r="I43" i="14" s="1"/>
  <c r="J43" i="14" s="1"/>
  <c r="G68" i="14"/>
  <c r="D75" i="14"/>
  <c r="H42" i="14"/>
  <c r="I42" i="14" s="1"/>
  <c r="J42" i="14" s="1"/>
  <c r="L42" i="14" s="1"/>
  <c r="G66" i="14"/>
  <c r="D68" i="12"/>
  <c r="D75" i="12"/>
  <c r="G75" i="12" s="1"/>
  <c r="G66" i="12"/>
  <c r="D77" i="18" l="1"/>
  <c r="D80" i="18" s="1"/>
  <c r="K68" i="18"/>
  <c r="J45" i="18"/>
  <c r="D19" i="18" s="1"/>
  <c r="G19" i="18" s="1"/>
  <c r="L42" i="18"/>
  <c r="G68" i="12"/>
  <c r="K68" i="12"/>
  <c r="J45" i="15"/>
  <c r="D19" i="15" s="1"/>
  <c r="J45" i="14"/>
  <c r="D19" i="14" s="1"/>
  <c r="D20" i="14" s="1"/>
  <c r="G20" i="14" s="1"/>
  <c r="G19" i="15"/>
  <c r="D20" i="15"/>
  <c r="G20" i="15" s="1"/>
  <c r="D77" i="15"/>
  <c r="K77" i="15" s="1"/>
  <c r="G75" i="15"/>
  <c r="D77" i="14"/>
  <c r="K77" i="14" s="1"/>
  <c r="G75" i="14"/>
  <c r="D77" i="12"/>
  <c r="K77" i="12" s="1"/>
  <c r="G77" i="18" l="1"/>
  <c r="K77" i="18"/>
  <c r="D20" i="18"/>
  <c r="G20" i="18" s="1"/>
  <c r="G19" i="14"/>
  <c r="K80" i="18"/>
  <c r="G80" i="18"/>
  <c r="D80" i="15"/>
  <c r="K80" i="15" s="1"/>
  <c r="G77" i="15"/>
  <c r="G32" i="15"/>
  <c r="G34" i="15" s="1"/>
  <c r="G35" i="15"/>
  <c r="G32" i="14"/>
  <c r="G34" i="14" s="1"/>
  <c r="G35" i="14"/>
  <c r="D80" i="14"/>
  <c r="K80" i="14" s="1"/>
  <c r="G77" i="14"/>
  <c r="G77" i="12"/>
  <c r="D80" i="12"/>
  <c r="K80" i="12" s="1"/>
  <c r="G35" i="18" l="1"/>
  <c r="G32" i="18"/>
  <c r="G34" i="18" s="1"/>
  <c r="G80" i="15"/>
  <c r="G80" i="14"/>
  <c r="G80" i="12"/>
  <c r="H56" i="12" l="1"/>
  <c r="J45" i="12"/>
  <c r="D19" i="12" s="1"/>
  <c r="D20" i="12" l="1"/>
  <c r="G20" i="12" s="1"/>
  <c r="G19" i="12"/>
  <c r="G32" i="12" l="1"/>
  <c r="G34" i="12" s="1"/>
  <c r="G35" i="12"/>
  <c r="G33" i="11" l="1"/>
  <c r="M21" i="11"/>
  <c r="L21" i="11"/>
  <c r="K21" i="11"/>
  <c r="J21" i="11"/>
  <c r="I21" i="11"/>
  <c r="M20" i="11"/>
  <c r="L20" i="11"/>
  <c r="K20" i="11"/>
  <c r="J20" i="11"/>
  <c r="I20" i="11"/>
  <c r="M19" i="11"/>
  <c r="L19" i="11"/>
  <c r="K19" i="11"/>
  <c r="J19" i="11"/>
  <c r="I19" i="11"/>
  <c r="M9" i="11"/>
  <c r="L9" i="11"/>
  <c r="K9" i="11"/>
  <c r="J9" i="11"/>
  <c r="I9" i="11"/>
  <c r="M8" i="11"/>
  <c r="L8" i="11"/>
  <c r="K8" i="11"/>
  <c r="J8" i="11"/>
  <c r="I8" i="11"/>
  <c r="M15" i="11"/>
  <c r="L15" i="11"/>
  <c r="K15" i="11"/>
  <c r="J15" i="11"/>
  <c r="I15" i="11"/>
  <c r="M14" i="11"/>
  <c r="L14" i="11"/>
  <c r="K14" i="11"/>
  <c r="J14" i="11"/>
  <c r="I14" i="11"/>
  <c r="M13" i="11"/>
  <c r="L13" i="11"/>
  <c r="K13" i="11"/>
  <c r="J13" i="11"/>
  <c r="I13" i="11"/>
  <c r="D21" i="11"/>
  <c r="D20" i="11"/>
  <c r="D19" i="11"/>
  <c r="D15" i="11"/>
  <c r="D14" i="11"/>
  <c r="D13" i="11"/>
  <c r="D9" i="11"/>
  <c r="D8" i="11"/>
  <c r="D7" i="11"/>
  <c r="K40" i="11"/>
  <c r="F41" i="11"/>
  <c r="G41" i="11" s="1"/>
  <c r="F40" i="11"/>
  <c r="G40" i="11" s="1"/>
  <c r="H40" i="11" l="1"/>
  <c r="I40" i="11" s="1"/>
  <c r="J40" i="11" s="1"/>
  <c r="H41" i="11"/>
  <c r="I41" i="11" s="1"/>
  <c r="J41" i="11" s="1"/>
  <c r="J42" i="11" l="1"/>
  <c r="G34" i="11" s="1"/>
  <c r="L40" i="11"/>
  <c r="P19" i="11" l="1"/>
  <c r="P9" i="11"/>
  <c r="P13" i="11"/>
  <c r="P15" i="11"/>
  <c r="P20" i="11"/>
  <c r="P7" i="11"/>
  <c r="P21" i="11"/>
  <c r="P8" i="11"/>
  <c r="P14" i="11"/>
  <c r="I40" i="3" l="1"/>
  <c r="J43" i="3"/>
  <c r="K43" i="3" s="1"/>
  <c r="L43" i="3" s="1"/>
  <c r="M43" i="3" s="1"/>
  <c r="N43" i="3" s="1"/>
  <c r="J35" i="3"/>
  <c r="K35" i="3" s="1"/>
  <c r="L35" i="3" s="1"/>
  <c r="M35" i="3" s="1"/>
  <c r="N35" i="3" s="1"/>
  <c r="D48" i="10"/>
  <c r="E9" i="19" l="1"/>
  <c r="F38" i="10"/>
  <c r="D38" i="10"/>
  <c r="F34" i="10"/>
  <c r="D34" i="10"/>
  <c r="F31" i="10"/>
  <c r="D31" i="10"/>
  <c r="J9" i="10"/>
  <c r="J7" i="10"/>
  <c r="J5" i="10"/>
  <c r="L7" i="9"/>
  <c r="L9" i="9" s="1"/>
  <c r="H7" i="9" l="1"/>
  <c r="D15" i="9"/>
  <c r="D14" i="9"/>
  <c r="D10" i="9"/>
  <c r="B16" i="7"/>
  <c r="D5" i="9" l="1"/>
  <c r="J6" i="10"/>
  <c r="G13" i="8" l="1"/>
  <c r="F13" i="8"/>
  <c r="G11" i="8"/>
  <c r="F11" i="8"/>
  <c r="G10" i="8"/>
  <c r="F10" i="8"/>
  <c r="G9" i="8"/>
  <c r="F9" i="8"/>
  <c r="E11" i="8"/>
  <c r="E10" i="8"/>
  <c r="E9" i="8"/>
  <c r="G8" i="8"/>
  <c r="F8" i="8"/>
  <c r="E8" i="8"/>
  <c r="G7" i="8"/>
  <c r="F7" i="8"/>
  <c r="E7" i="8"/>
  <c r="B13" i="8"/>
  <c r="D42" i="8" s="1"/>
  <c r="B11" i="8"/>
  <c r="B10" i="8"/>
  <c r="B9" i="8"/>
  <c r="B8" i="8"/>
  <c r="B16" i="13" s="1"/>
  <c r="B7" i="8"/>
  <c r="E16" i="13" a="1"/>
  <c r="Y16" i="13" a="1"/>
  <c r="D16" i="13" a="1"/>
  <c r="E16" i="13" l="1"/>
  <c r="D16" i="13"/>
  <c r="Y16" i="13"/>
  <c r="D17" i="8"/>
  <c r="B15" i="13"/>
  <c r="D27" i="8"/>
  <c r="B17" i="13"/>
  <c r="D37" i="8"/>
  <c r="B19" i="13"/>
  <c r="D32" i="8"/>
  <c r="B18" i="13"/>
  <c r="H11" i="8"/>
  <c r="H7" i="8"/>
  <c r="H8" i="8"/>
  <c r="H10" i="8"/>
  <c r="D22" i="8"/>
  <c r="H9" i="8"/>
  <c r="E15" i="13" a="1"/>
  <c r="Y18" i="13" a="1"/>
  <c r="E19" i="13" a="1"/>
  <c r="F16" i="13" a="1"/>
  <c r="H16" i="13" a="1"/>
  <c r="G16" i="13" a="1"/>
  <c r="D17" i="13" a="1"/>
  <c r="Y19" i="13" a="1"/>
  <c r="E17" i="13" a="1"/>
  <c r="Y17" i="13" a="1"/>
  <c r="Y15" i="13" a="1"/>
  <c r="D19" i="13" a="1"/>
  <c r="D15" i="13" a="1"/>
  <c r="D18" i="13" a="1"/>
  <c r="E18" i="13" a="1"/>
  <c r="D19" i="13" l="1"/>
  <c r="E19" i="13"/>
  <c r="Y19" i="13"/>
  <c r="E17" i="13"/>
  <c r="D17" i="13"/>
  <c r="Y17" i="13"/>
  <c r="H16" i="13"/>
  <c r="G16" i="13"/>
  <c r="F16" i="13"/>
  <c r="E15" i="13"/>
  <c r="D15" i="13"/>
  <c r="Y15" i="13"/>
  <c r="E18" i="13"/>
  <c r="D18" i="13"/>
  <c r="Y18" i="13"/>
  <c r="AG163" i="7"/>
  <c r="AG162" i="7"/>
  <c r="AG161" i="7"/>
  <c r="AG160" i="7"/>
  <c r="AG159" i="7"/>
  <c r="AG158" i="7"/>
  <c r="AG157" i="7"/>
  <c r="AG156" i="7"/>
  <c r="AG155" i="7"/>
  <c r="AG154" i="7"/>
  <c r="AG153" i="7"/>
  <c r="AG152" i="7"/>
  <c r="AG151" i="7"/>
  <c r="AG150" i="7"/>
  <c r="AG149" i="7"/>
  <c r="AG148" i="7"/>
  <c r="AG147" i="7"/>
  <c r="AG146" i="7"/>
  <c r="AG145" i="7"/>
  <c r="AG144" i="7"/>
  <c r="AG143" i="7"/>
  <c r="AG142" i="7"/>
  <c r="AG141" i="7"/>
  <c r="AG140" i="7"/>
  <c r="AG139" i="7"/>
  <c r="AG138" i="7"/>
  <c r="AG137" i="7"/>
  <c r="AG136" i="7"/>
  <c r="AG135" i="7"/>
  <c r="AG134" i="7"/>
  <c r="AG133" i="7"/>
  <c r="AG132" i="7"/>
  <c r="AG131" i="7"/>
  <c r="AG130" i="7"/>
  <c r="AG129" i="7"/>
  <c r="AG128" i="7"/>
  <c r="AG127" i="7"/>
  <c r="AG126" i="7"/>
  <c r="AG125" i="7"/>
  <c r="AG124" i="7"/>
  <c r="AG123" i="7"/>
  <c r="AG122" i="7"/>
  <c r="AG121" i="7"/>
  <c r="AG120" i="7"/>
  <c r="AG119" i="7"/>
  <c r="AG118" i="7"/>
  <c r="AG117" i="7"/>
  <c r="AG116" i="7"/>
  <c r="AG115" i="7"/>
  <c r="AG114" i="7"/>
  <c r="AG113" i="7"/>
  <c r="AG112" i="7"/>
  <c r="AG111" i="7"/>
  <c r="AG110" i="7"/>
  <c r="AG109" i="7"/>
  <c r="AG108" i="7"/>
  <c r="AG107" i="7"/>
  <c r="AG106" i="7"/>
  <c r="AG105" i="7"/>
  <c r="AG104" i="7"/>
  <c r="AG103" i="7"/>
  <c r="AG102" i="7"/>
  <c r="AG101" i="7"/>
  <c r="AG100" i="7"/>
  <c r="AG99" i="7"/>
  <c r="AG98" i="7"/>
  <c r="AG97" i="7"/>
  <c r="AG96" i="7"/>
  <c r="AG95" i="7"/>
  <c r="AG94" i="7"/>
  <c r="AG93" i="7"/>
  <c r="AG92" i="7"/>
  <c r="AG91" i="7"/>
  <c r="AG90" i="7"/>
  <c r="AG89" i="7"/>
  <c r="AG88" i="7"/>
  <c r="AG87" i="7"/>
  <c r="AG86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C163" i="7"/>
  <c r="AC162" i="7"/>
  <c r="AC161" i="7"/>
  <c r="AC160" i="7"/>
  <c r="AC159" i="7"/>
  <c r="AC158" i="7"/>
  <c r="AC157" i="7"/>
  <c r="AC156" i="7"/>
  <c r="AC155" i="7"/>
  <c r="AC154" i="7"/>
  <c r="AC153" i="7"/>
  <c r="AC152" i="7"/>
  <c r="AC151" i="7"/>
  <c r="AC150" i="7"/>
  <c r="AC149" i="7"/>
  <c r="AC148" i="7"/>
  <c r="AC147" i="7"/>
  <c r="AC146" i="7"/>
  <c r="AC145" i="7"/>
  <c r="AC144" i="7"/>
  <c r="AC143" i="7"/>
  <c r="AC142" i="7"/>
  <c r="AC141" i="7"/>
  <c r="AC140" i="7"/>
  <c r="AC139" i="7"/>
  <c r="AC138" i="7"/>
  <c r="AC137" i="7"/>
  <c r="AC136" i="7"/>
  <c r="AC135" i="7"/>
  <c r="AC134" i="7"/>
  <c r="AC133" i="7"/>
  <c r="AC132" i="7"/>
  <c r="AC131" i="7"/>
  <c r="AC130" i="7"/>
  <c r="AC129" i="7"/>
  <c r="AC128" i="7"/>
  <c r="AC127" i="7"/>
  <c r="AC126" i="7"/>
  <c r="AC125" i="7"/>
  <c r="AC124" i="7"/>
  <c r="AC123" i="7"/>
  <c r="AC122" i="7"/>
  <c r="AC121" i="7"/>
  <c r="AC120" i="7"/>
  <c r="AC119" i="7"/>
  <c r="AC118" i="7"/>
  <c r="AC117" i="7"/>
  <c r="AC116" i="7"/>
  <c r="AC115" i="7"/>
  <c r="AC114" i="7"/>
  <c r="AC113" i="7"/>
  <c r="AC112" i="7"/>
  <c r="AC111" i="7"/>
  <c r="AC110" i="7"/>
  <c r="AC109" i="7"/>
  <c r="AC108" i="7"/>
  <c r="AC107" i="7"/>
  <c r="AC106" i="7"/>
  <c r="AC105" i="7"/>
  <c r="AC104" i="7"/>
  <c r="AC103" i="7"/>
  <c r="AC102" i="7"/>
  <c r="AC101" i="7"/>
  <c r="AC100" i="7"/>
  <c r="AC99" i="7"/>
  <c r="AC98" i="7"/>
  <c r="AC97" i="7"/>
  <c r="AC96" i="7"/>
  <c r="AC95" i="7"/>
  <c r="AC94" i="7"/>
  <c r="AC93" i="7"/>
  <c r="AC92" i="7"/>
  <c r="AC91" i="7"/>
  <c r="AC90" i="7"/>
  <c r="AC89" i="7"/>
  <c r="AC88" i="7"/>
  <c r="AC87" i="7"/>
  <c r="AC86" i="7"/>
  <c r="AC85" i="7"/>
  <c r="AC84" i="7"/>
  <c r="AC83" i="7"/>
  <c r="AC82" i="7"/>
  <c r="AC81" i="7"/>
  <c r="AC80" i="7"/>
  <c r="AC79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41" i="7"/>
  <c r="AC40" i="7"/>
  <c r="AC39" i="7"/>
  <c r="AC38" i="7"/>
  <c r="AC37" i="7"/>
  <c r="AC36" i="7"/>
  <c r="AC35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1" i="7"/>
  <c r="AC20" i="7"/>
  <c r="AC19" i="7"/>
  <c r="AC18" i="7"/>
  <c r="AC17" i="7"/>
  <c r="AC16" i="7"/>
  <c r="AC15" i="7"/>
  <c r="AC14" i="7"/>
  <c r="AC13" i="7"/>
  <c r="AC12" i="7"/>
  <c r="AC11" i="7"/>
  <c r="AC10" i="7"/>
  <c r="AC9" i="7"/>
  <c r="AC8" i="7"/>
  <c r="Y163" i="7"/>
  <c r="Y162" i="7"/>
  <c r="Y161" i="7"/>
  <c r="Y160" i="7"/>
  <c r="Y159" i="7"/>
  <c r="Y158" i="7"/>
  <c r="Y157" i="7"/>
  <c r="Y156" i="7"/>
  <c r="Y155" i="7"/>
  <c r="Y154" i="7"/>
  <c r="Y153" i="7"/>
  <c r="Y152" i="7"/>
  <c r="Y151" i="7"/>
  <c r="Y150" i="7"/>
  <c r="Y149" i="7"/>
  <c r="Y148" i="7"/>
  <c r="Y147" i="7"/>
  <c r="Y146" i="7"/>
  <c r="Y145" i="7"/>
  <c r="Y144" i="7"/>
  <c r="Y143" i="7"/>
  <c r="Y142" i="7"/>
  <c r="Y141" i="7"/>
  <c r="Y140" i="7"/>
  <c r="Y139" i="7"/>
  <c r="Y138" i="7"/>
  <c r="Y137" i="7"/>
  <c r="Y136" i="7"/>
  <c r="Y135" i="7"/>
  <c r="Y134" i="7"/>
  <c r="Y133" i="7"/>
  <c r="Y132" i="7"/>
  <c r="Y131" i="7"/>
  <c r="Y130" i="7"/>
  <c r="Y129" i="7"/>
  <c r="Y128" i="7"/>
  <c r="Y127" i="7"/>
  <c r="Y126" i="7"/>
  <c r="Y125" i="7"/>
  <c r="Y124" i="7"/>
  <c r="Y123" i="7"/>
  <c r="Y122" i="7"/>
  <c r="Y121" i="7"/>
  <c r="Y120" i="7"/>
  <c r="Y119" i="7"/>
  <c r="Y118" i="7"/>
  <c r="Y117" i="7"/>
  <c r="Y116" i="7"/>
  <c r="Y115" i="7"/>
  <c r="Y114" i="7"/>
  <c r="Y113" i="7"/>
  <c r="Y112" i="7"/>
  <c r="Y111" i="7"/>
  <c r="Y110" i="7"/>
  <c r="Y109" i="7"/>
  <c r="Y108" i="7"/>
  <c r="Y107" i="7"/>
  <c r="Y106" i="7"/>
  <c r="Y105" i="7"/>
  <c r="Y104" i="7"/>
  <c r="Y103" i="7"/>
  <c r="Y102" i="7"/>
  <c r="Y101" i="7"/>
  <c r="Y100" i="7"/>
  <c r="Y99" i="7"/>
  <c r="Y98" i="7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Y79" i="7"/>
  <c r="Y78" i="7"/>
  <c r="Y77" i="7"/>
  <c r="Y76" i="7"/>
  <c r="Y75" i="7"/>
  <c r="Y74" i="7"/>
  <c r="Y73" i="7"/>
  <c r="Y72" i="7"/>
  <c r="Y71" i="7"/>
  <c r="Y70" i="7"/>
  <c r="Y69" i="7"/>
  <c r="Y68" i="7"/>
  <c r="Y67" i="7"/>
  <c r="Y66" i="7"/>
  <c r="Y65" i="7"/>
  <c r="Y64" i="7"/>
  <c r="Y63" i="7"/>
  <c r="Y62" i="7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U163" i="7"/>
  <c r="U162" i="7"/>
  <c r="U161" i="7"/>
  <c r="U160" i="7"/>
  <c r="U159" i="7"/>
  <c r="U158" i="7"/>
  <c r="U157" i="7"/>
  <c r="U156" i="7"/>
  <c r="U155" i="7"/>
  <c r="U154" i="7"/>
  <c r="U153" i="7"/>
  <c r="U152" i="7"/>
  <c r="U151" i="7"/>
  <c r="U150" i="7"/>
  <c r="U149" i="7"/>
  <c r="U148" i="7"/>
  <c r="U147" i="7"/>
  <c r="U146" i="7"/>
  <c r="U145" i="7"/>
  <c r="U144" i="7"/>
  <c r="U143" i="7"/>
  <c r="U142" i="7"/>
  <c r="U141" i="7"/>
  <c r="U140" i="7"/>
  <c r="U139" i="7"/>
  <c r="U138" i="7"/>
  <c r="U137" i="7"/>
  <c r="U136" i="7"/>
  <c r="U135" i="7"/>
  <c r="U134" i="7"/>
  <c r="U133" i="7"/>
  <c r="U132" i="7"/>
  <c r="U131" i="7"/>
  <c r="U130" i="7"/>
  <c r="U129" i="7"/>
  <c r="U128" i="7"/>
  <c r="U127" i="7"/>
  <c r="U126" i="7"/>
  <c r="U125" i="7"/>
  <c r="U124" i="7"/>
  <c r="U123" i="7"/>
  <c r="U122" i="7"/>
  <c r="U121" i="7"/>
  <c r="U120" i="7"/>
  <c r="U119" i="7"/>
  <c r="U118" i="7"/>
  <c r="U117" i="7"/>
  <c r="U116" i="7"/>
  <c r="U115" i="7"/>
  <c r="U114" i="7"/>
  <c r="U113" i="7"/>
  <c r="U112" i="7"/>
  <c r="U111" i="7"/>
  <c r="U110" i="7"/>
  <c r="U109" i="7"/>
  <c r="U108" i="7"/>
  <c r="U107" i="7"/>
  <c r="U106" i="7"/>
  <c r="U105" i="7"/>
  <c r="U104" i="7"/>
  <c r="U103" i="7"/>
  <c r="U102" i="7"/>
  <c r="U101" i="7"/>
  <c r="U100" i="7"/>
  <c r="U99" i="7"/>
  <c r="U98" i="7"/>
  <c r="U97" i="7"/>
  <c r="U96" i="7"/>
  <c r="U95" i="7"/>
  <c r="U94" i="7"/>
  <c r="U93" i="7"/>
  <c r="U92" i="7"/>
  <c r="U91" i="7"/>
  <c r="U90" i="7"/>
  <c r="U89" i="7"/>
  <c r="U88" i="7"/>
  <c r="U87" i="7"/>
  <c r="U86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Q163" i="7"/>
  <c r="Q162" i="7"/>
  <c r="Q161" i="7"/>
  <c r="Q160" i="7"/>
  <c r="Q159" i="7"/>
  <c r="Q158" i="7"/>
  <c r="Q157" i="7"/>
  <c r="Q156" i="7"/>
  <c r="Q155" i="7"/>
  <c r="Q154" i="7"/>
  <c r="Q153" i="7"/>
  <c r="Q152" i="7"/>
  <c r="Q151" i="7"/>
  <c r="Q150" i="7"/>
  <c r="Q149" i="7"/>
  <c r="Q148" i="7"/>
  <c r="Q147" i="7"/>
  <c r="Q146" i="7"/>
  <c r="Q145" i="7"/>
  <c r="Q144" i="7"/>
  <c r="Q143" i="7"/>
  <c r="Q142" i="7"/>
  <c r="Q141" i="7"/>
  <c r="Q140" i="7"/>
  <c r="Q139" i="7"/>
  <c r="Q138" i="7"/>
  <c r="Q137" i="7"/>
  <c r="Q136" i="7"/>
  <c r="Q135" i="7"/>
  <c r="Q134" i="7"/>
  <c r="Q133" i="7"/>
  <c r="Q132" i="7"/>
  <c r="Q131" i="7"/>
  <c r="Q130" i="7"/>
  <c r="Q129" i="7"/>
  <c r="Q128" i="7"/>
  <c r="Q127" i="7"/>
  <c r="Q126" i="7"/>
  <c r="Q125" i="7"/>
  <c r="Q124" i="7"/>
  <c r="Q123" i="7"/>
  <c r="Q122" i="7"/>
  <c r="Q121" i="7"/>
  <c r="Q120" i="7"/>
  <c r="Q119" i="7"/>
  <c r="Q118" i="7"/>
  <c r="Q117" i="7"/>
  <c r="Q116" i="7"/>
  <c r="Q115" i="7"/>
  <c r="Q114" i="7"/>
  <c r="Q113" i="7"/>
  <c r="Q112" i="7"/>
  <c r="Q111" i="7"/>
  <c r="Q110" i="7"/>
  <c r="Q109" i="7"/>
  <c r="Q108" i="7"/>
  <c r="Q107" i="7"/>
  <c r="Q106" i="7"/>
  <c r="Q105" i="7"/>
  <c r="Q104" i="7"/>
  <c r="Q103" i="7"/>
  <c r="Q102" i="7"/>
  <c r="Q101" i="7"/>
  <c r="Q100" i="7"/>
  <c r="Q99" i="7"/>
  <c r="Q98" i="7"/>
  <c r="Q97" i="7"/>
  <c r="Q96" i="7"/>
  <c r="Q95" i="7"/>
  <c r="Q94" i="7"/>
  <c r="Q93" i="7"/>
  <c r="Q92" i="7"/>
  <c r="Q91" i="7"/>
  <c r="Q90" i="7"/>
  <c r="Q89" i="7"/>
  <c r="Q88" i="7"/>
  <c r="Q87" i="7"/>
  <c r="Q86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M163" i="7"/>
  <c r="M162" i="7"/>
  <c r="M161" i="7"/>
  <c r="M160" i="7"/>
  <c r="M159" i="7"/>
  <c r="M158" i="7"/>
  <c r="M157" i="7"/>
  <c r="M156" i="7"/>
  <c r="M155" i="7"/>
  <c r="M154" i="7"/>
  <c r="M153" i="7"/>
  <c r="M152" i="7"/>
  <c r="M151" i="7"/>
  <c r="M150" i="7"/>
  <c r="M149" i="7"/>
  <c r="M148" i="7"/>
  <c r="M147" i="7"/>
  <c r="M146" i="7"/>
  <c r="M145" i="7"/>
  <c r="M144" i="7"/>
  <c r="M143" i="7"/>
  <c r="M142" i="7"/>
  <c r="M141" i="7"/>
  <c r="M140" i="7"/>
  <c r="M139" i="7"/>
  <c r="M138" i="7"/>
  <c r="M137" i="7"/>
  <c r="M136" i="7"/>
  <c r="M135" i="7"/>
  <c r="M134" i="7"/>
  <c r="M133" i="7"/>
  <c r="M132" i="7"/>
  <c r="M131" i="7"/>
  <c r="M130" i="7"/>
  <c r="M129" i="7"/>
  <c r="M128" i="7"/>
  <c r="M127" i="7"/>
  <c r="M126" i="7"/>
  <c r="M125" i="7"/>
  <c r="M124" i="7"/>
  <c r="M123" i="7"/>
  <c r="M122" i="7"/>
  <c r="M121" i="7"/>
  <c r="M120" i="7"/>
  <c r="M119" i="7"/>
  <c r="M118" i="7"/>
  <c r="M117" i="7"/>
  <c r="M116" i="7"/>
  <c r="M115" i="7"/>
  <c r="M114" i="7"/>
  <c r="M113" i="7"/>
  <c r="M112" i="7"/>
  <c r="M111" i="7"/>
  <c r="M110" i="7"/>
  <c r="M109" i="7"/>
  <c r="M108" i="7"/>
  <c r="M107" i="7"/>
  <c r="M106" i="7"/>
  <c r="M105" i="7"/>
  <c r="M104" i="7"/>
  <c r="M103" i="7"/>
  <c r="M102" i="7"/>
  <c r="M101" i="7"/>
  <c r="M100" i="7"/>
  <c r="M99" i="7"/>
  <c r="M98" i="7"/>
  <c r="M97" i="7"/>
  <c r="M96" i="7"/>
  <c r="M95" i="7"/>
  <c r="M94" i="7"/>
  <c r="M93" i="7"/>
  <c r="M92" i="7"/>
  <c r="M91" i="7"/>
  <c r="M90" i="7"/>
  <c r="M89" i="7"/>
  <c r="M88" i="7"/>
  <c r="M87" i="7"/>
  <c r="M86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L16" i="13" a="1"/>
  <c r="H19" i="13" a="1"/>
  <c r="G17" i="13" a="1"/>
  <c r="G15" i="13" a="1"/>
  <c r="G19" i="13" a="1"/>
  <c r="H17" i="13" a="1"/>
  <c r="G18" i="13" a="1"/>
  <c r="F19" i="13" a="1"/>
  <c r="F15" i="13" a="1"/>
  <c r="F18" i="13" a="1"/>
  <c r="F17" i="13" a="1"/>
  <c r="H15" i="13" a="1"/>
  <c r="H18" i="13" a="1"/>
  <c r="R16" i="13" a="1"/>
  <c r="R16" i="13" l="1"/>
  <c r="L16" i="13"/>
  <c r="G18" i="13"/>
  <c r="H18" i="13"/>
  <c r="F18" i="13"/>
  <c r="H17" i="13"/>
  <c r="G17" i="13"/>
  <c r="F17" i="13"/>
  <c r="H15" i="13"/>
  <c r="G15" i="13"/>
  <c r="F15" i="13"/>
  <c r="G19" i="13"/>
  <c r="H19" i="13"/>
  <c r="F19" i="13"/>
  <c r="O165" i="7"/>
  <c r="S165" i="7"/>
  <c r="AE165" i="7"/>
  <c r="AA165" i="7"/>
  <c r="K165" i="7"/>
  <c r="G165" i="7"/>
  <c r="W165" i="7"/>
  <c r="B18" i="7"/>
  <c r="J8" i="10" s="1"/>
  <c r="T16" i="13" a="1"/>
  <c r="M18" i="13" a="1"/>
  <c r="M19" i="13" a="1"/>
  <c r="W16" i="13" a="1"/>
  <c r="U19" i="13" a="1"/>
  <c r="L19" i="13" a="1"/>
  <c r="K16" i="13" a="1"/>
  <c r="P16" i="13" a="1"/>
  <c r="V16" i="13" a="1"/>
  <c r="R18" i="13" a="1"/>
  <c r="U17" i="13" a="1"/>
  <c r="O16" i="13" a="1"/>
  <c r="Q16" i="13" a="1"/>
  <c r="M16" i="13" a="1"/>
  <c r="W17" i="13" a="1"/>
  <c r="U16" i="13" a="1"/>
  <c r="J16" i="13" a="1"/>
  <c r="T15" i="13" a="1"/>
  <c r="W15" i="13" a="1"/>
  <c r="J18" i="13" a="1"/>
  <c r="U16" i="13" l="1"/>
  <c r="Q16" i="13"/>
  <c r="W16" i="13"/>
  <c r="V16" i="13"/>
  <c r="K16" i="13"/>
  <c r="J16" i="13"/>
  <c r="M16" i="13"/>
  <c r="P16" i="13"/>
  <c r="T16" i="13"/>
  <c r="O16" i="13"/>
  <c r="W17" i="13"/>
  <c r="U17" i="13"/>
  <c r="M19" i="13"/>
  <c r="L19" i="13"/>
  <c r="U19" i="13"/>
  <c r="J18" i="13"/>
  <c r="M18" i="13"/>
  <c r="R18" i="13"/>
  <c r="W15" i="13"/>
  <c r="T15" i="13"/>
  <c r="B20" i="7"/>
  <c r="J10" i="10" s="1"/>
  <c r="D4" i="10" s="1"/>
  <c r="E4" i="10" s="1"/>
  <c r="F4" i="10" s="1"/>
  <c r="G4" i="10" s="1"/>
  <c r="H4" i="10" s="1"/>
  <c r="AE6" i="7"/>
  <c r="AA6" i="7"/>
  <c r="W6" i="7"/>
  <c r="S6" i="7"/>
  <c r="O6" i="7"/>
  <c r="K6" i="7"/>
  <c r="G6" i="7"/>
  <c r="O15" i="13" a="1"/>
  <c r="R19" i="13" a="1"/>
  <c r="L17" i="13" a="1"/>
  <c r="U18" i="13" a="1"/>
  <c r="Q17" i="13" a="1"/>
  <c r="J15" i="13" a="1"/>
  <c r="V19" i="13" a="1"/>
  <c r="W19" i="13" a="1"/>
  <c r="T17" i="13" a="1"/>
  <c r="L15" i="13" a="1"/>
  <c r="Q18" i="13" a="1"/>
  <c r="L18" i="13" a="1"/>
  <c r="P19" i="13" a="1"/>
  <c r="J17" i="13" a="1"/>
  <c r="T19" i="13" a="1"/>
  <c r="U15" i="13" a="1"/>
  <c r="O18" i="13" a="1"/>
  <c r="Q15" i="13" a="1"/>
  <c r="V15" i="13" a="1"/>
  <c r="T18" i="13" a="1"/>
  <c r="P18" i="13" a="1"/>
  <c r="K19" i="13" a="1"/>
  <c r="J19" i="13" a="1"/>
  <c r="M17" i="13" a="1"/>
  <c r="W18" i="13" a="1"/>
  <c r="V17" i="13" a="1"/>
  <c r="O17" i="13" a="1"/>
  <c r="R17" i="13" a="1"/>
  <c r="R15" i="13" a="1"/>
  <c r="V18" i="13" a="1"/>
  <c r="K18" i="13" a="1"/>
  <c r="K15" i="13" a="1"/>
  <c r="K17" i="13" a="1"/>
  <c r="P15" i="13" a="1"/>
  <c r="M15" i="13" a="1"/>
  <c r="P17" i="13" a="1"/>
  <c r="O19" i="13" a="1"/>
  <c r="Q19" i="13" a="1"/>
  <c r="P15" i="13" l="1"/>
  <c r="J15" i="13"/>
  <c r="U15" i="13"/>
  <c r="M15" i="13"/>
  <c r="L15" i="13"/>
  <c r="Q19" i="13"/>
  <c r="K15" i="13"/>
  <c r="V19" i="13"/>
  <c r="O17" i="13"/>
  <c r="T19" i="13"/>
  <c r="W18" i="13"/>
  <c r="P19" i="13"/>
  <c r="J19" i="13"/>
  <c r="O19" i="13"/>
  <c r="K19" i="13"/>
  <c r="Q18" i="13"/>
  <c r="Q15" i="13"/>
  <c r="R15" i="13"/>
  <c r="O18" i="13"/>
  <c r="P18" i="13"/>
  <c r="V18" i="13"/>
  <c r="V15" i="13"/>
  <c r="O15" i="13"/>
  <c r="L17" i="13"/>
  <c r="K17" i="13"/>
  <c r="P17" i="13"/>
  <c r="M17" i="13"/>
  <c r="U18" i="13"/>
  <c r="R19" i="13"/>
  <c r="K18" i="13"/>
  <c r="R17" i="13"/>
  <c r="Q17" i="13"/>
  <c r="W19" i="13"/>
  <c r="T18" i="13"/>
  <c r="V17" i="13"/>
  <c r="L18" i="13"/>
  <c r="T17" i="13"/>
  <c r="J17" i="13"/>
  <c r="E12" i="7"/>
  <c r="D11" i="8" s="1"/>
  <c r="I11" i="8" s="1"/>
  <c r="E11" i="7"/>
  <c r="D10" i="8" s="1"/>
  <c r="I10" i="8" s="1"/>
  <c r="E10" i="7"/>
  <c r="D9" i="8" s="1"/>
  <c r="I9" i="8" s="1"/>
  <c r="E9" i="7"/>
  <c r="D8" i="8" s="1"/>
  <c r="I8" i="8" s="1"/>
  <c r="E8" i="7"/>
  <c r="D7" i="8" s="1"/>
  <c r="I7" i="8" s="1"/>
  <c r="E7" i="7"/>
  <c r="E6" i="7"/>
  <c r="C37" i="4"/>
  <c r="D36" i="4" s="1"/>
  <c r="H31" i="4"/>
  <c r="G31" i="4"/>
  <c r="F31" i="4"/>
  <c r="E31" i="4"/>
  <c r="D31" i="4"/>
  <c r="H30" i="4"/>
  <c r="G30" i="4"/>
  <c r="F30" i="4"/>
  <c r="E30" i="4"/>
  <c r="D30" i="4"/>
  <c r="I48" i="2"/>
  <c r="H48" i="2"/>
  <c r="G48" i="2"/>
  <c r="F48" i="2"/>
  <c r="E48" i="2"/>
  <c r="D48" i="2"/>
  <c r="J45" i="2"/>
  <c r="K45" i="2" s="1"/>
  <c r="L45" i="2" s="1"/>
  <c r="M45" i="2" s="1"/>
  <c r="N45" i="2" s="1"/>
  <c r="I74" i="3"/>
  <c r="I75" i="3" s="1"/>
  <c r="H74" i="3"/>
  <c r="H75" i="3" s="1"/>
  <c r="G74" i="3"/>
  <c r="G75" i="3" s="1"/>
  <c r="F74" i="3"/>
  <c r="F75" i="3" s="1"/>
  <c r="E74" i="3"/>
  <c r="E75" i="3" s="1"/>
  <c r="D74" i="3"/>
  <c r="D75" i="3" s="1"/>
  <c r="I70" i="3"/>
  <c r="I71" i="3" s="1"/>
  <c r="H70" i="3"/>
  <c r="H71" i="3" s="1"/>
  <c r="G70" i="3"/>
  <c r="G71" i="3" s="1"/>
  <c r="F70" i="3"/>
  <c r="F71" i="3" s="1"/>
  <c r="E70" i="3"/>
  <c r="E71" i="3" s="1"/>
  <c r="D70" i="3"/>
  <c r="D71" i="3" s="1"/>
  <c r="I66" i="3"/>
  <c r="I67" i="3" s="1"/>
  <c r="H66" i="3"/>
  <c r="H67" i="3" s="1"/>
  <c r="G66" i="3"/>
  <c r="G67" i="3" s="1"/>
  <c r="F66" i="3"/>
  <c r="F67" i="3" s="1"/>
  <c r="E66" i="3"/>
  <c r="E67" i="3" s="1"/>
  <c r="D66" i="3"/>
  <c r="D67" i="3" s="1"/>
  <c r="I22" i="6"/>
  <c r="H22" i="6"/>
  <c r="G22" i="6"/>
  <c r="F22" i="6"/>
  <c r="E22" i="6"/>
  <c r="D22" i="6"/>
  <c r="I23" i="6"/>
  <c r="J19" i="6" s="1"/>
  <c r="H23" i="6"/>
  <c r="I19" i="6" s="1"/>
  <c r="G23" i="6"/>
  <c r="H19" i="6" s="1"/>
  <c r="F23" i="6"/>
  <c r="G19" i="6" s="1"/>
  <c r="E23" i="6"/>
  <c r="F19" i="6" s="1"/>
  <c r="D23" i="6"/>
  <c r="E19" i="6" s="1"/>
  <c r="D19" i="6"/>
  <c r="I12" i="6"/>
  <c r="H12" i="6"/>
  <c r="G12" i="6"/>
  <c r="F12" i="6"/>
  <c r="E12" i="6"/>
  <c r="D12" i="6"/>
  <c r="I13" i="6"/>
  <c r="J9" i="6" s="1"/>
  <c r="H13" i="6"/>
  <c r="I9" i="6" s="1"/>
  <c r="G13" i="6"/>
  <c r="H9" i="6" s="1"/>
  <c r="F13" i="6"/>
  <c r="G9" i="6" s="1"/>
  <c r="E13" i="6"/>
  <c r="F9" i="6" s="1"/>
  <c r="D13" i="6"/>
  <c r="E9" i="6" s="1"/>
  <c r="D9" i="6"/>
  <c r="H13" i="5"/>
  <c r="N34" i="3" s="1"/>
  <c r="N32" i="3" s="1"/>
  <c r="G13" i="5"/>
  <c r="M34" i="3" s="1"/>
  <c r="M32" i="3" s="1"/>
  <c r="F13" i="5"/>
  <c r="L34" i="3" s="1"/>
  <c r="L32" i="3" s="1"/>
  <c r="E13" i="5"/>
  <c r="K34" i="3" s="1"/>
  <c r="K32" i="3" s="1"/>
  <c r="D13" i="5"/>
  <c r="J34" i="3" s="1"/>
  <c r="J32" i="3" s="1"/>
  <c r="C11" i="5"/>
  <c r="D8" i="5" s="1"/>
  <c r="D11" i="5" s="1"/>
  <c r="E8" i="5" l="1"/>
  <c r="E11" i="5" s="1"/>
  <c r="F8" i="5" s="1"/>
  <c r="F11" i="5" s="1"/>
  <c r="G8" i="5" s="1"/>
  <c r="G11" i="5" s="1"/>
  <c r="H8" i="5" s="1"/>
  <c r="H11" i="5" s="1"/>
  <c r="H14" i="5" s="1"/>
  <c r="N42" i="3" s="1"/>
  <c r="N40" i="3" s="1"/>
  <c r="D14" i="5"/>
  <c r="U22" i="13"/>
  <c r="M24" i="13"/>
  <c r="J24" i="13"/>
  <c r="O21" i="13"/>
  <c r="W23" i="13"/>
  <c r="O22" i="13"/>
  <c r="O23" i="13"/>
  <c r="O24" i="13"/>
  <c r="V24" i="13"/>
  <c r="P22" i="13"/>
  <c r="Q24" i="13"/>
  <c r="L24" i="13"/>
  <c r="K23" i="13"/>
  <c r="W21" i="13"/>
  <c r="P24" i="13"/>
  <c r="P23" i="13"/>
  <c r="L23" i="13"/>
  <c r="M22" i="13"/>
  <c r="M21" i="13"/>
  <c r="V23" i="13"/>
  <c r="T22" i="13"/>
  <c r="M23" i="13"/>
  <c r="U24" i="13"/>
  <c r="U21" i="13"/>
  <c r="L21" i="13"/>
  <c r="L22" i="13"/>
  <c r="U23" i="13"/>
  <c r="V22" i="13"/>
  <c r="R23" i="13"/>
  <c r="T23" i="13"/>
  <c r="V21" i="13"/>
  <c r="J23" i="13"/>
  <c r="J22" i="13"/>
  <c r="W24" i="13"/>
  <c r="W22" i="13"/>
  <c r="K21" i="13"/>
  <c r="K22" i="13"/>
  <c r="R24" i="13"/>
  <c r="K24" i="13"/>
  <c r="J21" i="13"/>
  <c r="T21" i="13"/>
  <c r="T24" i="13"/>
  <c r="P21" i="13"/>
  <c r="R22" i="13"/>
  <c r="R21" i="13"/>
  <c r="Q21" i="13"/>
  <c r="Q22" i="13"/>
  <c r="Q23" i="13"/>
  <c r="I12" i="8"/>
  <c r="J71" i="3"/>
  <c r="H8" i="9"/>
  <c r="H10" i="9" s="1"/>
  <c r="D13" i="8"/>
  <c r="J67" i="3"/>
  <c r="J75" i="3"/>
  <c r="F17" i="5"/>
  <c r="L27" i="2" s="1"/>
  <c r="G11" i="6"/>
  <c r="G10" i="6" s="1"/>
  <c r="H11" i="6"/>
  <c r="H10" i="6" s="1"/>
  <c r="D21" i="6"/>
  <c r="D20" i="6" s="1"/>
  <c r="H17" i="5"/>
  <c r="N27" i="2" s="1"/>
  <c r="D17" i="5"/>
  <c r="J27" i="2" s="1"/>
  <c r="I11" i="6"/>
  <c r="G21" i="6"/>
  <c r="H21" i="6"/>
  <c r="H20" i="6" s="1"/>
  <c r="F11" i="6"/>
  <c r="I21" i="6"/>
  <c r="I26" i="6" s="1"/>
  <c r="E21" i="6"/>
  <c r="F21" i="6"/>
  <c r="E11" i="6"/>
  <c r="D11" i="6"/>
  <c r="J50" i="3"/>
  <c r="K50" i="3" s="1"/>
  <c r="L50" i="3" s="1"/>
  <c r="M50" i="3" s="1"/>
  <c r="N50" i="3" s="1"/>
  <c r="I57" i="3"/>
  <c r="H57" i="3"/>
  <c r="G57" i="3"/>
  <c r="F57" i="3"/>
  <c r="E57" i="3"/>
  <c r="D57" i="3"/>
  <c r="J55" i="3"/>
  <c r="K55" i="3" s="1"/>
  <c r="L55" i="3" s="1"/>
  <c r="M55" i="3" s="1"/>
  <c r="N55" i="3" s="1"/>
  <c r="J53" i="3"/>
  <c r="K53" i="3" s="1"/>
  <c r="L53" i="3" s="1"/>
  <c r="M53" i="3" s="1"/>
  <c r="N53" i="3" s="1"/>
  <c r="J52" i="3"/>
  <c r="K52" i="3" s="1"/>
  <c r="L52" i="3" s="1"/>
  <c r="J46" i="3"/>
  <c r="K46" i="3" s="1"/>
  <c r="L46" i="3" s="1"/>
  <c r="M46" i="3" s="1"/>
  <c r="N46" i="3" s="1"/>
  <c r="J45" i="3"/>
  <c r="K45" i="3" s="1"/>
  <c r="L45" i="3" s="1"/>
  <c r="K44" i="3"/>
  <c r="J44" i="3"/>
  <c r="J19" i="3"/>
  <c r="K19" i="3" s="1"/>
  <c r="L19" i="3" s="1"/>
  <c r="M19" i="3" s="1"/>
  <c r="N19" i="3" s="1"/>
  <c r="J20" i="3"/>
  <c r="K20" i="3" s="1"/>
  <c r="L20" i="3" s="1"/>
  <c r="M20" i="3" s="1"/>
  <c r="N20" i="3" s="1"/>
  <c r="J25" i="3"/>
  <c r="K25" i="3" s="1"/>
  <c r="L25" i="3" s="1"/>
  <c r="M25" i="3" s="1"/>
  <c r="N25" i="3" s="1"/>
  <c r="J24" i="3"/>
  <c r="K24" i="3" s="1"/>
  <c r="L24" i="3" s="1"/>
  <c r="M24" i="3" s="1"/>
  <c r="N24" i="3" s="1"/>
  <c r="J22" i="3"/>
  <c r="K22" i="3" s="1"/>
  <c r="L22" i="3" s="1"/>
  <c r="J13" i="3"/>
  <c r="K13" i="3" s="1"/>
  <c r="L13" i="3" s="1"/>
  <c r="M13" i="3" s="1"/>
  <c r="N13" i="3" s="1"/>
  <c r="I56" i="3"/>
  <c r="H56" i="3"/>
  <c r="G56" i="3"/>
  <c r="F56" i="3"/>
  <c r="E56" i="3"/>
  <c r="D56" i="3"/>
  <c r="G47" i="3"/>
  <c r="I47" i="3"/>
  <c r="H40" i="3"/>
  <c r="G40" i="3"/>
  <c r="F40" i="3"/>
  <c r="E40" i="3"/>
  <c r="E47" i="3" s="1"/>
  <c r="D40" i="3"/>
  <c r="D47" i="3" s="1"/>
  <c r="I32" i="3"/>
  <c r="H32" i="3"/>
  <c r="H37" i="3" s="1"/>
  <c r="G32" i="3"/>
  <c r="G37" i="3" s="1"/>
  <c r="F32" i="3"/>
  <c r="F37" i="3" s="1"/>
  <c r="E32" i="3"/>
  <c r="E37" i="3" s="1"/>
  <c r="D32" i="3"/>
  <c r="D37" i="3" s="1"/>
  <c r="D26" i="3"/>
  <c r="E26" i="3"/>
  <c r="F26" i="3"/>
  <c r="G26" i="3"/>
  <c r="H26" i="3"/>
  <c r="I26" i="3"/>
  <c r="D16" i="3"/>
  <c r="E16" i="3"/>
  <c r="F16" i="3"/>
  <c r="G16" i="3"/>
  <c r="H16" i="3"/>
  <c r="I16" i="3"/>
  <c r="B43" i="2"/>
  <c r="B42" i="2"/>
  <c r="B41" i="2"/>
  <c r="B40" i="2"/>
  <c r="B39" i="2"/>
  <c r="I24" i="2"/>
  <c r="I18" i="2" s="1"/>
  <c r="H24" i="2"/>
  <c r="H18" i="2" s="1"/>
  <c r="G24" i="2"/>
  <c r="G18" i="2" s="1"/>
  <c r="F24" i="2"/>
  <c r="E24" i="2"/>
  <c r="E18" i="2" s="1"/>
  <c r="D24" i="2"/>
  <c r="D18" i="2" s="1"/>
  <c r="F18" i="2"/>
  <c r="I32" i="1"/>
  <c r="I9" i="2" s="1"/>
  <c r="H32" i="1"/>
  <c r="H9" i="2" s="1"/>
  <c r="G32" i="1"/>
  <c r="G9" i="2" s="1"/>
  <c r="F32" i="1"/>
  <c r="F9" i="2" s="1"/>
  <c r="E32" i="1"/>
  <c r="E9" i="2" s="1"/>
  <c r="D32" i="1"/>
  <c r="N7" i="2"/>
  <c r="N7" i="3" s="1"/>
  <c r="N7" i="6" s="1"/>
  <c r="M7" i="2"/>
  <c r="L7" i="2"/>
  <c r="K7" i="2"/>
  <c r="K7" i="3" s="1"/>
  <c r="K7" i="6" s="1"/>
  <c r="J7" i="2"/>
  <c r="J7" i="3" s="1"/>
  <c r="I7" i="2"/>
  <c r="I7" i="3" s="1"/>
  <c r="I7" i="6" s="1"/>
  <c r="I7" i="21" s="1"/>
  <c r="H7" i="2"/>
  <c r="H7" i="3" s="1"/>
  <c r="H7" i="6" s="1"/>
  <c r="H7" i="21" s="1"/>
  <c r="G7" i="2"/>
  <c r="G7" i="3" s="1"/>
  <c r="G7" i="6" s="1"/>
  <c r="G7" i="21" s="1"/>
  <c r="F7" i="2"/>
  <c r="F7" i="3" s="1"/>
  <c r="F7" i="6" s="1"/>
  <c r="F7" i="21" s="1"/>
  <c r="E7" i="2"/>
  <c r="E7" i="3" s="1"/>
  <c r="E7" i="6" s="1"/>
  <c r="E7" i="21" s="1"/>
  <c r="D7" i="2"/>
  <c r="D7" i="3" s="1"/>
  <c r="D7" i="6" s="1"/>
  <c r="D7" i="21" s="1"/>
  <c r="N5" i="2"/>
  <c r="N5" i="3" s="1"/>
  <c r="N5" i="6" s="1"/>
  <c r="M5" i="2"/>
  <c r="M5" i="3" s="1"/>
  <c r="L5" i="2"/>
  <c r="K5" i="2"/>
  <c r="J5" i="2"/>
  <c r="J5" i="3" s="1"/>
  <c r="J5" i="6" s="1"/>
  <c r="I5" i="2"/>
  <c r="I5" i="3" s="1"/>
  <c r="I5" i="6" s="1"/>
  <c r="I5" i="21" s="1"/>
  <c r="H5" i="2"/>
  <c r="H5" i="3" s="1"/>
  <c r="H5" i="6" s="1"/>
  <c r="H5" i="21" s="1"/>
  <c r="G5" i="2"/>
  <c r="G5" i="3" s="1"/>
  <c r="G5" i="6" s="1"/>
  <c r="G5" i="21" s="1"/>
  <c r="F5" i="2"/>
  <c r="F5" i="3" s="1"/>
  <c r="F5" i="6" s="1"/>
  <c r="F5" i="21" s="1"/>
  <c r="E5" i="2"/>
  <c r="E5" i="3" s="1"/>
  <c r="E5" i="6" s="1"/>
  <c r="E5" i="21" s="1"/>
  <c r="D5" i="2"/>
  <c r="D5" i="3" s="1"/>
  <c r="D5" i="6" s="1"/>
  <c r="D5" i="21" s="1"/>
  <c r="J18" i="1"/>
  <c r="K18" i="1" s="1"/>
  <c r="L18" i="1" s="1"/>
  <c r="M18" i="1" s="1"/>
  <c r="N18" i="1" s="1"/>
  <c r="I30" i="1"/>
  <c r="H30" i="1"/>
  <c r="G30" i="1"/>
  <c r="F30" i="1"/>
  <c r="E30" i="1"/>
  <c r="I27" i="1"/>
  <c r="H27" i="1"/>
  <c r="G27" i="1"/>
  <c r="F27" i="1"/>
  <c r="E27" i="1"/>
  <c r="I24" i="1"/>
  <c r="H24" i="1"/>
  <c r="G24" i="1"/>
  <c r="F24" i="1"/>
  <c r="E24" i="1"/>
  <c r="I16" i="1"/>
  <c r="H16" i="1"/>
  <c r="G16" i="1"/>
  <c r="F16" i="1"/>
  <c r="E16" i="1"/>
  <c r="I13" i="1"/>
  <c r="H13" i="1"/>
  <c r="G13" i="1"/>
  <c r="F13" i="1"/>
  <c r="E13" i="1"/>
  <c r="I10" i="1"/>
  <c r="H10" i="1"/>
  <c r="G10" i="1"/>
  <c r="F10" i="1"/>
  <c r="E10" i="1"/>
  <c r="I21" i="1"/>
  <c r="I34" i="1" s="1"/>
  <c r="H21" i="1"/>
  <c r="H8" i="2" s="1"/>
  <c r="G21" i="1"/>
  <c r="G8" i="2" s="1"/>
  <c r="F21" i="1"/>
  <c r="F8" i="2" s="1"/>
  <c r="E21" i="1"/>
  <c r="E8" i="2" s="1"/>
  <c r="D21" i="1"/>
  <c r="D8" i="2" s="1"/>
  <c r="N6" i="1"/>
  <c r="N6" i="2" s="1"/>
  <c r="N6" i="3" s="1"/>
  <c r="N6" i="6" s="1"/>
  <c r="M6" i="1"/>
  <c r="M6" i="2" s="1"/>
  <c r="M6" i="3" s="1"/>
  <c r="L6" i="1"/>
  <c r="L6" i="2" s="1"/>
  <c r="L6" i="3" s="1"/>
  <c r="L6" i="6" s="1"/>
  <c r="K6" i="1"/>
  <c r="K6" i="2" s="1"/>
  <c r="J6" i="1"/>
  <c r="J6" i="2" s="1"/>
  <c r="J6" i="3" s="1"/>
  <c r="I6" i="1"/>
  <c r="I6" i="2" s="1"/>
  <c r="I6" i="3" s="1"/>
  <c r="I6" i="6" s="1"/>
  <c r="I6" i="21" s="1"/>
  <c r="H6" i="1"/>
  <c r="H6" i="2" s="1"/>
  <c r="H6" i="3" s="1"/>
  <c r="H6" i="6" s="1"/>
  <c r="H6" i="21" s="1"/>
  <c r="G6" i="1"/>
  <c r="G6" i="2" s="1"/>
  <c r="G6" i="3" s="1"/>
  <c r="G6" i="6" s="1"/>
  <c r="G6" i="21" s="1"/>
  <c r="F6" i="1"/>
  <c r="F6" i="2" s="1"/>
  <c r="F6" i="3" s="1"/>
  <c r="F6" i="6" s="1"/>
  <c r="F6" i="21" s="1"/>
  <c r="E6" i="1"/>
  <c r="E6" i="2" s="1"/>
  <c r="E6" i="3" s="1"/>
  <c r="E6" i="6" s="1"/>
  <c r="E6" i="21" s="1"/>
  <c r="D6" i="1"/>
  <c r="D6" i="2" s="1"/>
  <c r="D6" i="3" s="1"/>
  <c r="D6" i="6" s="1"/>
  <c r="D6" i="21" s="1"/>
  <c r="F14" i="5" l="1"/>
  <c r="L42" i="3" s="1"/>
  <c r="L40" i="3" s="1"/>
  <c r="G14" i="5"/>
  <c r="M42" i="3" s="1"/>
  <c r="M40" i="3" s="1"/>
  <c r="E17" i="5"/>
  <c r="K27" i="2" s="1"/>
  <c r="G17" i="5"/>
  <c r="M27" i="2" s="1"/>
  <c r="E14" i="5"/>
  <c r="K42" i="3" s="1"/>
  <c r="K40" i="3" s="1"/>
  <c r="E7" i="11"/>
  <c r="G7" i="11" s="1"/>
  <c r="N7" i="11" s="1"/>
  <c r="Q7" i="11" s="1"/>
  <c r="F27" i="11"/>
  <c r="R27" i="11" s="1"/>
  <c r="E8" i="11"/>
  <c r="G8" i="11" s="1"/>
  <c r="N8" i="11" s="1"/>
  <c r="Q8" i="11" s="1"/>
  <c r="F13" i="11"/>
  <c r="H13" i="11" s="1"/>
  <c r="O13" i="11" s="1"/>
  <c r="R13" i="11" s="1"/>
  <c r="E14" i="11"/>
  <c r="F8" i="11"/>
  <c r="H8" i="11" s="1"/>
  <c r="O8" i="11" s="1"/>
  <c r="R8" i="11" s="1"/>
  <c r="E15" i="11"/>
  <c r="F28" i="11"/>
  <c r="R28" i="11" s="1"/>
  <c r="E9" i="11"/>
  <c r="G9" i="11" s="1"/>
  <c r="N9" i="11" s="1"/>
  <c r="Q9" i="11" s="1"/>
  <c r="E21" i="11"/>
  <c r="G21" i="11" s="1"/>
  <c r="N21" i="11" s="1"/>
  <c r="Q21" i="11" s="1"/>
  <c r="E20" i="11"/>
  <c r="G20" i="11" s="1"/>
  <c r="N20" i="11" s="1"/>
  <c r="Q20" i="11" s="1"/>
  <c r="E19" i="11"/>
  <c r="G19" i="11" s="1"/>
  <c r="N19" i="11" s="1"/>
  <c r="Q19" i="11" s="1"/>
  <c r="E29" i="11"/>
  <c r="Q29" i="11" s="1"/>
  <c r="F15" i="11"/>
  <c r="F29" i="11"/>
  <c r="R29" i="11" s="1"/>
  <c r="E27" i="11"/>
  <c r="Q27" i="11" s="1"/>
  <c r="F21" i="11"/>
  <c r="H21" i="11" s="1"/>
  <c r="O21" i="11" s="1"/>
  <c r="R21" i="11" s="1"/>
  <c r="F19" i="11"/>
  <c r="H19" i="11" s="1"/>
  <c r="O19" i="11" s="1"/>
  <c r="R19" i="11" s="1"/>
  <c r="F9" i="11"/>
  <c r="H9" i="11" s="1"/>
  <c r="O9" i="11" s="1"/>
  <c r="R9" i="11" s="1"/>
  <c r="E13" i="11"/>
  <c r="G13" i="11" s="1"/>
  <c r="N13" i="11" s="1"/>
  <c r="Q13" i="11" s="1"/>
  <c r="E28" i="11"/>
  <c r="Q28" i="11" s="1"/>
  <c r="F20" i="11"/>
  <c r="H20" i="11" s="1"/>
  <c r="O20" i="11" s="1"/>
  <c r="R20" i="11" s="1"/>
  <c r="F7" i="11"/>
  <c r="H7" i="11" s="1"/>
  <c r="O7" i="11" s="1"/>
  <c r="R7" i="11" s="1"/>
  <c r="F14" i="11"/>
  <c r="E10" i="2"/>
  <c r="E40" i="2" s="1"/>
  <c r="H58" i="3"/>
  <c r="G48" i="3"/>
  <c r="K47" i="3"/>
  <c r="L44" i="3"/>
  <c r="M44" i="3" s="1"/>
  <c r="N44" i="3" s="1"/>
  <c r="H47" i="3"/>
  <c r="H48" i="3" s="1"/>
  <c r="H59" i="3" s="1"/>
  <c r="H61" i="3" s="1"/>
  <c r="D48" i="3"/>
  <c r="F58" i="3"/>
  <c r="E13" i="8"/>
  <c r="H13" i="8" s="1"/>
  <c r="J13" i="8" s="1"/>
  <c r="D34" i="1"/>
  <c r="I8" i="2"/>
  <c r="I10" i="2" s="1"/>
  <c r="I25" i="6" s="1"/>
  <c r="F34" i="1"/>
  <c r="E34" i="1"/>
  <c r="G34" i="1"/>
  <c r="H34" i="1"/>
  <c r="F10" i="2"/>
  <c r="F41" i="2" s="1"/>
  <c r="D9" i="2"/>
  <c r="D10" i="2" s="1"/>
  <c r="M7" i="3"/>
  <c r="M7" i="6" s="1"/>
  <c r="G10" i="2"/>
  <c r="G15" i="6" s="1"/>
  <c r="L7" i="3"/>
  <c r="F7" i="4" s="1"/>
  <c r="F7" i="5" s="1"/>
  <c r="F7" i="10" s="1"/>
  <c r="L5" i="3"/>
  <c r="L5" i="6" s="1"/>
  <c r="K6" i="3"/>
  <c r="K6" i="6" s="1"/>
  <c r="K5" i="3"/>
  <c r="E5" i="4" s="1"/>
  <c r="E5" i="5" s="1"/>
  <c r="E5" i="10" s="1"/>
  <c r="I58" i="3"/>
  <c r="D37" i="10"/>
  <c r="F37" i="10"/>
  <c r="I37" i="3"/>
  <c r="F35" i="10"/>
  <c r="F36" i="10" s="1"/>
  <c r="D35" i="10"/>
  <c r="D36" i="10" s="1"/>
  <c r="D49" i="10" s="1"/>
  <c r="D50" i="10" s="1"/>
  <c r="H14" i="9" s="1"/>
  <c r="D16" i="9"/>
  <c r="D12" i="9" s="1"/>
  <c r="F47" i="3"/>
  <c r="F48" i="3" s="1"/>
  <c r="F59" i="3" s="1"/>
  <c r="E58" i="3"/>
  <c r="D27" i="3"/>
  <c r="E48" i="3"/>
  <c r="G58" i="3"/>
  <c r="G16" i="6"/>
  <c r="J6" i="6"/>
  <c r="D6" i="4"/>
  <c r="D6" i="5" s="1"/>
  <c r="D6" i="10" s="1"/>
  <c r="M6" i="6"/>
  <c r="G6" i="4"/>
  <c r="G6" i="5" s="1"/>
  <c r="G6" i="10" s="1"/>
  <c r="J7" i="6"/>
  <c r="D7" i="4"/>
  <c r="D7" i="5" s="1"/>
  <c r="D7" i="10" s="1"/>
  <c r="M5" i="6"/>
  <c r="G5" i="4"/>
  <c r="G5" i="5" s="1"/>
  <c r="G5" i="10" s="1"/>
  <c r="H10" i="2"/>
  <c r="H25" i="6" s="1"/>
  <c r="I48" i="3"/>
  <c r="I10" i="6"/>
  <c r="I16" i="6"/>
  <c r="D26" i="6"/>
  <c r="H16" i="6"/>
  <c r="E20" i="6"/>
  <c r="E26" i="6"/>
  <c r="H5" i="4"/>
  <c r="H5" i="5" s="1"/>
  <c r="H5" i="10" s="1"/>
  <c r="E7" i="4"/>
  <c r="E7" i="5" s="1"/>
  <c r="E7" i="10" s="1"/>
  <c r="G20" i="6"/>
  <c r="G26" i="6"/>
  <c r="H26" i="6"/>
  <c r="H7" i="4"/>
  <c r="H7" i="5" s="1"/>
  <c r="H7" i="10" s="1"/>
  <c r="F6" i="4"/>
  <c r="F6" i="5" s="1"/>
  <c r="F6" i="10" s="1"/>
  <c r="I20" i="6"/>
  <c r="D5" i="4"/>
  <c r="D5" i="5" s="1"/>
  <c r="D5" i="10" s="1"/>
  <c r="H6" i="4"/>
  <c r="H6" i="5" s="1"/>
  <c r="H6" i="10" s="1"/>
  <c r="F20" i="6"/>
  <c r="F26" i="6"/>
  <c r="F10" i="6"/>
  <c r="F16" i="6"/>
  <c r="E10" i="6"/>
  <c r="E16" i="6"/>
  <c r="D10" i="6"/>
  <c r="D16" i="6"/>
  <c r="D58" i="3"/>
  <c r="D59" i="3" s="1"/>
  <c r="D61" i="3" s="1"/>
  <c r="M52" i="3"/>
  <c r="M45" i="3"/>
  <c r="N45" i="3" s="1"/>
  <c r="M22" i="3"/>
  <c r="G27" i="3"/>
  <c r="E27" i="3"/>
  <c r="H27" i="3"/>
  <c r="F27" i="3"/>
  <c r="I27" i="3"/>
  <c r="G35" i="1"/>
  <c r="J13" i="1"/>
  <c r="J12" i="1" s="1"/>
  <c r="K12" i="1" s="1"/>
  <c r="L12" i="1" s="1"/>
  <c r="M12" i="1" s="1"/>
  <c r="N12" i="1" s="1"/>
  <c r="J27" i="1"/>
  <c r="J26" i="1" s="1"/>
  <c r="K26" i="1" s="1"/>
  <c r="L26" i="1" s="1"/>
  <c r="M26" i="1" s="1"/>
  <c r="N26" i="1" s="1"/>
  <c r="I35" i="1"/>
  <c r="J10" i="1"/>
  <c r="J9" i="1" s="1"/>
  <c r="J16" i="1"/>
  <c r="J15" i="1" s="1"/>
  <c r="K15" i="1" s="1"/>
  <c r="L15" i="1" s="1"/>
  <c r="M15" i="1" s="1"/>
  <c r="N15" i="1" s="1"/>
  <c r="J30" i="1"/>
  <c r="J29" i="1" s="1"/>
  <c r="K29" i="1" s="1"/>
  <c r="L29" i="1" s="1"/>
  <c r="M29" i="1" s="1"/>
  <c r="N29" i="1" s="1"/>
  <c r="J24" i="1"/>
  <c r="J23" i="1" s="1"/>
  <c r="F35" i="1"/>
  <c r="H35" i="1"/>
  <c r="G15" i="11" l="1"/>
  <c r="N15" i="11" s="1"/>
  <c r="Q15" i="11" s="1"/>
  <c r="D11" i="19" s="1"/>
  <c r="G11" i="19"/>
  <c r="H14" i="11"/>
  <c r="O14" i="11" s="1"/>
  <c r="R14" i="11" s="1"/>
  <c r="F10" i="19" s="1"/>
  <c r="H10" i="19"/>
  <c r="H15" i="11"/>
  <c r="O15" i="11" s="1"/>
  <c r="R15" i="11" s="1"/>
  <c r="F11" i="19" s="1"/>
  <c r="H11" i="19"/>
  <c r="G14" i="11"/>
  <c r="N14" i="11" s="1"/>
  <c r="Q14" i="11" s="1"/>
  <c r="D10" i="19" s="1"/>
  <c r="G10" i="19"/>
  <c r="Q10" i="11"/>
  <c r="Q22" i="11"/>
  <c r="R30" i="11"/>
  <c r="R22" i="11"/>
  <c r="Q30" i="11"/>
  <c r="R10" i="11"/>
  <c r="E15" i="6"/>
  <c r="F5" i="4"/>
  <c r="F5" i="5" s="1"/>
  <c r="F5" i="10" s="1"/>
  <c r="E35" i="1"/>
  <c r="E6" i="4"/>
  <c r="E6" i="5" s="1"/>
  <c r="E6" i="10" s="1"/>
  <c r="G13" i="2"/>
  <c r="G14" i="2" s="1"/>
  <c r="F13" i="2"/>
  <c r="F14" i="2" s="1"/>
  <c r="E13" i="2"/>
  <c r="E14" i="2" s="1"/>
  <c r="E41" i="2"/>
  <c r="F15" i="6"/>
  <c r="E25" i="6"/>
  <c r="E39" i="2"/>
  <c r="I59" i="3"/>
  <c r="F61" i="3"/>
  <c r="G59" i="3"/>
  <c r="G7" i="4"/>
  <c r="G7" i="5" s="1"/>
  <c r="G7" i="10" s="1"/>
  <c r="N47" i="3"/>
  <c r="E59" i="3"/>
  <c r="L47" i="3"/>
  <c r="I13" i="8"/>
  <c r="D40" i="2"/>
  <c r="D39" i="2"/>
  <c r="D15" i="6"/>
  <c r="I15" i="6"/>
  <c r="K23" i="1"/>
  <c r="J32" i="1"/>
  <c r="J9" i="2" s="1"/>
  <c r="F25" i="6"/>
  <c r="F39" i="2"/>
  <c r="F40" i="2"/>
  <c r="D25" i="6"/>
  <c r="G39" i="2"/>
  <c r="K5" i="6"/>
  <c r="L7" i="6"/>
  <c r="F19" i="2"/>
  <c r="F25" i="2" s="1"/>
  <c r="F30" i="2" s="1"/>
  <c r="F33" i="2" s="1"/>
  <c r="G40" i="2"/>
  <c r="D13" i="2"/>
  <c r="D14" i="2" s="1"/>
  <c r="D41" i="2"/>
  <c r="G25" i="6"/>
  <c r="G41" i="2"/>
  <c r="J26" i="6"/>
  <c r="G61" i="3"/>
  <c r="D51" i="10"/>
  <c r="H15" i="9" s="1"/>
  <c r="H12" i="9" s="1"/>
  <c r="I61" i="3"/>
  <c r="I13" i="2"/>
  <c r="I39" i="2"/>
  <c r="I40" i="2"/>
  <c r="I41" i="2"/>
  <c r="G19" i="2"/>
  <c r="H41" i="2"/>
  <c r="H13" i="2"/>
  <c r="H15" i="6"/>
  <c r="H39" i="2"/>
  <c r="H40" i="2"/>
  <c r="E61" i="3"/>
  <c r="J16" i="6"/>
  <c r="N52" i="3"/>
  <c r="M47" i="3"/>
  <c r="N22" i="3"/>
  <c r="J21" i="1"/>
  <c r="K9" i="1"/>
  <c r="L9" i="1" s="1"/>
  <c r="M9" i="1" s="1"/>
  <c r="N9" i="1" s="1"/>
  <c r="D15" i="19" l="1"/>
  <c r="F15" i="19"/>
  <c r="E11" i="19"/>
  <c r="R16" i="11"/>
  <c r="E10" i="19"/>
  <c r="Q16" i="11"/>
  <c r="E19" i="2"/>
  <c r="E20" i="2" s="1"/>
  <c r="F20" i="2"/>
  <c r="J40" i="2"/>
  <c r="D19" i="2"/>
  <c r="D20" i="2" s="1"/>
  <c r="J39" i="2"/>
  <c r="L23" i="1"/>
  <c r="K32" i="1"/>
  <c r="K9" i="2" s="1"/>
  <c r="J8" i="2"/>
  <c r="J10" i="2" s="1"/>
  <c r="J34" i="1"/>
  <c r="J35" i="1" s="1"/>
  <c r="J41" i="2"/>
  <c r="J79" i="3"/>
  <c r="J77" i="3"/>
  <c r="H14" i="2"/>
  <c r="H19" i="2"/>
  <c r="F42" i="2"/>
  <c r="G20" i="2"/>
  <c r="G25" i="2"/>
  <c r="G30" i="2" s="1"/>
  <c r="G33" i="2" s="1"/>
  <c r="I14" i="2"/>
  <c r="I19" i="2"/>
  <c r="K21" i="1"/>
  <c r="L21" i="1"/>
  <c r="E15" i="19" l="1"/>
  <c r="L15" i="3"/>
  <c r="K15" i="3"/>
  <c r="J15" i="3"/>
  <c r="N15" i="3"/>
  <c r="M15" i="3"/>
  <c r="E25" i="2"/>
  <c r="E30" i="2" s="1"/>
  <c r="E33" i="2" s="1"/>
  <c r="D25" i="2"/>
  <c r="D30" i="2" s="1"/>
  <c r="D33" i="2" s="1"/>
  <c r="J11" i="6"/>
  <c r="L8" i="2"/>
  <c r="K34" i="1"/>
  <c r="K35" i="1" s="1"/>
  <c r="K8" i="2"/>
  <c r="K10" i="2" s="1"/>
  <c r="J36" i="3"/>
  <c r="D17" i="4" s="1"/>
  <c r="J21" i="6"/>
  <c r="J22" i="6" s="1"/>
  <c r="J22" i="2" s="1"/>
  <c r="J12" i="2"/>
  <c r="J13" i="2" s="1"/>
  <c r="J14" i="2" s="1"/>
  <c r="D15" i="4"/>
  <c r="J16" i="2"/>
  <c r="J17" i="2"/>
  <c r="M23" i="1"/>
  <c r="L32" i="1"/>
  <c r="I20" i="2"/>
  <c r="I25" i="2"/>
  <c r="I30" i="2" s="1"/>
  <c r="I33" i="2" s="1"/>
  <c r="E42" i="2"/>
  <c r="F35" i="2"/>
  <c r="F43" i="2"/>
  <c r="G42" i="2"/>
  <c r="H20" i="2"/>
  <c r="H25" i="2"/>
  <c r="H30" i="2" s="1"/>
  <c r="H33" i="2" s="1"/>
  <c r="M21" i="1"/>
  <c r="N21" i="1"/>
  <c r="N8" i="2" s="1"/>
  <c r="J12" i="6" l="1"/>
  <c r="J23" i="2" s="1"/>
  <c r="J24" i="2" s="1"/>
  <c r="D12" i="10" s="1"/>
  <c r="J12" i="3"/>
  <c r="D13" i="4" s="1"/>
  <c r="J31" i="3"/>
  <c r="D16" i="4" s="1"/>
  <c r="J14" i="3"/>
  <c r="D14" i="4" s="1"/>
  <c r="J10" i="6"/>
  <c r="E15" i="4"/>
  <c r="J20" i="6"/>
  <c r="L34" i="1"/>
  <c r="L35" i="1" s="1"/>
  <c r="L9" i="2"/>
  <c r="L10" i="2" s="1"/>
  <c r="N23" i="1"/>
  <c r="N32" i="1" s="1"/>
  <c r="M32" i="1"/>
  <c r="M9" i="2" s="1"/>
  <c r="K16" i="2"/>
  <c r="K21" i="6"/>
  <c r="K22" i="6" s="1"/>
  <c r="K22" i="2" s="1"/>
  <c r="K12" i="2"/>
  <c r="K13" i="2" s="1"/>
  <c r="K14" i="2" s="1"/>
  <c r="K36" i="3"/>
  <c r="E17" i="4" s="1"/>
  <c r="K11" i="6"/>
  <c r="K17" i="2"/>
  <c r="M8" i="2"/>
  <c r="J23" i="6"/>
  <c r="K19" i="6" s="1"/>
  <c r="G43" i="2"/>
  <c r="G35" i="2"/>
  <c r="F36" i="2"/>
  <c r="F46" i="2"/>
  <c r="F49" i="2" s="1"/>
  <c r="I42" i="2"/>
  <c r="H42" i="2"/>
  <c r="E35" i="2"/>
  <c r="E43" i="2"/>
  <c r="D35" i="2"/>
  <c r="D43" i="2"/>
  <c r="J13" i="6" l="1"/>
  <c r="J37" i="3"/>
  <c r="D22" i="4"/>
  <c r="D24" i="4" s="1"/>
  <c r="J18" i="2"/>
  <c r="J19" i="2" s="1"/>
  <c r="J25" i="2" s="1"/>
  <c r="D10" i="4"/>
  <c r="J23" i="3"/>
  <c r="K23" i="6"/>
  <c r="L19" i="6" s="1"/>
  <c r="K20" i="6"/>
  <c r="L16" i="2"/>
  <c r="L21" i="6"/>
  <c r="L12" i="2"/>
  <c r="L13" i="2" s="1"/>
  <c r="L14" i="2" s="1"/>
  <c r="L11" i="6"/>
  <c r="L17" i="2"/>
  <c r="F15" i="4"/>
  <c r="L36" i="3"/>
  <c r="F17" i="4" s="1"/>
  <c r="M34" i="1"/>
  <c r="M35" i="1" s="1"/>
  <c r="M10" i="2"/>
  <c r="N34" i="1"/>
  <c r="N9" i="2"/>
  <c r="N10" i="2" s="1"/>
  <c r="K12" i="6"/>
  <c r="K23" i="2" s="1"/>
  <c r="K24" i="2" s="1"/>
  <c r="K12" i="3"/>
  <c r="E13" i="4" s="1"/>
  <c r="K31" i="3"/>
  <c r="K14" i="3"/>
  <c r="E14" i="4" s="1"/>
  <c r="J42" i="2"/>
  <c r="D13" i="10"/>
  <c r="D46" i="2"/>
  <c r="D49" i="2" s="1"/>
  <c r="D36" i="2"/>
  <c r="H43" i="2"/>
  <c r="H35" i="2"/>
  <c r="I43" i="2"/>
  <c r="I35" i="2"/>
  <c r="E36" i="2"/>
  <c r="E46" i="2"/>
  <c r="E49" i="2" s="1"/>
  <c r="G46" i="2"/>
  <c r="G49" i="2" s="1"/>
  <c r="G36" i="2"/>
  <c r="J20" i="2" l="1"/>
  <c r="L20" i="6"/>
  <c r="D14" i="10"/>
  <c r="K23" i="3"/>
  <c r="E12" i="10"/>
  <c r="K18" i="2"/>
  <c r="K19" i="2" s="1"/>
  <c r="E10" i="4"/>
  <c r="N17" i="2"/>
  <c r="N12" i="2"/>
  <c r="N13" i="2" s="1"/>
  <c r="N14" i="2" s="1"/>
  <c r="N21" i="6"/>
  <c r="N16" i="2"/>
  <c r="N11" i="6"/>
  <c r="N36" i="3"/>
  <c r="N35" i="1"/>
  <c r="E16" i="4"/>
  <c r="E13" i="10" s="1"/>
  <c r="K37" i="3"/>
  <c r="K48" i="3" s="1"/>
  <c r="L12" i="6"/>
  <c r="L23" i="2" s="1"/>
  <c r="M21" i="6"/>
  <c r="M12" i="2"/>
  <c r="M17" i="2"/>
  <c r="M11" i="6"/>
  <c r="M16" i="2"/>
  <c r="G15" i="4"/>
  <c r="M36" i="3"/>
  <c r="G17" i="4" s="1"/>
  <c r="L12" i="3"/>
  <c r="F13" i="4" s="1"/>
  <c r="L14" i="3"/>
  <c r="F14" i="4" s="1"/>
  <c r="L31" i="3"/>
  <c r="K13" i="6"/>
  <c r="L22" i="6"/>
  <c r="L22" i="2" s="1"/>
  <c r="G10" i="10"/>
  <c r="E10" i="10"/>
  <c r="F10" i="10"/>
  <c r="D10" i="10"/>
  <c r="D17" i="10" s="1"/>
  <c r="Q33" i="10" s="1"/>
  <c r="Q34" i="10" s="1"/>
  <c r="Q35" i="10" s="1"/>
  <c r="Q36" i="10" s="1"/>
  <c r="Q37" i="10" s="1"/>
  <c r="Q38" i="10" s="1"/>
  <c r="H10" i="10"/>
  <c r="J30" i="2"/>
  <c r="J32" i="2" s="1"/>
  <c r="J33" i="2" s="1"/>
  <c r="D9" i="4" s="1"/>
  <c r="D9" i="10"/>
  <c r="J43" i="2"/>
  <c r="I46" i="2"/>
  <c r="I49" i="2" s="1"/>
  <c r="I36" i="2"/>
  <c r="H46" i="2"/>
  <c r="H49" i="2" s="1"/>
  <c r="H36" i="2"/>
  <c r="I33" i="10" l="1"/>
  <c r="I34" i="10" s="1"/>
  <c r="L13" i="6"/>
  <c r="M9" i="6" s="1"/>
  <c r="M10" i="6" s="1"/>
  <c r="L24" i="2"/>
  <c r="F12" i="10" s="1"/>
  <c r="L23" i="6"/>
  <c r="L23" i="3" s="1"/>
  <c r="N22" i="6"/>
  <c r="N22" i="2" s="1"/>
  <c r="K21" i="3"/>
  <c r="K26" i="3" s="1"/>
  <c r="L9" i="6"/>
  <c r="L10" i="6" s="1"/>
  <c r="F22" i="4" s="1"/>
  <c r="M22" i="6"/>
  <c r="M22" i="2" s="1"/>
  <c r="H15" i="4"/>
  <c r="M12" i="6"/>
  <c r="M23" i="2" s="1"/>
  <c r="N14" i="3"/>
  <c r="N31" i="3"/>
  <c r="N12" i="3"/>
  <c r="F16" i="4"/>
  <c r="F13" i="10" s="1"/>
  <c r="L37" i="3"/>
  <c r="L48" i="3" s="1"/>
  <c r="M12" i="3"/>
  <c r="G13" i="4" s="1"/>
  <c r="M14" i="3"/>
  <c r="G14" i="4" s="1"/>
  <c r="M31" i="3"/>
  <c r="H17" i="4"/>
  <c r="K25" i="2"/>
  <c r="K20" i="2"/>
  <c r="M13" i="2"/>
  <c r="M14" i="2" s="1"/>
  <c r="N12" i="6"/>
  <c r="N23" i="2" s="1"/>
  <c r="G21" i="10"/>
  <c r="D21" i="10"/>
  <c r="F21" i="10"/>
  <c r="H21" i="10"/>
  <c r="E21" i="10"/>
  <c r="D11" i="10"/>
  <c r="D15" i="10" s="1"/>
  <c r="J34" i="2"/>
  <c r="J57" i="3" s="1"/>
  <c r="I35" i="10" l="1"/>
  <c r="I36" i="10" s="1"/>
  <c r="I37" i="10" s="1"/>
  <c r="I38" i="10" s="1"/>
  <c r="G8" i="19"/>
  <c r="F10" i="4"/>
  <c r="L18" i="2"/>
  <c r="L19" i="2" s="1"/>
  <c r="L20" i="2" s="1"/>
  <c r="H14" i="4"/>
  <c r="N23" i="6"/>
  <c r="N23" i="3" s="1"/>
  <c r="H13" i="4"/>
  <c r="L21" i="3"/>
  <c r="L26" i="3" s="1"/>
  <c r="M19" i="6"/>
  <c r="M20" i="6" s="1"/>
  <c r="G22" i="4" s="1"/>
  <c r="M13" i="6"/>
  <c r="N9" i="6" s="1"/>
  <c r="N10" i="6" s="1"/>
  <c r="N13" i="6"/>
  <c r="N21" i="3" s="1"/>
  <c r="M24" i="2"/>
  <c r="G10" i="4" s="1"/>
  <c r="D22" i="10"/>
  <c r="G16" i="4"/>
  <c r="G13" i="10" s="1"/>
  <c r="M37" i="3"/>
  <c r="M48" i="3" s="1"/>
  <c r="F24" i="4"/>
  <c r="F14" i="10"/>
  <c r="K30" i="2"/>
  <c r="K32" i="2" s="1"/>
  <c r="K33" i="2" s="1"/>
  <c r="E9" i="10"/>
  <c r="E11" i="10" s="1"/>
  <c r="N24" i="2"/>
  <c r="H16" i="4"/>
  <c r="N37" i="3"/>
  <c r="N48" i="3" s="1"/>
  <c r="M23" i="6"/>
  <c r="D20" i="10"/>
  <c r="D19" i="4"/>
  <c r="J46" i="2" l="1"/>
  <c r="J48" i="2" s="1"/>
  <c r="J47" i="2" s="1"/>
  <c r="D27" i="4" s="1"/>
  <c r="D33" i="4" s="1"/>
  <c r="D35" i="4" s="1"/>
  <c r="L25" i="2"/>
  <c r="L30" i="2" s="1"/>
  <c r="H13" i="10"/>
  <c r="N26" i="3"/>
  <c r="M18" i="2"/>
  <c r="M19" i="2" s="1"/>
  <c r="M25" i="2" s="1"/>
  <c r="M21" i="3"/>
  <c r="G12" i="10"/>
  <c r="N19" i="6"/>
  <c r="N20" i="6" s="1"/>
  <c r="H22" i="4" s="1"/>
  <c r="M23" i="3"/>
  <c r="H10" i="4"/>
  <c r="H12" i="10"/>
  <c r="N18" i="2"/>
  <c r="N19" i="2" s="1"/>
  <c r="E9" i="4"/>
  <c r="K34" i="2"/>
  <c r="K57" i="3" s="1"/>
  <c r="G14" i="10"/>
  <c r="G24" i="4"/>
  <c r="J36" i="2"/>
  <c r="J54" i="3" l="1"/>
  <c r="J56" i="3" s="1"/>
  <c r="J58" i="3" s="1"/>
  <c r="M26" i="3"/>
  <c r="M20" i="2"/>
  <c r="F9" i="10"/>
  <c r="F11" i="10" s="1"/>
  <c r="F15" i="10" s="1"/>
  <c r="F20" i="10" s="1"/>
  <c r="H24" i="4"/>
  <c r="H14" i="10"/>
  <c r="M30" i="2"/>
  <c r="M32" i="2" s="1"/>
  <c r="M33" i="2" s="1"/>
  <c r="G9" i="10"/>
  <c r="G11" i="10" s="1"/>
  <c r="G15" i="10" s="1"/>
  <c r="F26" i="10"/>
  <c r="F28" i="10" s="1"/>
  <c r="N20" i="2"/>
  <c r="N25" i="2"/>
  <c r="L32" i="2"/>
  <c r="L33" i="2" s="1"/>
  <c r="F22" i="10" l="1"/>
  <c r="F9" i="4"/>
  <c r="F19" i="4" s="1"/>
  <c r="L34" i="2"/>
  <c r="M34" i="2"/>
  <c r="G9" i="4"/>
  <c r="G19" i="4" s="1"/>
  <c r="G20" i="10"/>
  <c r="G22" i="10"/>
  <c r="E19" i="4"/>
  <c r="K46" i="2"/>
  <c r="K48" i="2" s="1"/>
  <c r="K47" i="2" s="1"/>
  <c r="K54" i="3" s="1"/>
  <c r="K36" i="2"/>
  <c r="N30" i="2"/>
  <c r="N32" i="2" s="1"/>
  <c r="N33" i="2" s="1"/>
  <c r="H9" i="10"/>
  <c r="H11" i="10" s="1"/>
  <c r="H15" i="10" s="1"/>
  <c r="L57" i="3" l="1"/>
  <c r="M57" i="3" s="1"/>
  <c r="N57" i="3" s="1"/>
  <c r="E27" i="4"/>
  <c r="E33" i="4" s="1"/>
  <c r="D26" i="10"/>
  <c r="D28" i="10" s="1"/>
  <c r="H20" i="10"/>
  <c r="H22" i="10"/>
  <c r="H9" i="4"/>
  <c r="H19" i="4" s="1"/>
  <c r="N34" i="2"/>
  <c r="M46" i="2"/>
  <c r="M48" i="2" s="1"/>
  <c r="M47" i="2" s="1"/>
  <c r="G27" i="4" s="1"/>
  <c r="G33" i="4" s="1"/>
  <c r="G35" i="4" s="1"/>
  <c r="M36" i="2"/>
  <c r="L46" i="2" l="1"/>
  <c r="L48" i="2" s="1"/>
  <c r="L47" i="2" s="1"/>
  <c r="F27" i="4" s="1"/>
  <c r="F33" i="4" s="1"/>
  <c r="F35" i="4" s="1"/>
  <c r="L36" i="2"/>
  <c r="N46" i="2"/>
  <c r="N48" i="2" s="1"/>
  <c r="N47" i="2" s="1"/>
  <c r="H27" i="4" s="1"/>
  <c r="H33" i="4" s="1"/>
  <c r="H35" i="4" s="1"/>
  <c r="N36" i="2"/>
  <c r="K56" i="3"/>
  <c r="K58" i="3" s="1"/>
  <c r="K59" i="3" s="1"/>
  <c r="L54" i="3" l="1"/>
  <c r="M54" i="3" s="1"/>
  <c r="N54" i="3" s="1"/>
  <c r="L56" i="3"/>
  <c r="L58" i="3" s="1"/>
  <c r="L59" i="3" s="1"/>
  <c r="M56" i="3" l="1"/>
  <c r="M58" i="3" s="1"/>
  <c r="M59" i="3" s="1"/>
  <c r="N56" i="3"/>
  <c r="N58" i="3" s="1"/>
  <c r="N59" i="3" s="1"/>
  <c r="D37" i="4" l="1"/>
  <c r="E36" i="4" s="1"/>
  <c r="J10" i="3" l="1"/>
  <c r="J21" i="3"/>
  <c r="J26" i="3" s="1"/>
  <c r="K9" i="6"/>
  <c r="K10" i="6" s="1"/>
  <c r="E22" i="4" s="1"/>
  <c r="E14" i="10" s="1"/>
  <c r="E15" i="10" s="1"/>
  <c r="E20" i="10" l="1"/>
  <c r="E22" i="10"/>
  <c r="D23" i="10" s="1"/>
  <c r="E24" i="4"/>
  <c r="E35" i="4" s="1"/>
  <c r="E37" i="4" s="1"/>
  <c r="F36" i="4" l="1"/>
  <c r="F37" i="4" s="1"/>
  <c r="K10" i="3"/>
  <c r="F29" i="10"/>
  <c r="F32" i="10" s="1"/>
  <c r="F39" i="10" s="1"/>
  <c r="F42" i="10" s="1"/>
  <c r="D29" i="10"/>
  <c r="D32" i="10" s="1"/>
  <c r="D39" i="10" s="1"/>
  <c r="D42" i="10" s="1"/>
  <c r="Q29" i="10" l="1"/>
  <c r="F44" i="10"/>
  <c r="I29" i="10"/>
  <c r="D44" i="10"/>
  <c r="G36" i="4"/>
  <c r="G37" i="4" s="1"/>
  <c r="L10" i="3"/>
  <c r="H36" i="4" l="1"/>
  <c r="H37" i="4" s="1"/>
  <c r="N10" i="3" s="1"/>
  <c r="M10" i="3"/>
  <c r="L11" i="3"/>
  <c r="M11" i="3" s="1"/>
  <c r="L16" i="3"/>
  <c r="K11" i="3"/>
  <c r="K16" i="3"/>
  <c r="J16" i="3"/>
  <c r="K27" i="3" l="1"/>
  <c r="L27" i="3"/>
  <c r="M16" i="3"/>
  <c r="M27" i="3" s="1"/>
  <c r="N11" i="3"/>
  <c r="N16" i="3" s="1"/>
  <c r="N27" i="3" s="1"/>
  <c r="L61" i="3" l="1"/>
  <c r="K61" i="3"/>
  <c r="N61" i="3"/>
  <c r="M61" i="3"/>
  <c r="J42" i="3"/>
  <c r="J40" i="3" s="1"/>
  <c r="J47" i="3" s="1"/>
  <c r="J48" i="3" s="1"/>
  <c r="J6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Chinmay</author>
  </authors>
  <commentList>
    <comment ref="B5" authorId="0" shapeId="0" xr:uid="{592778D1-A50F-442E-B344-3A858C91DD7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2024 10K
pg 101</t>
        </r>
      </text>
    </comment>
    <comment ref="G29" authorId="1" shapeId="0" xr:uid="{702B239D-A161-4B16-9E9A-7AC9B91DADCF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-1 for perfect Grand Total. (-107)</t>
        </r>
      </text>
    </comment>
    <comment ref="H29" authorId="1" shapeId="0" xr:uid="{57BA4988-4099-4CBF-BEBE-4A9310B94D71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-1 for perfect Grand Total. (-151)</t>
        </r>
      </text>
    </comment>
    <comment ref="I29" authorId="1" shapeId="0" xr:uid="{57B5C75B-BF50-4CFC-A350-DD29622D4D16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+1 for perfect Grand Total. (-296)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B5" authorId="0" shapeId="0" xr:uid="{8A59B229-4CAB-41B3-A32E-7A50DE44859C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2024 10K
pg 54</t>
        </r>
      </text>
    </comment>
    <comment ref="G16" authorId="0" shapeId="0" xr:uid="{EE7BB8BC-65BA-4FAD-9487-FD6AFFEFE5DB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-1 to get the perfect total. (8862)</t>
        </r>
      </text>
    </comment>
    <comment ref="H28" authorId="0" shapeId="0" xr:uid="{E74EA300-E755-43A3-AA52-0EDCF3633B00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-1 to get a perfect total. (1537)</t>
        </r>
      </text>
    </comment>
    <comment ref="I29" authorId="0" shapeId="0" xr:uid="{BF76962D-1F50-49C3-937D-D1F918ED9906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-1 to get a perfect total. (-4675)</t>
        </r>
      </text>
    </comment>
    <comment ref="G32" authorId="0" shapeId="0" xr:uid="{69EC3BB4-59CD-4CF0-8F54-F4740D66733E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+1 to get a perfect total. (1888)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B5" authorId="0" shapeId="0" xr:uid="{081A5FE8-664F-4926-B064-027E57D41AAB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2024 10K
pg 55</t>
        </r>
      </text>
    </comment>
    <comment ref="G11" authorId="0" shapeId="0" xr:uid="{D8FD59FB-8CB5-4DD8-8875-8BFB781366CB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+1 to get a perfect total. (12150)</t>
        </r>
      </text>
    </comment>
    <comment ref="H11" authorId="0" shapeId="0" xr:uid="{88E06B34-9C1D-4343-BB63-FF3E832F75E4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-1 to get a perfect total. (7613)</t>
        </r>
      </text>
    </comment>
    <comment ref="I25" authorId="0" shapeId="0" xr:uid="{7DA25906-52C1-4492-A80F-81396911DC3F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-1 to get a perfect total. (8346)</t>
        </r>
      </text>
    </comment>
    <comment ref="C27" authorId="0" shapeId="0" xr:uid="{309197D8-0C92-4E6B-88F9-7232D807BBF7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Total Assets Balance from 2018 10K for Dupont calculation in Average Total Assets Calculation.</t>
        </r>
      </text>
    </comment>
    <comment ref="H36" authorId="0" shapeId="0" xr:uid="{8B239A3A-352E-44CC-9FCC-03FB4E82E17D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-1 to get a perfect total. (27364)</t>
        </r>
      </text>
    </comment>
    <comment ref="I36" authorId="0" shapeId="0" xr:uid="{8D5F3DF3-C2C0-4005-A2D6-B998C8465B2E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-1 to get a perfect total. (31154)</t>
        </r>
      </text>
    </comment>
    <comment ref="H45" authorId="0" shapeId="0" xr:uid="{CA3741BC-91F7-4275-A4CA-FE00B9C2505E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-1 to get a perfect total. (6680)</t>
        </r>
      </text>
    </comment>
    <comment ref="I45" authorId="0" shapeId="0" xr:uid="{12C1933F-A6B4-410D-A1E3-B0EA5555B960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+1 to het a perfect total. (5779)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B5" authorId="0" shapeId="0" xr:uid="{BAED8DCF-CCA1-49A7-888A-4A1358D2B8B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2024 10K
pg 56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B5" authorId="0" shapeId="0" xr:uid="{983BF45E-02FD-415E-970B-363F4E8BF370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Note 13 Debt 
2024 10K 
pg 78,79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B5" authorId="0" shapeId="0" xr:uid="{6BE994D2-A6B7-432F-8491-2080D64FD7F3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Note 9 Property
2024 10K
pg 75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J7" authorId="0" shapeId="0" xr:uid="{98E2CDF9-DD7D-4629-8994-3C7C45A21428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CAGR</t>
        </r>
      </text>
    </comment>
    <comment ref="B8" authorId="0" shapeId="0" xr:uid="{068AF100-2486-4AC4-AB23-65B0302AB0B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page to visit: https://pages.stern.nyu.edu/~adamodar/New_Home_Page/datafile/ratings.html</t>
        </r>
      </text>
    </comment>
    <comment ref="F9" authorId="0" shapeId="0" xr:uid="{65421784-5ACA-415E-B488-DAAD7910DA10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Equity Risk Premium of country + Damodaran: Search for this on google and download the XLS.</t>
        </r>
      </text>
    </comment>
    <comment ref="B12" authorId="0" shapeId="0" xr:uid="{C17B9716-F952-4C0D-AA1F-7E97E4731E1F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Cost of Debt as per book Value=Interest Expense / O/S Debt
O/S Debt = Long Term Debt + Short Term Debt</t>
        </r>
      </text>
    </comment>
    <comment ref="F12" authorId="0" shapeId="0" xr:uid="{D6E09879-71CF-448F-B920-3BC50D14E26B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WACC = Wd * Rd * (1-Tax) + We * Re</t>
        </r>
      </text>
    </comment>
    <comment ref="F14" authorId="0" shapeId="0" xr:uid="{C0807587-746C-4DC3-90C4-BA8DA2B3CA88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Calculated in FCFF Sheet.</t>
        </r>
      </text>
    </comment>
    <comment ref="F15" authorId="0" shapeId="0" xr:uid="{F3E32A80-D327-4441-BB93-72902C699583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Calculated inFCFF Sheet.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D18" authorId="0" shapeId="0" xr:uid="{734BE1A3-79DA-4B13-892A-A0B6C3D3A25B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Have to take this growth rate only.</t>
        </r>
      </text>
    </comment>
    <comment ref="I20" authorId="0" shapeId="0" xr:uid="{7623A134-6DE1-4561-B3F0-DCF4416C2091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PV Calculation Method</t>
        </r>
      </text>
    </comment>
    <comment ref="I22" authorId="0" shapeId="0" xr:uid="{BD2AB549-D2AA-49B8-873A-82B0877718A0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Discounted Factor Method</t>
        </r>
      </text>
    </comment>
    <comment ref="F25" authorId="0" shapeId="0" xr:uid="{04F4CC0A-B7FF-4CCC-AF4B-BE2AB74045A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EV/Ebitda is requiered which will be taken from Market Screener.</t>
        </r>
      </text>
    </comment>
    <comment ref="G26" authorId="0" shapeId="0" xr:uid="{61761B4B-7E37-4FF6-94BA-5639DAF511EB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Taken from Investing.com</t>
        </r>
      </text>
    </comment>
    <comment ref="I29" authorId="0" shapeId="0" xr:uid="{24F1A81F-18FD-49FF-B89C-2F93A2D5EA3E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WACC (Column ⬇️)
Growth Rate (Row ➡️)</t>
        </r>
      </text>
    </comment>
    <comment ref="Q29" authorId="0" shapeId="0" xr:uid="{6CFA9405-899D-46EE-B60D-B3EE4A0D759C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WACC (Column ⬇️)
EV/EBITDA (Row ➡️)</t>
        </r>
      </text>
    </comment>
    <comment ref="D40" authorId="0" shapeId="0" xr:uid="{F8E06D0A-3081-4397-A133-088D68B2897B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Basic + Diluted better to take from Trading Comps (Valuation-GM)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B8" authorId="0" shapeId="0" xr:uid="{502C2CF1-5357-4456-9E4B-4AD5FE3F6E65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taken from Gordon Growth sensitivty analysis table.</t>
        </r>
      </text>
    </comment>
    <comment ref="G8" authorId="0" shapeId="0" xr:uid="{756E6D26-0481-47BC-A59D-3114DDD7D551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considered WACC</t>
        </r>
      </text>
    </comment>
    <comment ref="B9" authorId="0" shapeId="0" xr:uid="{00FFA31B-2509-454D-AD3A-83BD399E3BDC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taken from Exit multiple Sensitivity Analysis.</t>
        </r>
      </text>
    </comment>
    <comment ref="G9" authorId="0" shapeId="0" xr:uid="{3E887436-0677-49D4-A27B-A5C9EFFB5EF8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consisdered EV/EBITDA</t>
        </r>
      </text>
    </comment>
    <comment ref="B10" authorId="0" shapeId="0" xr:uid="{B7DBC56B-5A13-4875-8D0D-8846843E1FC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taken from valuation sheet-GM</t>
        </r>
      </text>
    </comment>
    <comment ref="G10" authorId="0" shapeId="0" xr:uid="{E2792A6C-0CCC-4E15-9302-2BEF7328CBF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Considered Median</t>
        </r>
      </text>
    </comment>
    <comment ref="B11" authorId="0" shapeId="0" xr:uid="{F3008074-5ABB-4113-A047-3703F741197E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taken from Valuation Sheet GM</t>
        </r>
      </text>
    </comment>
    <comment ref="B12" authorId="0" shapeId="0" xr:uid="{C4AEE59C-BDAC-484B-B79B-140DD189F855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Analyst Consensus from MarketScreener</t>
        </r>
      </text>
    </comment>
    <comment ref="B13" authorId="0" shapeId="0" xr:uid="{33869B7A-E0A3-4936-A3EE-A88F4CDA207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Taken from Investing.com </t>
        </r>
      </text>
    </comment>
    <comment ref="B14" authorId="0" shapeId="0" xr:uid="{0C8E7AE9-CFEF-4F66-9C88-74CC5A07AFA5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Current market price as on Valuation Date.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C5" authorId="0" shapeId="0" xr:uid="{1080385B-472E-4B1B-954B-1D219B1B7FBA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Current Market Price (CMP) as on 1st Jan 2025</t>
        </r>
      </text>
    </comment>
    <comment ref="D5" authorId="0" shapeId="0" xr:uid="{7C1950DB-5B0B-4445-8FAE-E5EE8E4130CF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Market Cap &gt; 1 Billion or 1,000 Million</t>
        </r>
      </text>
    </comment>
    <comment ref="E5" authorId="0" shapeId="0" xr:uid="{D4DF9F22-E114-4D0C-B307-E5E8BA6D51E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3yrs Weekly Data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D13" authorId="0" shapeId="0" xr:uid="{52C322DE-D3AA-4671-B985-F8A1FF39903E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Regression Beta of GM</t>
        </r>
      </text>
    </comment>
    <comment ref="I13" authorId="0" shapeId="0" xr:uid="{91419A04-4B1D-4F97-A056-12203EEF9507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unlevered beta of GM.</t>
        </r>
      </text>
    </comment>
    <comment ref="J13" authorId="0" shapeId="0" xr:uid="{365A39AD-1EC1-4337-9F48-6E9FE1D579A7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Bottom-Up Beta of GM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I7" authorId="0" shapeId="0" xr:uid="{B36DB510-7799-4677-B765-B1AB84D2228C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10K 2024 Balance Sheet
pg 58</t>
        </r>
      </text>
    </comment>
    <comment ref="J7" authorId="0" shapeId="0" xr:uid="{2361EBF0-3013-4CB8-BE9D-2D01F898775C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10K 2024 Balance Sheets
pg 58</t>
        </r>
      </text>
    </comment>
    <comment ref="K7" authorId="0" shapeId="0" xr:uid="{E5C3D199-CCA1-4738-8C51-690A9700E00B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10K 2024 Plan Assets
pg 86</t>
        </r>
      </text>
    </comment>
    <comment ref="L7" authorId="0" shapeId="0" xr:uid="{3DF2E57A-AD75-4D97-A72E-FD61089D449E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10K 2024 Balance Sheet
pg 58</t>
        </r>
      </text>
    </comment>
    <comment ref="M7" authorId="0" shapeId="0" xr:uid="{DDFD2A6B-3FDF-42B2-81CF-A0461367F59C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10K 2024 Balance Sheets
pg 58 
Marketable Debt Securities + Equity in net assets in non-consolidated affiliates</t>
        </r>
      </text>
    </comment>
    <comment ref="D27" authorId="0" shapeId="0" xr:uid="{AAEA0E83-8FE1-4D36-BA83-A5B9FD07AE0F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EPS taken from MarketScreener.com for LTM(10K), FY1 and, FY2.</t>
        </r>
      </text>
    </comment>
    <comment ref="G33" authorId="0" shapeId="0" xr:uid="{3D10C4C8-0FB0-4736-B479-A5FD5FFE2F3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995,001,891</t>
        </r>
        <r>
          <rPr>
            <sz val="9"/>
            <color indexed="81"/>
            <rFont val="Tahoma"/>
            <family val="2"/>
          </rPr>
          <t xml:space="preserve"> This is the no. of common stock O/S as on 16th Jan 2025 as per latest 10K of 2024.</t>
        </r>
      </text>
    </comment>
    <comment ref="D36" authorId="0" shapeId="0" xr:uid="{0FCB1836-5EBA-4820-913C-07CA030272E8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Closing Price of GM as on 2-Jan-2025 as per Investing.com</t>
        </r>
      </text>
    </comment>
    <comment ref="K40" authorId="0" shapeId="0" xr:uid="{69CC3058-164D-4137-8B8F-21090F1C543C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Check...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D10" authorId="0" shapeId="0" xr:uid="{155612B1-FF98-4C40-B009-C38803632094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For the fiscal year ended December 31, 2024</t>
        </r>
      </text>
    </comment>
    <comment ref="D11" authorId="0" shapeId="0" xr:uid="{461E2771-32AE-4FE4-B02A-49C0EBCDE77C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For the quarterly period ended September 30, 2024</t>
        </r>
      </text>
    </comment>
    <comment ref="G21" authorId="0" shapeId="0" xr:uid="{73CF5514-3D17-4A12-9F08-1327A6E58B54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2024 10K 
pg 48</t>
        </r>
      </text>
    </comment>
    <comment ref="G26" authorId="0" shapeId="0" xr:uid="{84EBB8C4-628D-493C-AE8F-D8FE5DAAA704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Total of Long-Term and Short-Term Debt
2024 10K
pg 48</t>
        </r>
      </text>
    </comment>
    <comment ref="G31" authorId="0" shapeId="0" xr:uid="{200284FC-25DC-424E-B1EA-933790188E5C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2024 10K
pg 48</t>
        </r>
      </text>
    </comment>
    <comment ref="K42" authorId="0" shapeId="0" xr:uid="{83E1E45D-4500-48BB-A517-55A4AF9823CF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Units O/S*(1-Exercise Price/CMP)</t>
        </r>
      </text>
    </comment>
    <comment ref="K60" authorId="0" shapeId="0" xr:uid="{3AE634B8-7F06-4799-AC42-64FC87E4625C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=(FV/PV)^(1/yrs)-1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D18" authorId="0" shapeId="0" xr:uid="{D62582DE-FEB9-44B4-8ADD-F4B728EF0440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180,418,090 common stock shares.
Form 20-F (EDGAR) 31stDec'23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D10" authorId="0" shapeId="0" xr:uid="{9C6F4953-9BB7-4AD0-8CA3-DA514CD95F0F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For the fiscal year ended December 31, 2024
</t>
        </r>
      </text>
    </comment>
    <comment ref="G21" authorId="0" shapeId="0" xr:uid="{D111BEE8-BC03-42C0-87CD-6338FE0C2EB9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2024 10K
pg 109</t>
        </r>
      </text>
    </comment>
    <comment ref="G29" authorId="0" shapeId="0" xr:uid="{780F32F8-4DAE-4E4A-ADCF-77DE60EC067D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Plan Assets 
2024 10K
pg 148</t>
        </r>
      </text>
    </comment>
    <comment ref="G33" authorId="0" shapeId="0" xr:uid="{EC9444C7-31CB-4EF0-9AFC-654F54DFD308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Marketable Securities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D10" authorId="0" shapeId="0" xr:uid="{03F94766-E409-4FA6-BDA4-2DF101C47A2A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For the Fiscal Year Ended December 31, 2023
</t>
        </r>
      </text>
    </comment>
    <comment ref="D11" authorId="0" shapeId="0" xr:uid="{1B8CF23B-C359-456F-B8DF-247B888DDBD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Semi-Annual Report
As of and for the six months ended June 30, 2024</t>
        </r>
      </text>
    </comment>
    <comment ref="G33" authorId="0" shapeId="0" xr:uid="{022ED891-E293-4C2E-AD15-3B5A5138C26B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short term investments, investments in non controlling assest, assets held for sale, minus liability held for sale, interest in non controlling affiliates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Chinmay</author>
  </authors>
  <commentList>
    <comment ref="D10" authorId="0" shapeId="0" xr:uid="{3A988255-F6BB-4B45-A1B7-7B32E3D00962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For the fiscal year ended: March 31, 2024</t>
        </r>
      </text>
    </comment>
    <comment ref="D11" authorId="0" shapeId="0" xr:uid="{DACBF4B5-179D-4F36-8B0D-A205FCA114E0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April 1, 2024 through December 31, 2024</t>
        </r>
      </text>
    </comment>
    <comment ref="G21" authorId="0" shapeId="0" xr:uid="{DF7E02C1-8500-49EF-BE89-8B926AEB7320}">
      <text>
        <r>
          <rPr>
            <b/>
            <sz val="9"/>
            <color indexed="81"/>
            <rFont val="Tahoma"/>
            <family val="2"/>
          </rPr>
          <t>Chinmay:</t>
        </r>
        <r>
          <rPr>
            <sz val="9"/>
            <color indexed="81"/>
            <rFont val="Tahoma"/>
            <family val="2"/>
          </rPr>
          <t xml:space="preserve">
Yen in Millions
as of 31st Dec 2024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<sst xmlns="http://schemas.openxmlformats.org/spreadsheetml/2006/main" count="909" uniqueCount="437">
  <si>
    <t>GMNA (GM North America)</t>
  </si>
  <si>
    <t>GMI (GM International)</t>
  </si>
  <si>
    <t>Corporate</t>
  </si>
  <si>
    <t>Eliminations</t>
  </si>
  <si>
    <t>Total Automotive</t>
  </si>
  <si>
    <t>Cruise</t>
  </si>
  <si>
    <t>GM Financial</t>
  </si>
  <si>
    <t>Eliminations/Reclassifications</t>
  </si>
  <si>
    <t>Grand Total</t>
  </si>
  <si>
    <t>Growth %</t>
  </si>
  <si>
    <t>Projections</t>
  </si>
  <si>
    <t>Raw</t>
  </si>
  <si>
    <t>Income Statement</t>
  </si>
  <si>
    <t>Total Financial</t>
  </si>
  <si>
    <t>Automotive</t>
  </si>
  <si>
    <t>Total net sales and revenue (Note 3)</t>
  </si>
  <si>
    <t>GM Financial interest, operating and other expenses</t>
  </si>
  <si>
    <t>Automotive and other selling, general and administrative expense</t>
  </si>
  <si>
    <t>Automotive and other cost of sales (COGS)</t>
  </si>
  <si>
    <t>Total Gross Profit</t>
  </si>
  <si>
    <t>Gross Profit Margin:::</t>
  </si>
  <si>
    <t>Total Costs and expenses</t>
  </si>
  <si>
    <t>Operating income (loss) (EBITDA)</t>
  </si>
  <si>
    <t>Operating Profit Margin:::</t>
  </si>
  <si>
    <t>Depreciation and impairment of Equipment on operating leases, net</t>
  </si>
  <si>
    <t>Depreciation, amortization and impairment charges on Property, net</t>
  </si>
  <si>
    <t>Total D&amp;A</t>
  </si>
  <si>
    <t>Net operating income (EBIT)</t>
  </si>
  <si>
    <t>Automotive interest expense</t>
  </si>
  <si>
    <t>Interest income and other non-operating income, net (Note 19)</t>
  </si>
  <si>
    <t>Equity income (loss) (Note 8)</t>
  </si>
  <si>
    <t>Income (loss) before income taxes (EBT)</t>
  </si>
  <si>
    <t>Income tax expense (benefit) (Note 17)</t>
  </si>
  <si>
    <t>Net income (loss)</t>
  </si>
  <si>
    <t>Net loss (income) attributable to noncontrolling interests (Minority Interest)</t>
  </si>
  <si>
    <t>Net income (loss) attributable to stockholders</t>
  </si>
  <si>
    <t>Projecting %ages</t>
  </si>
  <si>
    <t>Balance Sheet</t>
  </si>
  <si>
    <t>ASSETS</t>
  </si>
  <si>
    <t>Current Assets</t>
  </si>
  <si>
    <t>Cash and cash equivalents</t>
  </si>
  <si>
    <t>Marketable debt securities (Note 4)</t>
  </si>
  <si>
    <t>Accounts and notes receivable, net of allowance of $298 and $260</t>
  </si>
  <si>
    <t>GM Financial receivables, net of allowance of $906 and $869 (Note 5; Note 11 at VIEs)</t>
  </si>
  <si>
    <t>Inventories (Note 6)</t>
  </si>
  <si>
    <t>Other current assets (Note 4; Note 11 at VIEs)</t>
  </si>
  <si>
    <t>Total current assets</t>
  </si>
  <si>
    <t>Non-current Assets</t>
  </si>
  <si>
    <t>GM Financial receivables, net of allowance of $1,438 and $1,227 (Note 5; Note 11 at VIEs)</t>
  </si>
  <si>
    <t>Equity in net assets of nonconsolidated affiliates (Note 8)</t>
  </si>
  <si>
    <t>Property, net (Note 9)</t>
  </si>
  <si>
    <t>Goodwill and intangible assets, net (Note 10)</t>
  </si>
  <si>
    <t>Equipment on operating leases, net (Note 7; Note 11 at VIEs)</t>
  </si>
  <si>
    <t>Deferred income taxes (Note 17)</t>
  </si>
  <si>
    <t>Other assets (Note 4; Note 11 at VIEs)</t>
  </si>
  <si>
    <t>Total non-current assets</t>
  </si>
  <si>
    <t>Total Assets</t>
  </si>
  <si>
    <t>LIABILITIES AND EQUITY</t>
  </si>
  <si>
    <t>Current Liabilities</t>
  </si>
  <si>
    <t>Accounts payable (principally trade)</t>
  </si>
  <si>
    <t>Short-term debt and current portion of long-term debt (Note 13)</t>
  </si>
  <si>
    <t>GM Financial (Note 11 at VIEs)</t>
  </si>
  <si>
    <t>Accrued liabilities (Note 12)</t>
  </si>
  <si>
    <t>Total current liabilities</t>
  </si>
  <si>
    <t>Non-current Liabilities</t>
  </si>
  <si>
    <t>Long-term debt (Note 13)</t>
  </si>
  <si>
    <t>Postretirement benefits other than pensions (Note 15)</t>
  </si>
  <si>
    <t>Pensions (Note 15)</t>
  </si>
  <si>
    <t>Other liabilities (Note 12)</t>
  </si>
  <si>
    <t>Total non-current liabilities</t>
  </si>
  <si>
    <t>Total Liabilities</t>
  </si>
  <si>
    <t>Commitments and contingencies (Note 16)</t>
  </si>
  <si>
    <t>Noncontrolling interest - Cruise stock incentive awards (Note 20)</t>
  </si>
  <si>
    <t>Equity (Note 20)</t>
  </si>
  <si>
    <t>Common stock, $0.01 par value</t>
  </si>
  <si>
    <t>Additional paid-in capital</t>
  </si>
  <si>
    <t>Retained earnings</t>
  </si>
  <si>
    <t>Accumulated other comprehensive loss</t>
  </si>
  <si>
    <t>Total stockholders’ equity</t>
  </si>
  <si>
    <t>Total Equity</t>
  </si>
  <si>
    <t>Total Liabilities and Equity</t>
  </si>
  <si>
    <t>Cash Flow Statement</t>
  </si>
  <si>
    <t>Cash From Operating Activities</t>
  </si>
  <si>
    <t>Net Income</t>
  </si>
  <si>
    <t>Depreciation and amortization</t>
  </si>
  <si>
    <t>Share-based compensation expense</t>
  </si>
  <si>
    <t>Change in assets and liabilities:</t>
  </si>
  <si>
    <t>Trade accounts receivable</t>
  </si>
  <si>
    <t>Inventories</t>
  </si>
  <si>
    <t>Other current assets</t>
  </si>
  <si>
    <t>Net Cash Provided by Operating Activities</t>
  </si>
  <si>
    <t>Cash From Investing Activities</t>
  </si>
  <si>
    <t>Capital Expenditure</t>
  </si>
  <si>
    <t>Net Cash Used for Investing Activities</t>
  </si>
  <si>
    <t>Cash From Financing Activities</t>
  </si>
  <si>
    <t>Cash dividends paid</t>
  </si>
  <si>
    <t>Cash before Raising (Repayment) of Debt</t>
  </si>
  <si>
    <t>Debt Raised</t>
  </si>
  <si>
    <t>Debt Repaid</t>
  </si>
  <si>
    <t>Net Cash Provided by/(Used for) Financing Activities</t>
  </si>
  <si>
    <t>Net Increase/(Decrease) in Cash and Cash Equivalents</t>
  </si>
  <si>
    <t xml:space="preserve">Cash and Cash Equivalents, Beginning of Year </t>
  </si>
  <si>
    <t>Cash and Cash Equivalents, End of Period</t>
  </si>
  <si>
    <t>Checksum</t>
  </si>
  <si>
    <t>Noncontrolling interests (Includes Cruise stock incentive awards)</t>
  </si>
  <si>
    <t>Debt Schedule</t>
  </si>
  <si>
    <t>Opening Debt</t>
  </si>
  <si>
    <t>Add: debt raised</t>
  </si>
  <si>
    <t>Less: debt repaid</t>
  </si>
  <si>
    <t>Closing Cash Balance (Total Debt)</t>
  </si>
  <si>
    <t>Short-term debt</t>
  </si>
  <si>
    <t>Long-term debt</t>
  </si>
  <si>
    <t>Debt repayment interest rate</t>
  </si>
  <si>
    <t>Interest expense</t>
  </si>
  <si>
    <t>Fixed Assets Schedule</t>
  </si>
  <si>
    <t>Opening Balance-WDV</t>
  </si>
  <si>
    <t>Add: Net Addition during the Period</t>
  </si>
  <si>
    <t>Total Depreciable Assets During the Year</t>
  </si>
  <si>
    <t>Less: Depreciation during the year</t>
  </si>
  <si>
    <t>Closing Balance-WDV</t>
  </si>
  <si>
    <t>Depreciation rate</t>
  </si>
  <si>
    <t>PPE turnover ratio</t>
  </si>
  <si>
    <t>Property</t>
  </si>
  <si>
    <t>Equipment on operating leases</t>
  </si>
  <si>
    <t>Accounts Recievables</t>
  </si>
  <si>
    <t>Historical ARTR</t>
  </si>
  <si>
    <t>Historical DSO</t>
  </si>
  <si>
    <t>Projected DSO⬇️</t>
  </si>
  <si>
    <t>Historical ITR</t>
  </si>
  <si>
    <t>Historical DIO</t>
  </si>
  <si>
    <t>Accounts Payables</t>
  </si>
  <si>
    <t>Working notes for projections:</t>
  </si>
  <si>
    <t>Historical APTR</t>
  </si>
  <si>
    <t>Historical DPO</t>
  </si>
  <si>
    <t>Weighted-average common shares outstanding – diluted</t>
  </si>
  <si>
    <t>Diluted EPS</t>
  </si>
  <si>
    <t>Dividend per share</t>
  </si>
  <si>
    <t>Dividend payout ratio</t>
  </si>
  <si>
    <t>Dividends paid (from CFS)</t>
  </si>
  <si>
    <t>Accrued liabilities (as a % of sales)</t>
  </si>
  <si>
    <t>Other current assets (as a % of sales)</t>
  </si>
  <si>
    <t xml:space="preserve">Accounts payable </t>
  </si>
  <si>
    <t>Accrued expenses/liabilities (current liabilities)</t>
  </si>
  <si>
    <t>Net Profit Margin:::</t>
  </si>
  <si>
    <t>Competitors</t>
  </si>
  <si>
    <t>S&amp;P 500</t>
  </si>
  <si>
    <t>GENERAL MOTORS COMPANY</t>
  </si>
  <si>
    <t>FERRARI N.V.</t>
  </si>
  <si>
    <t>FORD MOTOR COMPANY</t>
  </si>
  <si>
    <t>STELLANTIS N.V.</t>
  </si>
  <si>
    <t>Capital (In Billions)</t>
  </si>
  <si>
    <t>Beta</t>
  </si>
  <si>
    <t>(SPX)</t>
  </si>
  <si>
    <t>NYSE (GM)</t>
  </si>
  <si>
    <t>NASDAQ (TSLA)</t>
  </si>
  <si>
    <t>NYSE (RACE)</t>
  </si>
  <si>
    <t>NYSE (F)</t>
  </si>
  <si>
    <t>NYSE (STLA)</t>
  </si>
  <si>
    <t>NYSE (TM)</t>
  </si>
  <si>
    <t>Date</t>
  </si>
  <si>
    <t>Price</t>
  </si>
  <si>
    <t>Return</t>
  </si>
  <si>
    <t>TOYOTA MOTOR CORP.</t>
  </si>
  <si>
    <t>TESLA</t>
  </si>
  <si>
    <t>CMP</t>
  </si>
  <si>
    <t>Valuation Date</t>
  </si>
  <si>
    <t>First Projection Date</t>
  </si>
  <si>
    <t>Diff.</t>
  </si>
  <si>
    <t>⬅️Beta</t>
  </si>
  <si>
    <t>N.A.</t>
  </si>
  <si>
    <t>Levered Beta</t>
  </si>
  <si>
    <t>Debt</t>
  </si>
  <si>
    <t>Equity</t>
  </si>
  <si>
    <t>Tax Rate</t>
  </si>
  <si>
    <t>DFL</t>
  </si>
  <si>
    <t>Unlevered Beta</t>
  </si>
  <si>
    <t>Median/Average</t>
  </si>
  <si>
    <t>Unlevered Beta Calculation - Comparables</t>
  </si>
  <si>
    <t>Relevered Beta</t>
  </si>
  <si>
    <t>Bottom-Up Beta Only for General Motors ⬇️</t>
  </si>
  <si>
    <t>Calculation of Capital Structure of Competitors</t>
  </si>
  <si>
    <t>Market Cap.</t>
  </si>
  <si>
    <t>Company</t>
  </si>
  <si>
    <t>Date of Valuation</t>
  </si>
  <si>
    <t>Risk Free Rate (Rf)</t>
  </si>
  <si>
    <t>Credit Rate</t>
  </si>
  <si>
    <t>Credit Spread</t>
  </si>
  <si>
    <t>BBB</t>
  </si>
  <si>
    <t>Cost of Debt (Rd)</t>
  </si>
  <si>
    <t>Cost of debt as per book value</t>
  </si>
  <si>
    <t>Interest</t>
  </si>
  <si>
    <t>Long-Term Debt</t>
  </si>
  <si>
    <t>Short-Term Debt</t>
  </si>
  <si>
    <t>Cost of Equity (Rating Based Method)</t>
  </si>
  <si>
    <t>Regression Beta</t>
  </si>
  <si>
    <t>ERP (from Damodaran)</t>
  </si>
  <si>
    <t>Cost of Equity (Re)</t>
  </si>
  <si>
    <t>E (Rm)</t>
  </si>
  <si>
    <t>Rf</t>
  </si>
  <si>
    <t>ERP</t>
  </si>
  <si>
    <t>Cost of Equity (Historical Method)</t>
  </si>
  <si>
    <t>WACC</t>
  </si>
  <si>
    <t>Wd</t>
  </si>
  <si>
    <t>We</t>
  </si>
  <si>
    <t>Free Cash Flow to Firm</t>
  </si>
  <si>
    <t>EBIT</t>
  </si>
  <si>
    <t>NOPAT</t>
  </si>
  <si>
    <t>Non Cash Expenses</t>
  </si>
  <si>
    <t>Net Changes in Working Capital</t>
  </si>
  <si>
    <t>Capex</t>
  </si>
  <si>
    <t>FCFF (Explicit Cash Flows)</t>
  </si>
  <si>
    <t>FCFF</t>
  </si>
  <si>
    <t>Growth Rate</t>
  </si>
  <si>
    <t>PV of Explicit Cash Flows</t>
  </si>
  <si>
    <t>Discount Factor</t>
  </si>
  <si>
    <t>Sum PV of Expicit Cash Flows</t>
  </si>
  <si>
    <t>Terminal Value</t>
  </si>
  <si>
    <t>PV of Future Cash Flows</t>
  </si>
  <si>
    <t>Operating EV</t>
  </si>
  <si>
    <t>Other Non-Operating Assets</t>
  </si>
  <si>
    <t>Short-term investments</t>
  </si>
  <si>
    <t>Total EV</t>
  </si>
  <si>
    <t>Long Term Debt</t>
  </si>
  <si>
    <t>Short Term Debt</t>
  </si>
  <si>
    <t>Debt &amp; Debt Equivalents</t>
  </si>
  <si>
    <t>Non-Current Investments (Minority Interest)</t>
  </si>
  <si>
    <t>Cash &amp; Cash Equivalents</t>
  </si>
  <si>
    <t>Market Value</t>
  </si>
  <si>
    <t>O/S Shares assuming Dilutions</t>
  </si>
  <si>
    <t>Value Per Share</t>
  </si>
  <si>
    <t>MV = Equity = CMP*O/S Shares</t>
  </si>
  <si>
    <t>Debt = BookValue</t>
  </si>
  <si>
    <t>Method 1</t>
  </si>
  <si>
    <t>Method 2</t>
  </si>
  <si>
    <t>Gordon Growth</t>
  </si>
  <si>
    <t>Exit Multiple</t>
  </si>
  <si>
    <t>EV/EBITDA =</t>
  </si>
  <si>
    <t>O/S Common Shares</t>
  </si>
  <si>
    <t>Industry Multiple Range</t>
  </si>
  <si>
    <t>Minority Interest</t>
  </si>
  <si>
    <t>Total Debt</t>
  </si>
  <si>
    <t>Debt Equivalent</t>
  </si>
  <si>
    <t>Cash &amp; Cash Eq</t>
  </si>
  <si>
    <t>Investments</t>
  </si>
  <si>
    <t>Diluted Shares O/S</t>
  </si>
  <si>
    <t>Metrics</t>
  </si>
  <si>
    <t>Lower</t>
  </si>
  <si>
    <t>Higher</t>
  </si>
  <si>
    <t>LTM EV/EBITDA</t>
  </si>
  <si>
    <t>FY1 EV/EBITDA</t>
  </si>
  <si>
    <t>FY2 EV/EBITDA</t>
  </si>
  <si>
    <t>LTM EV/EBIT</t>
  </si>
  <si>
    <t>FY1 EV/EBIT</t>
  </si>
  <si>
    <t>FY2 EV/EBIT</t>
  </si>
  <si>
    <t>General Motors Valuation Range as per Trading Comps</t>
  </si>
  <si>
    <t>LTM EV/Sales</t>
  </si>
  <si>
    <t>FY1 EV/Sales</t>
  </si>
  <si>
    <t>FY2 EV/Sales</t>
  </si>
  <si>
    <t>FY1 P/E</t>
  </si>
  <si>
    <t>FY2 P/E</t>
  </si>
  <si>
    <t>Calculation of Diluted Shares-General Motors</t>
  </si>
  <si>
    <t>ESoPS/Warrants etc. Treasury Stock Method</t>
  </si>
  <si>
    <t>Notional</t>
  </si>
  <si>
    <t>O/S</t>
  </si>
  <si>
    <t>ITM?</t>
  </si>
  <si>
    <t>Shares Issued</t>
  </si>
  <si>
    <t>Cash</t>
  </si>
  <si>
    <t>Buyback</t>
  </si>
  <si>
    <t>Exercise Price</t>
  </si>
  <si>
    <t>Net Dilution</t>
  </si>
  <si>
    <t>General Motors CMP (2nd January 2025)➡️</t>
  </si>
  <si>
    <t>Implied Per Share Value-General Motors</t>
  </si>
  <si>
    <t>Implied Equity-General Motors</t>
  </si>
  <si>
    <t>Implied EV-General Motors</t>
  </si>
  <si>
    <t>General Motors</t>
  </si>
  <si>
    <t>Source- Marketscreener.com</t>
  </si>
  <si>
    <t>Sales</t>
  </si>
  <si>
    <t>EBITDA</t>
  </si>
  <si>
    <t>Median</t>
  </si>
  <si>
    <t>Mean</t>
  </si>
  <si>
    <t>Dropdown▶️</t>
  </si>
  <si>
    <t>(In  Millions Except Per Share Data)</t>
  </si>
  <si>
    <t>Basic Details</t>
  </si>
  <si>
    <t>Analyst Name</t>
  </si>
  <si>
    <t>Updation Date</t>
  </si>
  <si>
    <t>Ticker</t>
  </si>
  <si>
    <t>Latest Annual</t>
  </si>
  <si>
    <t>Latest Quarter</t>
  </si>
  <si>
    <t>Reported Currency</t>
  </si>
  <si>
    <t>Enterprise Value</t>
  </si>
  <si>
    <t>Class A</t>
  </si>
  <si>
    <t>Class B</t>
  </si>
  <si>
    <t>Class C</t>
  </si>
  <si>
    <t>Per Share Price</t>
  </si>
  <si>
    <t>Shares Outstanding Basic</t>
  </si>
  <si>
    <t>Shares Outstanding Diluted</t>
  </si>
  <si>
    <t>Market Cap</t>
  </si>
  <si>
    <t>+ Pref. Share Capital</t>
  </si>
  <si>
    <t>Total Pref. Capital (Other Than Convertible) in Balance Sheet</t>
  </si>
  <si>
    <t>Add: Convertible Pref Not Converted to Common Equity</t>
  </si>
  <si>
    <t>+ Debt</t>
  </si>
  <si>
    <t>Add: Convertible Debt not Converted to Common Equity</t>
  </si>
  <si>
    <t>+ Debt Equivalents</t>
  </si>
  <si>
    <t>Unfunded Pension Obligations</t>
  </si>
  <si>
    <t>Capitalised Value of Operating Lease</t>
  </si>
  <si>
    <t>- Cash &amp; Cash Equivalents</t>
  </si>
  <si>
    <t>Total Enterprise Value</t>
  </si>
  <si>
    <t>Non Operating Assets</t>
  </si>
  <si>
    <t>Weighted Average Share Price of All Classes of Share</t>
  </si>
  <si>
    <t xml:space="preserve">ESoPS/Warrants/RSUs/PSU </t>
  </si>
  <si>
    <t>Units Outstanding</t>
  </si>
  <si>
    <t>Convertible Debt / Pref shares</t>
  </si>
  <si>
    <t>Conversion Price</t>
  </si>
  <si>
    <t>Share Dilution</t>
  </si>
  <si>
    <t>Nature</t>
  </si>
  <si>
    <t>Face Value</t>
  </si>
  <si>
    <t>BV</t>
  </si>
  <si>
    <t>Debt/Pref</t>
  </si>
  <si>
    <t>Key Financials</t>
  </si>
  <si>
    <t>Annual</t>
  </si>
  <si>
    <t>Crt. YTD</t>
  </si>
  <si>
    <t>Pr. YTD</t>
  </si>
  <si>
    <t>LTM</t>
  </si>
  <si>
    <t>FY1</t>
  </si>
  <si>
    <t>FY2</t>
  </si>
  <si>
    <t>12M</t>
  </si>
  <si>
    <t>Reported Sales</t>
  </si>
  <si>
    <t>Reported EBIT/Operating Income</t>
  </si>
  <si>
    <t>Add/Less: Exceptional/No-Operating Items reported above EBIT</t>
  </si>
  <si>
    <t>Adjusted EBIT</t>
  </si>
  <si>
    <t>Add: D&amp;A</t>
  </si>
  <si>
    <t>Adjusted EBITDA</t>
  </si>
  <si>
    <t>Reported Net Income</t>
  </si>
  <si>
    <t>Add/Less: Exceptional Items reported above EBIT</t>
  </si>
  <si>
    <t>Add/Less: Exceptional Items reported below EBIT</t>
  </si>
  <si>
    <t>Less: Tax on Adjustments</t>
  </si>
  <si>
    <t>Add/Less: Non Tax Deductable Adjustments</t>
  </si>
  <si>
    <t>Adjusted Net Income</t>
  </si>
  <si>
    <t>Less: Share of Minority Interest</t>
  </si>
  <si>
    <t>Adjusted Net Income to Common Shareholders of the Company</t>
  </si>
  <si>
    <t>Diluted Weighted Average No of Shares</t>
  </si>
  <si>
    <t>Basic Shares o/s ▶️</t>
  </si>
  <si>
    <t>Diluted Shares o/s ▶️</t>
  </si>
  <si>
    <t>⬇️ Calculation of Dilution ⬇️</t>
  </si>
  <si>
    <t>RSU</t>
  </si>
  <si>
    <t>ESOP</t>
  </si>
  <si>
    <t>FY3</t>
  </si>
  <si>
    <t>6M</t>
  </si>
  <si>
    <t>Total Debt (Other Than Convertible) Reported in B/S</t>
  </si>
  <si>
    <t>Chinmay Panda</t>
  </si>
  <si>
    <t>USD</t>
  </si>
  <si>
    <t>Totals</t>
  </si>
  <si>
    <t>Convertible Debt</t>
  </si>
  <si>
    <t>Preference Shares</t>
  </si>
  <si>
    <t>CAGR</t>
  </si>
  <si>
    <t>Comparable Company Analysis</t>
  </si>
  <si>
    <t>(All numbers are in millions except per share data)</t>
  </si>
  <si>
    <t>Industry</t>
  </si>
  <si>
    <t>Geography</t>
  </si>
  <si>
    <t>US</t>
  </si>
  <si>
    <t>Currency</t>
  </si>
  <si>
    <t>Exchange Rate</t>
  </si>
  <si>
    <t>LTM Multiples</t>
  </si>
  <si>
    <t>FY1 Multiple</t>
  </si>
  <si>
    <t>FY2 Multiple</t>
  </si>
  <si>
    <t>Peer Group Companies</t>
  </si>
  <si>
    <t>EV</t>
  </si>
  <si>
    <t>EV/Sales</t>
  </si>
  <si>
    <t>EV/EBITDA</t>
  </si>
  <si>
    <t>EV/EBIT</t>
  </si>
  <si>
    <t>P/E</t>
  </si>
  <si>
    <t>Growth</t>
  </si>
  <si>
    <r>
      <t>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</t>
    </r>
  </si>
  <si>
    <r>
      <t>75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</t>
    </r>
  </si>
  <si>
    <r>
      <t>25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Percentile</t>
    </r>
  </si>
  <si>
    <r>
      <t>75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Percentile</t>
    </r>
  </si>
  <si>
    <t>D12</t>
  </si>
  <si>
    <t>G35</t>
  </si>
  <si>
    <t>G20</t>
  </si>
  <si>
    <t>G34</t>
  </si>
  <si>
    <t>G62</t>
  </si>
  <si>
    <t>G68</t>
  </si>
  <si>
    <t>G66</t>
  </si>
  <si>
    <t>G77</t>
  </si>
  <si>
    <t>H62</t>
  </si>
  <si>
    <t>H68</t>
  </si>
  <si>
    <t>H66</t>
  </si>
  <si>
    <t>H77</t>
  </si>
  <si>
    <t>I62</t>
  </si>
  <si>
    <t>I68</t>
  </si>
  <si>
    <t>I66</t>
  </si>
  <si>
    <t>I77</t>
  </si>
  <si>
    <t>K68</t>
  </si>
  <si>
    <t>Automobile Manufacturers</t>
  </si>
  <si>
    <t>D13</t>
  </si>
  <si>
    <t>LTM P/E</t>
  </si>
  <si>
    <t>TSLA</t>
  </si>
  <si>
    <t>2024 Q3</t>
  </si>
  <si>
    <t>Check</t>
  </si>
  <si>
    <t>RACE</t>
  </si>
  <si>
    <t>EUR</t>
  </si>
  <si>
    <t>F</t>
  </si>
  <si>
    <t xml:space="preserve">maybe the convertible notes exist in this company 10K pg158 </t>
  </si>
  <si>
    <t>(in thousands) should be adjusted for millions</t>
  </si>
  <si>
    <t>2025 (FY1)</t>
  </si>
  <si>
    <t>2026 (FY2)</t>
  </si>
  <si>
    <t>TM</t>
  </si>
  <si>
    <t>9M</t>
  </si>
  <si>
    <t>STLAM</t>
  </si>
  <si>
    <t>JPY</t>
  </si>
  <si>
    <t>Segments</t>
  </si>
  <si>
    <t>Sensitivity Analyisis Gordon Growth</t>
  </si>
  <si>
    <t>Senistivity Analysis Exit Multiple</t>
  </si>
  <si>
    <t>Football Field Analyisis</t>
  </si>
  <si>
    <t xml:space="preserve">Method </t>
  </si>
  <si>
    <t xml:space="preserve">Difference </t>
  </si>
  <si>
    <t>Perpetual Growth</t>
  </si>
  <si>
    <t>CCA (FY1 EV/EBITDA)</t>
  </si>
  <si>
    <t>CCA (FY2 EV/EBITDA)</t>
  </si>
  <si>
    <t>Market Consensus</t>
  </si>
  <si>
    <t>52 Week Range</t>
  </si>
  <si>
    <t>Unaffected Price</t>
  </si>
  <si>
    <t>Final Range</t>
  </si>
  <si>
    <t>ROE Dupont Analysis</t>
  </si>
  <si>
    <t>Net Profit</t>
  </si>
  <si>
    <t>Revenue</t>
  </si>
  <si>
    <t>Net Profit Ratio (A)</t>
  </si>
  <si>
    <t>Total Asset Turnover Ratio (B)</t>
  </si>
  <si>
    <t>Shareholder's Equity</t>
  </si>
  <si>
    <t>Return on Equity (A*B*C)</t>
  </si>
  <si>
    <t>Return on Equity</t>
  </si>
  <si>
    <t>Average Total Asset</t>
  </si>
  <si>
    <t>Equity Multiplier / Financial Leverage (C)</t>
  </si>
  <si>
    <t>Range</t>
  </si>
  <si>
    <t>Years</t>
  </si>
  <si>
    <t>Projected DIO⬇️</t>
  </si>
  <si>
    <t>Projected DPO⬇️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</si>
</sst>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5" formatCode="&quot;$&quot;#,##0_);\(&quot;$&quot;#,##0\)"/>
    <numFmt numFmtId="43" formatCode="_(* #,##0.00_);_(* \(#,##0.00\);_(* &quot;-&quot;??_);_(@_)"/>
    <numFmt numFmtId="164" formatCode="dd\-mmm\-yyyy"/>
    <numFmt numFmtId="165" formatCode="0.0%"/>
    <numFmt numFmtId="166" formatCode="0.000"/>
    <numFmt numFmtId="167" formatCode="&quot;$&quot;#,##0.00;[Red]&quot;$&quot;#,##0.00"/>
    <numFmt numFmtId="168" formatCode="&quot;$&quot;#,##0;[Red]&quot;$&quot;#,##0"/>
    <numFmt numFmtId="169" formatCode="dd\-mmm\-yy"/>
    <numFmt numFmtId="170" formatCode="&quot;$&quot;#,##0.0;[Red]&quot;$&quot;#,##0.0"/>
    <numFmt numFmtId="171" formatCode="mmm\-yyyy"/>
    <numFmt numFmtId="172" formatCode="0.00;[Red]0.00"/>
    <numFmt numFmtId="173" formatCode="0.00000"/>
    <numFmt numFmtId="174" formatCode="0.0000"/>
    <numFmt numFmtId="175" formatCode="0;[Red]0"/>
    <numFmt numFmtId="176" formatCode="_(* #,##0.0_);_(* \(#,##0.0\);_(* &quot;-&quot;??_);_(@_)"/>
    <numFmt numFmtId="177" formatCode="0.00&quot;x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20"/>
      <color theme="1"/>
      <name val="Avenir LT Std 35 Light"/>
      <family val="2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4" tint="-0.249977111117893"/>
      <name val="Calibri"/>
      <family val="2"/>
      <scheme val="minor"/>
    </font>
    <font>
      <b/>
      <sz val="16"/>
      <color theme="1"/>
      <name val="Times New Roman"/>
      <family val="1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FB5F"/>
        <bgColor indexed="64"/>
      </patternFill>
    </fill>
    <fill>
      <patternFill patternType="solid">
        <fgColor rgb="FFF4AD5E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164" fontId="0" fillId="2" borderId="1" xfId="0" applyNumberForma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67" fontId="0" fillId="0" borderId="1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2" borderId="6" xfId="0" applyNumberForma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indent="2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2" xfId="0" applyBorder="1"/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5" fontId="0" fillId="0" borderId="0" xfId="1" applyNumberFormat="1" applyFont="1"/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5" borderId="0" xfId="0" applyNumberFormat="1" applyFill="1" applyAlignment="1">
      <alignment horizontal="center"/>
    </xf>
    <xf numFmtId="168" fontId="0" fillId="0" borderId="1" xfId="0" applyNumberFormat="1" applyBorder="1"/>
    <xf numFmtId="168" fontId="0" fillId="0" borderId="1" xfId="0" applyNumberFormat="1" applyBorder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2" fillId="0" borderId="2" xfId="0" applyNumberFormat="1" applyFont="1" applyBorder="1"/>
    <xf numFmtId="168" fontId="2" fillId="0" borderId="2" xfId="0" applyNumberFormat="1" applyFont="1" applyBorder="1" applyAlignment="1">
      <alignment horizontal="center"/>
    </xf>
    <xf numFmtId="168" fontId="2" fillId="2" borderId="2" xfId="0" applyNumberFormat="1" applyFont="1" applyFill="1" applyBorder="1" applyAlignment="1">
      <alignment horizontal="center"/>
    </xf>
    <xf numFmtId="168" fontId="0" fillId="0" borderId="2" xfId="0" applyNumberFormat="1" applyBorder="1"/>
    <xf numFmtId="168" fontId="0" fillId="0" borderId="2" xfId="0" applyNumberFormat="1" applyBorder="1" applyAlignment="1">
      <alignment horizontal="center"/>
    </xf>
    <xf numFmtId="168" fontId="0" fillId="2" borderId="2" xfId="0" applyNumberFormat="1" applyFill="1" applyBorder="1" applyAlignment="1">
      <alignment horizontal="center"/>
    </xf>
    <xf numFmtId="168" fontId="2" fillId="0" borderId="3" xfId="0" applyNumberFormat="1" applyFont="1" applyBorder="1"/>
    <xf numFmtId="168" fontId="2" fillId="0" borderId="3" xfId="0" applyNumberFormat="1" applyFont="1" applyBorder="1" applyAlignment="1">
      <alignment horizontal="center"/>
    </xf>
    <xf numFmtId="168" fontId="2" fillId="2" borderId="3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2" borderId="7" xfId="0" applyNumberForma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9" fontId="2" fillId="3" borderId="1" xfId="0" applyNumberFormat="1" applyFont="1" applyFill="1" applyBorder="1" applyAlignment="1">
      <alignment horizontal="center"/>
    </xf>
    <xf numFmtId="169" fontId="2" fillId="4" borderId="1" xfId="0" applyNumberFormat="1" applyFont="1" applyFill="1" applyBorder="1" applyAlignment="1">
      <alignment horizontal="center"/>
    </xf>
    <xf numFmtId="168" fontId="0" fillId="0" borderId="0" xfId="0" applyNumberFormat="1"/>
    <xf numFmtId="168" fontId="2" fillId="0" borderId="3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 indent="1"/>
    </xf>
    <xf numFmtId="167" fontId="0" fillId="0" borderId="0" xfId="0" applyNumberFormat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2" fontId="0" fillId="0" borderId="0" xfId="0" applyNumberFormat="1" applyAlignment="1">
      <alignment horizontal="center"/>
    </xf>
    <xf numFmtId="10" fontId="0" fillId="5" borderId="0" xfId="1" applyNumberFormat="1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left" indent="2"/>
    </xf>
    <xf numFmtId="0" fontId="0" fillId="2" borderId="0" xfId="0" applyFill="1"/>
    <xf numFmtId="1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7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5" xfId="0" applyBorder="1" applyAlignment="1">
      <alignment horizontal="center"/>
    </xf>
    <xf numFmtId="169" fontId="0" fillId="0" borderId="0" xfId="0" applyNumberFormat="1" applyAlignment="1">
      <alignment horizontal="left" indent="1"/>
    </xf>
    <xf numFmtId="166" fontId="0" fillId="0" borderId="1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0" xfId="0" applyNumberFormat="1" applyAlignment="1">
      <alignment horizontal="left" indent="1"/>
    </xf>
    <xf numFmtId="169" fontId="0" fillId="0" borderId="4" xfId="0" applyNumberForma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171" fontId="0" fillId="0" borderId="5" xfId="0" applyNumberFormat="1" applyBorder="1" applyAlignment="1">
      <alignment horizontal="center"/>
    </xf>
    <xf numFmtId="0" fontId="2" fillId="7" borderId="2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center"/>
    </xf>
    <xf numFmtId="169" fontId="0" fillId="0" borderId="0" xfId="0" applyNumberFormat="1"/>
    <xf numFmtId="169" fontId="2" fillId="0" borderId="0" xfId="0" applyNumberFormat="1" applyFont="1"/>
    <xf numFmtId="0" fontId="2" fillId="0" borderId="14" xfId="0" applyFont="1" applyBorder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14" xfId="0" applyBorder="1"/>
    <xf numFmtId="168" fontId="2" fillId="0" borderId="0" xfId="0" applyNumberFormat="1" applyFont="1" applyAlignment="1">
      <alignment horizontal="center"/>
    </xf>
    <xf numFmtId="172" fontId="0" fillId="0" borderId="0" xfId="0" applyNumberFormat="1" applyAlignment="1">
      <alignment horizontal="left" indent="1"/>
    </xf>
    <xf numFmtId="172" fontId="0" fillId="0" borderId="0" xfId="0" applyNumberFormat="1" applyAlignment="1">
      <alignment horizontal="center"/>
    </xf>
    <xf numFmtId="0" fontId="2" fillId="0" borderId="15" xfId="0" applyFont="1" applyBorder="1" applyAlignment="1">
      <alignment horizontal="left"/>
    </xf>
    <xf numFmtId="0" fontId="0" fillId="0" borderId="15" xfId="0" applyBorder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Font="1" applyAlignment="1">
      <alignment horizontal="left" indent="1"/>
    </xf>
    <xf numFmtId="0" fontId="2" fillId="3" borderId="2" xfId="0" applyFont="1" applyFill="1" applyBorder="1" applyAlignment="1">
      <alignment horizontal="center"/>
    </xf>
    <xf numFmtId="0" fontId="0" fillId="8" borderId="1" xfId="0" applyFill="1" applyBorder="1"/>
    <xf numFmtId="168" fontId="0" fillId="8" borderId="1" xfId="0" applyNumberFormat="1" applyFont="1" applyFill="1" applyBorder="1" applyAlignment="1">
      <alignment horizontal="center"/>
    </xf>
    <xf numFmtId="168" fontId="0" fillId="8" borderId="1" xfId="0" applyNumberFormat="1" applyFill="1" applyBorder="1" applyAlignment="1">
      <alignment horizontal="center"/>
    </xf>
    <xf numFmtId="10" fontId="0" fillId="8" borderId="1" xfId="1" applyNumberFormat="1" applyFont="1" applyFill="1" applyBorder="1" applyAlignment="1">
      <alignment horizontal="center"/>
    </xf>
    <xf numFmtId="168" fontId="2" fillId="8" borderId="3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8" fontId="2" fillId="2" borderId="0" xfId="0" applyNumberFormat="1" applyFont="1" applyFill="1" applyAlignment="1">
      <alignment horizontal="center"/>
    </xf>
    <xf numFmtId="10" fontId="2" fillId="5" borderId="0" xfId="0" applyNumberFormat="1" applyFont="1" applyFill="1" applyAlignment="1">
      <alignment horizontal="center"/>
    </xf>
    <xf numFmtId="2" fontId="0" fillId="5" borderId="0" xfId="0" applyNumberFormat="1" applyFont="1" applyFill="1" applyAlignment="1">
      <alignment horizontal="center"/>
    </xf>
    <xf numFmtId="10" fontId="1" fillId="5" borderId="0" xfId="1" applyNumberFormat="1" applyFont="1" applyFill="1" applyAlignment="1">
      <alignment horizontal="center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Border="1"/>
    <xf numFmtId="10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10" fontId="2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0" borderId="5" xfId="0" applyFont="1" applyBorder="1"/>
    <xf numFmtId="0" fontId="2" fillId="0" borderId="17" xfId="0" applyFont="1" applyBorder="1"/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left"/>
    </xf>
    <xf numFmtId="0" fontId="5" fillId="0" borderId="0" xfId="0" applyFont="1"/>
    <xf numFmtId="0" fontId="2" fillId="0" borderId="4" xfId="0" applyFont="1" applyBorder="1" applyAlignment="1">
      <alignment horizontal="left"/>
    </xf>
    <xf numFmtId="0" fontId="2" fillId="8" borderId="20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 wrapText="1"/>
    </xf>
    <xf numFmtId="9" fontId="0" fillId="5" borderId="0" xfId="1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8" borderId="19" xfId="0" quotePrefix="1" applyFill="1" applyBorder="1" applyAlignment="1">
      <alignment horizontal="center"/>
    </xf>
    <xf numFmtId="0" fontId="0" fillId="0" borderId="1" xfId="0" applyBorder="1" applyAlignment="1">
      <alignment horizontal="left" indent="3"/>
    </xf>
    <xf numFmtId="0" fontId="2" fillId="0" borderId="0" xfId="0" applyFont="1" applyAlignment="1"/>
    <xf numFmtId="0" fontId="0" fillId="0" borderId="8" xfId="0" applyBorder="1"/>
    <xf numFmtId="0" fontId="0" fillId="0" borderId="23" xfId="0" applyBorder="1"/>
    <xf numFmtId="9" fontId="0" fillId="0" borderId="5" xfId="0" applyNumberFormat="1" applyBorder="1" applyAlignment="1">
      <alignment horizontal="center"/>
    </xf>
    <xf numFmtId="0" fontId="0" fillId="0" borderId="1" xfId="0" applyFont="1" applyBorder="1" applyAlignment="1">
      <alignment horizontal="left" indent="1"/>
    </xf>
    <xf numFmtId="0" fontId="0" fillId="0" borderId="5" xfId="0" applyFont="1" applyBorder="1" applyAlignment="1">
      <alignment horizontal="left" indent="1"/>
    </xf>
    <xf numFmtId="0" fontId="0" fillId="3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5" borderId="1" xfId="0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5" xfId="0" applyFont="1" applyFill="1" applyBorder="1" applyAlignment="1">
      <alignment horizontal="center"/>
    </xf>
    <xf numFmtId="0" fontId="2" fillId="0" borderId="24" xfId="0" applyFont="1" applyBorder="1"/>
    <xf numFmtId="0" fontId="2" fillId="0" borderId="26" xfId="0" applyFont="1" applyBorder="1"/>
    <xf numFmtId="0" fontId="2" fillId="0" borderId="28" xfId="0" applyFont="1" applyBorder="1"/>
    <xf numFmtId="0" fontId="0" fillId="0" borderId="29" xfId="0" applyBorder="1"/>
    <xf numFmtId="0" fontId="0" fillId="5" borderId="0" xfId="0" applyFill="1" applyAlignment="1">
      <alignment horizontal="center"/>
    </xf>
    <xf numFmtId="0" fontId="0" fillId="0" borderId="1" xfId="0" applyFill="1" applyBorder="1" applyAlignment="1">
      <alignment horizontal="left" indent="1"/>
    </xf>
    <xf numFmtId="0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2" fillId="0" borderId="1" xfId="0" applyNumberFormat="1" applyFont="1" applyBorder="1"/>
    <xf numFmtId="1" fontId="2" fillId="0" borderId="2" xfId="0" applyNumberFormat="1" applyFont="1" applyBorder="1"/>
    <xf numFmtId="1" fontId="0" fillId="0" borderId="5" xfId="0" applyNumberFormat="1" applyBorder="1"/>
    <xf numFmtId="1" fontId="0" fillId="0" borderId="0" xfId="0" applyNumberFormat="1"/>
    <xf numFmtId="1" fontId="2" fillId="0" borderId="17" xfId="0" applyNumberFormat="1" applyFont="1" applyBorder="1"/>
    <xf numFmtId="0" fontId="2" fillId="0" borderId="5" xfId="0" applyFont="1" applyBorder="1" applyAlignment="1">
      <alignment horizontal="left" indent="1"/>
    </xf>
    <xf numFmtId="3" fontId="2" fillId="0" borderId="1" xfId="0" applyNumberFormat="1" applyFont="1" applyBorder="1"/>
    <xf numFmtId="9" fontId="2" fillId="0" borderId="1" xfId="1" applyFont="1" applyBorder="1"/>
    <xf numFmtId="9" fontId="2" fillId="0" borderId="5" xfId="1" applyFont="1" applyBorder="1"/>
    <xf numFmtId="3" fontId="0" fillId="0" borderId="1" xfId="0" applyNumberFormat="1" applyBorder="1"/>
    <xf numFmtId="1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1" fontId="2" fillId="0" borderId="5" xfId="0" applyNumberFormat="1" applyFont="1" applyBorder="1"/>
    <xf numFmtId="1" fontId="0" fillId="0" borderId="5" xfId="0" applyNumberFormat="1" applyBorder="1" applyAlignment="1">
      <alignment horizontal="center"/>
    </xf>
    <xf numFmtId="166" fontId="0" fillId="0" borderId="0" xfId="0" applyNumberFormat="1"/>
    <xf numFmtId="9" fontId="0" fillId="0" borderId="1" xfId="1" applyFont="1" applyBorder="1"/>
    <xf numFmtId="9" fontId="0" fillId="0" borderId="5" xfId="1" applyFont="1" applyBorder="1" applyAlignment="1">
      <alignment horizontal="center"/>
    </xf>
    <xf numFmtId="0" fontId="2" fillId="4" borderId="2" xfId="0" applyFont="1" applyFill="1" applyBorder="1" applyAlignment="1">
      <alignment horizontal="right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10" fillId="0" borderId="0" xfId="0" applyNumberFormat="1" applyFont="1"/>
    <xf numFmtId="1" fontId="0" fillId="0" borderId="27" xfId="0" applyNumberFormat="1" applyBorder="1" applyAlignment="1">
      <alignment horizontal="center"/>
    </xf>
    <xf numFmtId="173" fontId="0" fillId="0" borderId="0" xfId="0" applyNumberFormat="1"/>
    <xf numFmtId="174" fontId="0" fillId="0" borderId="0" xfId="0" applyNumberFormat="1"/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/>
    <xf numFmtId="1" fontId="2" fillId="0" borderId="0" xfId="0" applyNumberFormat="1" applyFont="1" applyAlignment="1">
      <alignment horizontal="center"/>
    </xf>
    <xf numFmtId="168" fontId="9" fillId="0" borderId="1" xfId="0" applyNumberFormat="1" applyFont="1" applyBorder="1" applyAlignment="1">
      <alignment horizontal="center"/>
    </xf>
    <xf numFmtId="168" fontId="9" fillId="2" borderId="1" xfId="0" applyNumberFormat="1" applyFont="1" applyFill="1" applyBorder="1" applyAlignment="1">
      <alignment horizontal="center"/>
    </xf>
    <xf numFmtId="10" fontId="9" fillId="0" borderId="0" xfId="0" applyNumberFormat="1" applyFont="1" applyAlignment="1">
      <alignment horizontal="center"/>
    </xf>
    <xf numFmtId="168" fontId="11" fillId="0" borderId="3" xfId="0" applyNumberFormat="1" applyFont="1" applyBorder="1"/>
    <xf numFmtId="0" fontId="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66" fontId="0" fillId="0" borderId="2" xfId="0" applyNumberFormat="1" applyBorder="1" applyAlignment="1">
      <alignment horizontal="center"/>
    </xf>
    <xf numFmtId="166" fontId="2" fillId="5" borderId="2" xfId="0" applyNumberFormat="1" applyFont="1" applyFill="1" applyBorder="1" applyAlignment="1">
      <alignment horizontal="center"/>
    </xf>
    <xf numFmtId="166" fontId="2" fillId="5" borderId="5" xfId="0" applyNumberFormat="1" applyFont="1" applyFill="1" applyBorder="1" applyAlignment="1">
      <alignment horizontal="center"/>
    </xf>
    <xf numFmtId="10" fontId="9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0" fontId="9" fillId="0" borderId="5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5" fontId="2" fillId="0" borderId="15" xfId="0" applyNumberFormat="1" applyFont="1" applyBorder="1"/>
    <xf numFmtId="165" fontId="2" fillId="10" borderId="15" xfId="0" applyNumberFormat="1" applyFont="1" applyFill="1" applyBorder="1"/>
    <xf numFmtId="2" fontId="9" fillId="0" borderId="0" xfId="0" applyNumberFormat="1" applyFont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6" fillId="0" borderId="0" xfId="0" applyFont="1" applyAlignment="1">
      <alignment vertical="center"/>
    </xf>
    <xf numFmtId="1" fontId="0" fillId="0" borderId="29" xfId="0" applyNumberFormat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2" xfId="0" applyFont="1" applyBorder="1" applyAlignment="1">
      <alignment horizontal="left" indent="2"/>
    </xf>
    <xf numFmtId="0" fontId="2" fillId="0" borderId="15" xfId="0" applyFont="1" applyBorder="1"/>
    <xf numFmtId="0" fontId="2" fillId="3" borderId="22" xfId="0" applyFont="1" applyFill="1" applyBorder="1"/>
    <xf numFmtId="0" fontId="2" fillId="3" borderId="15" xfId="0" applyFont="1" applyFill="1" applyBorder="1"/>
    <xf numFmtId="169" fontId="2" fillId="3" borderId="21" xfId="0" applyNumberFormat="1" applyFont="1" applyFill="1" applyBorder="1" applyAlignment="1">
      <alignment horizontal="center"/>
    </xf>
    <xf numFmtId="3" fontId="0" fillId="0" borderId="0" xfId="0" applyNumberFormat="1"/>
    <xf numFmtId="165" fontId="0" fillId="0" borderId="15" xfId="0" applyNumberFormat="1" applyFont="1" applyBorder="1"/>
    <xf numFmtId="165" fontId="0" fillId="0" borderId="21" xfId="0" applyNumberFormat="1" applyFont="1" applyBorder="1"/>
    <xf numFmtId="0" fontId="12" fillId="4" borderId="2" xfId="0" applyFont="1" applyFill="1" applyBorder="1" applyAlignment="1"/>
    <xf numFmtId="1" fontId="2" fillId="3" borderId="4" xfId="0" applyNumberFormat="1" applyFont="1" applyFill="1" applyBorder="1" applyAlignment="1">
      <alignment horizontal="center"/>
    </xf>
    <xf numFmtId="0" fontId="0" fillId="4" borderId="1" xfId="0" applyFill="1" applyBorder="1"/>
    <xf numFmtId="167" fontId="9" fillId="0" borderId="1" xfId="0" applyNumberFormat="1" applyFont="1" applyBorder="1" applyAlignment="1">
      <alignment horizontal="center"/>
    </xf>
    <xf numFmtId="165" fontId="0" fillId="0" borderId="4" xfId="1" applyNumberFormat="1" applyFont="1" applyBorder="1"/>
    <xf numFmtId="43" fontId="0" fillId="0" borderId="1" xfId="0" applyNumberFormat="1" applyBorder="1"/>
    <xf numFmtId="0" fontId="2" fillId="4" borderId="1" xfId="0" applyFont="1" applyFill="1" applyBorder="1"/>
    <xf numFmtId="0" fontId="2" fillId="10" borderId="2" xfId="0" applyFont="1" applyFill="1" applyBorder="1" applyAlignment="1">
      <alignment horizontal="left" indent="1"/>
    </xf>
    <xf numFmtId="0" fontId="0" fillId="10" borderId="2" xfId="0" applyFill="1" applyBorder="1"/>
    <xf numFmtId="165" fontId="0" fillId="0" borderId="1" xfId="0" applyNumberFormat="1" applyFont="1" applyBorder="1"/>
    <xf numFmtId="165" fontId="2" fillId="0" borderId="1" xfId="0" applyNumberFormat="1" applyFont="1" applyBorder="1"/>
    <xf numFmtId="165" fontId="2" fillId="10" borderId="1" xfId="0" applyNumberFormat="1" applyFont="1" applyFill="1" applyBorder="1"/>
    <xf numFmtId="165" fontId="0" fillId="0" borderId="5" xfId="0" applyNumberFormat="1" applyFont="1" applyBorder="1"/>
    <xf numFmtId="0" fontId="2" fillId="4" borderId="4" xfId="0" applyNumberFormat="1" applyFont="1" applyFill="1" applyBorder="1" applyAlignment="1">
      <alignment horizontal="center"/>
    </xf>
    <xf numFmtId="165" fontId="0" fillId="0" borderId="4" xfId="0" applyNumberFormat="1" applyFont="1" applyBorder="1"/>
    <xf numFmtId="176" fontId="1" fillId="0" borderId="15" xfId="2" applyNumberFormat="1" applyFont="1" applyBorder="1"/>
    <xf numFmtId="176" fontId="1" fillId="0" borderId="15" xfId="2" applyNumberFormat="1" applyFont="1" applyFill="1" applyBorder="1"/>
    <xf numFmtId="176" fontId="2" fillId="0" borderId="15" xfId="2" applyNumberFormat="1" applyFont="1" applyFill="1" applyBorder="1"/>
    <xf numFmtId="176" fontId="2" fillId="10" borderId="15" xfId="2" applyNumberFormat="1" applyFont="1" applyFill="1" applyBorder="1"/>
    <xf numFmtId="176" fontId="1" fillId="0" borderId="21" xfId="2" applyNumberFormat="1" applyFont="1" applyFill="1" applyBorder="1"/>
    <xf numFmtId="168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8" fontId="2" fillId="0" borderId="15" xfId="0" applyNumberFormat="1" applyFont="1" applyBorder="1" applyAlignment="1">
      <alignment horizontal="center"/>
    </xf>
    <xf numFmtId="0" fontId="2" fillId="11" borderId="3" xfId="0" applyFont="1" applyFill="1" applyBorder="1" applyAlignment="1">
      <alignment horizontal="left" indent="1"/>
    </xf>
    <xf numFmtId="0" fontId="0" fillId="11" borderId="3" xfId="0" applyFill="1" applyBorder="1"/>
    <xf numFmtId="10" fontId="2" fillId="11" borderId="3" xfId="1" applyNumberFormat="1" applyFont="1" applyFill="1" applyBorder="1" applyAlignment="1">
      <alignment horizontal="center"/>
    </xf>
    <xf numFmtId="0" fontId="2" fillId="11" borderId="3" xfId="0" applyFont="1" applyFill="1" applyBorder="1"/>
    <xf numFmtId="0" fontId="2" fillId="12" borderId="2" xfId="0" applyFont="1" applyFill="1" applyBorder="1" applyAlignment="1">
      <alignment horizontal="left" indent="1"/>
    </xf>
    <xf numFmtId="0" fontId="0" fillId="12" borderId="2" xfId="0" applyFill="1" applyBorder="1"/>
    <xf numFmtId="0" fontId="2" fillId="8" borderId="2" xfId="0" applyFont="1" applyFill="1" applyBorder="1" applyAlignment="1">
      <alignment horizontal="left" indent="1"/>
    </xf>
    <xf numFmtId="0" fontId="0" fillId="8" borderId="2" xfId="0" applyFill="1" applyBorder="1"/>
    <xf numFmtId="10" fontId="2" fillId="8" borderId="2" xfId="1" applyNumberFormat="1" applyFont="1" applyFill="1" applyBorder="1" applyAlignment="1">
      <alignment horizontal="center"/>
    </xf>
    <xf numFmtId="10" fontId="2" fillId="8" borderId="2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5" fontId="2" fillId="0" borderId="15" xfId="0" applyNumberFormat="1" applyFont="1" applyBorder="1" applyAlignment="1">
      <alignment horizontal="center"/>
    </xf>
    <xf numFmtId="5" fontId="2" fillId="0" borderId="21" xfId="0" applyNumberFormat="1" applyFont="1" applyBorder="1" applyAlignment="1">
      <alignment horizontal="center"/>
    </xf>
    <xf numFmtId="167" fontId="13" fillId="0" borderId="5" xfId="0" applyNumberFormat="1" applyFont="1" applyBorder="1" applyAlignment="1">
      <alignment horizontal="center"/>
    </xf>
    <xf numFmtId="0" fontId="0" fillId="0" borderId="15" xfId="0" applyFont="1" applyBorder="1"/>
    <xf numFmtId="10" fontId="2" fillId="0" borderId="15" xfId="0" applyNumberFormat="1" applyFont="1" applyBorder="1" applyAlignment="1">
      <alignment horizontal="center"/>
    </xf>
    <xf numFmtId="10" fontId="2" fillId="0" borderId="21" xfId="0" applyNumberFormat="1" applyFont="1" applyBorder="1" applyAlignment="1">
      <alignment horizontal="center"/>
    </xf>
    <xf numFmtId="1" fontId="2" fillId="10" borderId="2" xfId="0" applyNumberFormat="1" applyFont="1" applyFill="1" applyBorder="1"/>
    <xf numFmtId="168" fontId="0" fillId="0" borderId="5" xfId="0" applyNumberFormat="1" applyBorder="1" applyAlignment="1">
      <alignment horizontal="center"/>
    </xf>
    <xf numFmtId="168" fontId="9" fillId="0" borderId="2" xfId="0" applyNumberFormat="1" applyFont="1" applyBorder="1" applyAlignment="1">
      <alignment horizontal="center"/>
    </xf>
    <xf numFmtId="168" fontId="9" fillId="0" borderId="5" xfId="0" applyNumberFormat="1" applyFont="1" applyBorder="1" applyAlignment="1">
      <alignment horizontal="center"/>
    </xf>
    <xf numFmtId="168" fontId="0" fillId="0" borderId="4" xfId="0" applyNumberFormat="1" applyBorder="1"/>
    <xf numFmtId="168" fontId="0" fillId="0" borderId="5" xfId="0" applyNumberFormat="1" applyBorder="1"/>
    <xf numFmtId="168" fontId="9" fillId="0" borderId="4" xfId="0" applyNumberFormat="1" applyFont="1" applyBorder="1"/>
    <xf numFmtId="168" fontId="2" fillId="0" borderId="17" xfId="0" applyNumberFormat="1" applyFont="1" applyBorder="1"/>
    <xf numFmtId="168" fontId="2" fillId="0" borderId="16" xfId="0" applyNumberFormat="1" applyFont="1" applyBorder="1"/>
    <xf numFmtId="177" fontId="2" fillId="12" borderId="2" xfId="1" applyNumberFormat="1" applyFont="1" applyFill="1" applyBorder="1" applyAlignment="1">
      <alignment horizontal="center"/>
    </xf>
    <xf numFmtId="177" fontId="2" fillId="12" borderId="2" xfId="0" applyNumberFormat="1" applyFont="1" applyFill="1" applyBorder="1" applyAlignment="1">
      <alignment horizontal="center"/>
    </xf>
    <xf numFmtId="177" fontId="2" fillId="10" borderId="2" xfId="0" applyNumberFormat="1" applyFon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177" fontId="2" fillId="3" borderId="4" xfId="0" applyNumberFormat="1" applyFont="1" applyFill="1" applyBorder="1"/>
    <xf numFmtId="177" fontId="0" fillId="5" borderId="0" xfId="0" applyNumberFormat="1" applyFill="1" applyAlignment="1">
      <alignment horizontal="center"/>
    </xf>
    <xf numFmtId="168" fontId="0" fillId="0" borderId="31" xfId="0" applyNumberFormat="1" applyBorder="1"/>
    <xf numFmtId="168" fontId="2" fillId="0" borderId="8" xfId="0" applyNumberFormat="1" applyFont="1" applyBorder="1"/>
    <xf numFmtId="168" fontId="2" fillId="0" borderId="9" xfId="0" applyNumberFormat="1" applyFont="1" applyBorder="1"/>
    <xf numFmtId="168" fontId="2" fillId="0" borderId="10" xfId="0" applyNumberFormat="1" applyFont="1" applyBorder="1"/>
    <xf numFmtId="168" fontId="2" fillId="0" borderId="23" xfId="0" applyNumberFormat="1" applyFont="1" applyBorder="1"/>
    <xf numFmtId="168" fontId="2" fillId="0" borderId="0" xfId="0" applyNumberFormat="1" applyFont="1" applyBorder="1"/>
    <xf numFmtId="168" fontId="2" fillId="0" borderId="31" xfId="0" applyNumberFormat="1" applyFont="1" applyBorder="1"/>
    <xf numFmtId="168" fontId="2" fillId="0" borderId="11" xfId="0" applyNumberFormat="1" applyFont="1" applyBorder="1"/>
    <xf numFmtId="168" fontId="2" fillId="0" borderId="12" xfId="0" applyNumberFormat="1" applyFont="1" applyBorder="1"/>
    <xf numFmtId="168" fontId="2" fillId="0" borderId="13" xfId="0" applyNumberFormat="1" applyFont="1" applyBorder="1"/>
    <xf numFmtId="168" fontId="0" fillId="0" borderId="12" xfId="0" applyNumberFormat="1" applyBorder="1"/>
    <xf numFmtId="168" fontId="0" fillId="0" borderId="13" xfId="0" applyNumberFormat="1" applyBorder="1"/>
    <xf numFmtId="168" fontId="0" fillId="0" borderId="0" xfId="0" applyNumberFormat="1" applyBorder="1"/>
    <xf numFmtId="177" fontId="0" fillId="0" borderId="4" xfId="0" applyNumberFormat="1" applyBorder="1"/>
    <xf numFmtId="177" fontId="0" fillId="0" borderId="1" xfId="0" applyNumberFormat="1" applyBorder="1"/>
    <xf numFmtId="177" fontId="0" fillId="0" borderId="5" xfId="0" applyNumberFormat="1" applyBorder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21" xfId="0" applyFont="1" applyFill="1" applyBorder="1" applyAlignment="1">
      <alignment horizontal="center"/>
    </xf>
    <xf numFmtId="0" fontId="12" fillId="4" borderId="22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13">
    <dxf>
      <font>
        <b/>
        <i/>
        <u val="double"/>
        <color theme="1"/>
      </font>
      <fill>
        <patternFill>
          <bgColor rgb="FF00B050"/>
        </patternFill>
      </fill>
    </dxf>
    <dxf>
      <font>
        <b/>
        <i/>
        <u/>
      </font>
      <fill>
        <patternFill>
          <bgColor rgb="FFFF0000"/>
        </patternFill>
      </fill>
    </dxf>
    <dxf>
      <font>
        <b/>
        <i val="0"/>
        <u val="none"/>
      </font>
      <fill>
        <patternFill>
          <bgColor rgb="FFFFC000"/>
        </patternFill>
      </fill>
    </dxf>
    <dxf>
      <font>
        <b/>
        <i val="0"/>
        <u val="none"/>
      </font>
      <fill>
        <patternFill>
          <bgColor rgb="FFFFC000"/>
        </patternFill>
      </fill>
    </dxf>
    <dxf>
      <font>
        <b/>
        <i/>
        <u/>
      </font>
      <fill>
        <patternFill>
          <bgColor rgb="FFFF0000"/>
        </patternFill>
      </fill>
    </dxf>
    <dxf>
      <font>
        <b/>
        <i/>
        <u val="double"/>
        <color theme="1"/>
      </font>
      <fill>
        <patternFill>
          <bgColor rgb="FF00B050"/>
        </patternFill>
      </fill>
    </dxf>
    <dxf>
      <font>
        <b/>
        <i val="0"/>
        <u val="none"/>
      </font>
      <fill>
        <patternFill>
          <bgColor rgb="FFFFC000"/>
        </patternFill>
      </fill>
    </dxf>
    <dxf>
      <font>
        <b/>
        <i/>
        <u val="double"/>
        <color theme="1"/>
      </font>
      <fill>
        <patternFill>
          <bgColor rgb="FF00B050"/>
        </patternFill>
      </fill>
    </dxf>
    <dxf>
      <font>
        <b/>
        <i/>
        <u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000000"/>
      <color rgb="FFF4AD5E"/>
      <color rgb="FFF0FB5F"/>
      <color rgb="FF2D51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Football Field Analysis-GM</a:t>
            </a:r>
          </a:p>
        </c:rich>
      </c:tx>
      <c:overlay val="0"/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Analysis'!$B$8:$B$15</c:f>
              <c:strCache>
                <c:ptCount val="8"/>
                <c:pt idx="0">
                  <c:v>Perpetual Growth</c:v>
                </c:pt>
                <c:pt idx="1">
                  <c:v>Exit Multiple</c:v>
                </c:pt>
                <c:pt idx="2">
                  <c:v>CCA (FY1 EV/EBITDA)</c:v>
                </c:pt>
                <c:pt idx="3">
                  <c:v>CCA (FY2 EV/EBITDA)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  <c:pt idx="7">
                  <c:v>Final Range</c:v>
                </c:pt>
              </c:strCache>
            </c:strRef>
          </c:cat>
          <c:val>
            <c:numRef>
              <c:f>'Football Field Analysis'!$C$8:$C$15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3316-4CD4-9904-60E3523A45A7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Analysis'!$B$8:$B$15</c:f>
              <c:strCache>
                <c:ptCount val="8"/>
                <c:pt idx="0">
                  <c:v>Perpetual Growth</c:v>
                </c:pt>
                <c:pt idx="1">
                  <c:v>Exit Multiple</c:v>
                </c:pt>
                <c:pt idx="2">
                  <c:v>CCA (FY1 EV/EBITDA)</c:v>
                </c:pt>
                <c:pt idx="3">
                  <c:v>CCA (FY2 EV/EBITDA)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  <c:pt idx="7">
                  <c:v>Final Range</c:v>
                </c:pt>
              </c:strCache>
            </c:strRef>
          </c:cat>
          <c:val>
            <c:numRef>
              <c:f>'Football Field Analysis'!$D$8:$D$15</c:f>
              <c:numCache>
                <c:formatCode>"$"#,##0.00;[Red]"$"#,##0.00</c:formatCode>
                <c:ptCount val="8"/>
                <c:pt idx="0">
                  <c:v>111.05822395262231</c:v>
                </c:pt>
                <c:pt idx="1">
                  <c:v>140.99957258780756</c:v>
                </c:pt>
                <c:pt idx="2">
                  <c:v>156.10673977730474</c:v>
                </c:pt>
                <c:pt idx="3">
                  <c:v>151.19917187587509</c:v>
                </c:pt>
                <c:pt idx="4">
                  <c:v>37</c:v>
                </c:pt>
                <c:pt idx="5">
                  <c:v>38.950000000000003</c:v>
                </c:pt>
                <c:pt idx="6">
                  <c:v>51.37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6-4CD4-9904-60E3523A45A7}"/>
            </c:ext>
          </c:extLst>
        </c:ser>
        <c:ser>
          <c:idx val="2"/>
          <c:order val="2"/>
          <c:spPr>
            <a:solidFill>
              <a:srgbClr val="2D51B7"/>
            </a:solidFill>
            <a:ln w="28575">
              <a:solidFill>
                <a:schemeClr val="accent1">
                  <a:lumMod val="75000"/>
                </a:schemeClr>
              </a:solidFill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Scribble/>
                    </ask:type>
                  </ask:lineSketchStyleProps>
                </a:ext>
              </a:extLst>
            </a:ln>
            <a:effectLst/>
          </c:spPr>
          <c:invertIfNegative val="0"/>
          <c:dLbls>
            <c:delete val="1"/>
          </c:dLbls>
          <c:cat>
            <c:strRef>
              <c:f>'Football Field Analysis'!$B$8:$B$15</c:f>
              <c:strCache>
                <c:ptCount val="8"/>
                <c:pt idx="0">
                  <c:v>Perpetual Growth</c:v>
                </c:pt>
                <c:pt idx="1">
                  <c:v>Exit Multiple</c:v>
                </c:pt>
                <c:pt idx="2">
                  <c:v>CCA (FY1 EV/EBITDA)</c:v>
                </c:pt>
                <c:pt idx="3">
                  <c:v>CCA (FY2 EV/EBITDA)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  <c:pt idx="7">
                  <c:v>Final Range</c:v>
                </c:pt>
              </c:strCache>
            </c:strRef>
          </c:cat>
          <c:val>
            <c:numRef>
              <c:f>'Football Field Analysis'!$E$8:$E$15</c:f>
              <c:numCache>
                <c:formatCode>"$"#,##0.00;[Red]"$"#,##0.00</c:formatCode>
                <c:ptCount val="8"/>
                <c:pt idx="0">
                  <c:v>76.84632697308561</c:v>
                </c:pt>
                <c:pt idx="1">
                  <c:v>18.360195231254494</c:v>
                </c:pt>
                <c:pt idx="2">
                  <c:v>57.395246159744516</c:v>
                </c:pt>
                <c:pt idx="3">
                  <c:v>56.304675514982335</c:v>
                </c:pt>
                <c:pt idx="4">
                  <c:v>48</c:v>
                </c:pt>
                <c:pt idx="5">
                  <c:v>22.29</c:v>
                </c:pt>
                <c:pt idx="6">
                  <c:v>0</c:v>
                </c:pt>
                <c:pt idx="7">
                  <c:v>176.50198593704926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16-4CD4-9904-60E3523A45A7}"/>
            </c:ext>
          </c:extLst>
        </c:ser>
        <c:ser>
          <c:idx val="3"/>
          <c:order val="3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Analysis'!$B$8:$B$15</c:f>
              <c:strCache>
                <c:ptCount val="8"/>
                <c:pt idx="0">
                  <c:v>Perpetual Growth</c:v>
                </c:pt>
                <c:pt idx="1">
                  <c:v>Exit Multiple</c:v>
                </c:pt>
                <c:pt idx="2">
                  <c:v>CCA (FY1 EV/EBITDA)</c:v>
                </c:pt>
                <c:pt idx="3">
                  <c:v>CCA (FY2 EV/EBITDA)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  <c:pt idx="7">
                  <c:v>Final Range</c:v>
                </c:pt>
              </c:strCache>
            </c:strRef>
          </c:cat>
          <c:val>
            <c:numRef>
              <c:f>'Football Field Analysis'!$F$8:$F$15</c:f>
              <c:numCache>
                <c:formatCode>"$"#,##0.00;[Red]"$"#,##0.00</c:formatCode>
                <c:ptCount val="8"/>
                <c:pt idx="0">
                  <c:v>187.90455092570792</c:v>
                </c:pt>
                <c:pt idx="1">
                  <c:v>159.35976781906206</c:v>
                </c:pt>
                <c:pt idx="2">
                  <c:v>213.50198593704926</c:v>
                </c:pt>
                <c:pt idx="3">
                  <c:v>207.50384739085743</c:v>
                </c:pt>
                <c:pt idx="4">
                  <c:v>85</c:v>
                </c:pt>
                <c:pt idx="5">
                  <c:v>61.24</c:v>
                </c:pt>
                <c:pt idx="6">
                  <c:v>51.37</c:v>
                </c:pt>
                <c:pt idx="7">
                  <c:v>213.50198593704926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16-4CD4-9904-60E3523A45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05818704"/>
        <c:axId val="1905819664"/>
      </c:barChart>
      <c:catAx>
        <c:axId val="19058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819664"/>
        <c:crosses val="autoZero"/>
        <c:auto val="1"/>
        <c:lblAlgn val="ctr"/>
        <c:lblOffset val="100"/>
        <c:noMultiLvlLbl val="0"/>
      </c:catAx>
      <c:valAx>
        <c:axId val="1905819664"/>
        <c:scaling>
          <c:orientation val="minMax"/>
          <c:max val="300"/>
          <c:min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818704"/>
        <c:crosses val="autoZero"/>
        <c:crossBetween val="between"/>
      </c:valAx>
      <c:spPr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50000" t="50000" r="50000" b="50000"/>
          </a:path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DuPont</a:t>
            </a: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 Analysis - GM</a:t>
            </a:r>
            <a:endPara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solidFill>
          <a:srgbClr val="00B0F0"/>
        </a:solidFill>
        <a:ln w="19050" cap="flat" cmpd="sng" algn="ctr">
          <a:solidFill>
            <a:schemeClr val="l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'DuPont Analysis'!$B$10</c:f>
              <c:strCache>
                <c:ptCount val="1"/>
                <c:pt idx="0">
                  <c:v>Net Profit Ratio (A)</c:v>
                </c:pt>
              </c:strCache>
            </c:strRef>
          </c:tx>
          <c:spPr>
            <a:ln w="38100" cap="rnd" cmpd="tri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5875">
                <a:solidFill>
                  <a:srgbClr val="00B0F0"/>
                </a:solidFill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Analysis'!$C$6:$I$6</c:f>
              <c:numCache>
                <c:formatCode>dd\-mmm\-yy</c:formatCode>
                <c:ptCount val="7"/>
                <c:pt idx="1">
                  <c:v>43830</c:v>
                </c:pt>
                <c:pt idx="2">
                  <c:v>44196</c:v>
                </c:pt>
                <c:pt idx="3">
                  <c:v>44561</c:v>
                </c:pt>
                <c:pt idx="4">
                  <c:v>44926</c:v>
                </c:pt>
                <c:pt idx="5">
                  <c:v>45291</c:v>
                </c:pt>
                <c:pt idx="6">
                  <c:v>45657</c:v>
                </c:pt>
              </c:numCache>
            </c:numRef>
          </c:cat>
          <c:val>
            <c:numRef>
              <c:f>'DuPont Analysis'!$C$10:$I$10</c:f>
              <c:numCache>
                <c:formatCode>0.00%</c:formatCode>
                <c:ptCount val="7"/>
                <c:pt idx="1">
                  <c:v>4.9053826591954064E-2</c:v>
                </c:pt>
                <c:pt idx="2">
                  <c:v>5.2471731232395805E-2</c:v>
                </c:pt>
                <c:pt idx="3">
                  <c:v>7.8887279140814462E-2</c:v>
                </c:pt>
                <c:pt idx="4">
                  <c:v>6.338086579257983E-2</c:v>
                </c:pt>
                <c:pt idx="5">
                  <c:v>5.893204222483444E-2</c:v>
                </c:pt>
                <c:pt idx="6">
                  <c:v>3.2052581598574492E-2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D91-4C42-8916-9902C0D0E63E}"/>
            </c:ext>
          </c:extLst>
        </c:ser>
        <c:ser>
          <c:idx val="3"/>
          <c:order val="3"/>
          <c:tx>
            <c:strRef>
              <c:f>'DuPont Analysis'!$B$20</c:f>
              <c:strCache>
                <c:ptCount val="1"/>
                <c:pt idx="0">
                  <c:v>Return on Equity (A*B*C)</c:v>
                </c:pt>
              </c:strCache>
            </c:strRef>
          </c:tx>
          <c:spPr>
            <a:ln w="50800" cap="sq" cmpd="tri">
              <a:solidFill>
                <a:schemeClr val="accent4"/>
              </a:solidFill>
              <a:miter lim="800000"/>
              <a:headEnd type="diamond" w="med" len="med"/>
              <a:tailEnd type="diamond"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25400" cap="sq">
                <a:solidFill>
                  <a:srgbClr val="FF0000"/>
                </a:solidFill>
                <a:miter lim="800000"/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Analysis'!$C$6:$I$6</c:f>
              <c:numCache>
                <c:formatCode>dd\-mmm\-yy</c:formatCode>
                <c:ptCount val="7"/>
                <c:pt idx="1">
                  <c:v>43830</c:v>
                </c:pt>
                <c:pt idx="2">
                  <c:v>44196</c:v>
                </c:pt>
                <c:pt idx="3">
                  <c:v>44561</c:v>
                </c:pt>
                <c:pt idx="4">
                  <c:v>44926</c:v>
                </c:pt>
                <c:pt idx="5">
                  <c:v>45291</c:v>
                </c:pt>
                <c:pt idx="6">
                  <c:v>45657</c:v>
                </c:pt>
              </c:numCache>
            </c:numRef>
          </c:cat>
          <c:val>
            <c:numRef>
              <c:f>'DuPont Analysis'!$C$20:$I$20</c:f>
              <c:numCache>
                <c:formatCode>0.00%</c:formatCode>
                <c:ptCount val="7"/>
                <c:pt idx="1">
                  <c:v>0.16108346094946402</c:v>
                </c:pt>
                <c:pt idx="2">
                  <c:v>0.14272707084166111</c:v>
                </c:pt>
                <c:pt idx="3">
                  <c:v>0.16769884841992497</c:v>
                </c:pt>
                <c:pt idx="4">
                  <c:v>0.1465364644795846</c:v>
                </c:pt>
                <c:pt idx="5">
                  <c:v>0.15753041097595119</c:v>
                </c:pt>
                <c:pt idx="6">
                  <c:v>9.5256215119228813E-2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D91-4C42-8916-9902C0D0E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41552"/>
        <c:axId val="26436272"/>
      </c:lineChart>
      <c:lineChart>
        <c:grouping val="standard"/>
        <c:varyColors val="0"/>
        <c:ser>
          <c:idx val="1"/>
          <c:order val="1"/>
          <c:tx>
            <c:strRef>
              <c:f>'DuPont Analysis'!$B$14</c:f>
              <c:strCache>
                <c:ptCount val="1"/>
                <c:pt idx="0">
                  <c:v>Total Asset Turnover Ratio (B)</c:v>
                </c:pt>
              </c:strCache>
            </c:strRef>
          </c:tx>
          <c:spPr>
            <a:ln w="38100" cap="rnd" cmpd="tri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5875">
                <a:solidFill>
                  <a:srgbClr val="00B0F0"/>
                </a:solidFill>
              </a:ln>
              <a:effectLst/>
            </c:spPr>
          </c:marker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Analysis'!$C$6:$I$6</c:f>
              <c:numCache>
                <c:formatCode>dd\-mmm\-yy</c:formatCode>
                <c:ptCount val="7"/>
                <c:pt idx="1">
                  <c:v>43830</c:v>
                </c:pt>
                <c:pt idx="2">
                  <c:v>44196</c:v>
                </c:pt>
                <c:pt idx="3">
                  <c:v>44561</c:v>
                </c:pt>
                <c:pt idx="4">
                  <c:v>44926</c:v>
                </c:pt>
                <c:pt idx="5">
                  <c:v>45291</c:v>
                </c:pt>
                <c:pt idx="6">
                  <c:v>45657</c:v>
                </c:pt>
              </c:numCache>
            </c:numRef>
          </c:cat>
          <c:val>
            <c:numRef>
              <c:f>'DuPont Analysis'!$C$14:$I$14</c:f>
              <c:numCache>
                <c:formatCode>0.00"x"</c:formatCode>
                <c:ptCount val="7"/>
                <c:pt idx="1">
                  <c:v>0.6027414707845824</c:v>
                </c:pt>
                <c:pt idx="2">
                  <c:v>0.52882902914528607</c:v>
                </c:pt>
                <c:pt idx="3">
                  <c:v>0.52928036806747902</c:v>
                </c:pt>
                <c:pt idx="4">
                  <c:v>0.61615119261727158</c:v>
                </c:pt>
                <c:pt idx="5">
                  <c:v>0.63988709758499795</c:v>
                </c:pt>
                <c:pt idx="6">
                  <c:v>0.67812418034640254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D91-4C42-8916-9902C0D0E63E}"/>
            </c:ext>
          </c:extLst>
        </c:ser>
        <c:ser>
          <c:idx val="2"/>
          <c:order val="2"/>
          <c:tx>
            <c:strRef>
              <c:f>'DuPont Analysis'!$B$18</c:f>
              <c:strCache>
                <c:ptCount val="1"/>
                <c:pt idx="0">
                  <c:v>Equity Multiplier / Financial Leverage (C)</c:v>
                </c:pt>
              </c:strCache>
            </c:strRef>
          </c:tx>
          <c:spPr>
            <a:ln w="38100" cap="rnd" cmpd="tri">
              <a:solidFill>
                <a:schemeClr val="accent3"/>
              </a:solidFill>
              <a:round/>
              <a:headEnd type="none"/>
              <a:tailEnd type="none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5875" cap="rnd">
                <a:solidFill>
                  <a:srgbClr val="00B0F0"/>
                </a:solidFill>
              </a:ln>
              <a:effectLst/>
            </c:spPr>
          </c:marker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'DuPont Analysis'!$C$6:$I$6</c:f>
              <c:numCache>
                <c:formatCode>dd\-mmm\-yy</c:formatCode>
                <c:ptCount val="7"/>
                <c:pt idx="1">
                  <c:v>43830</c:v>
                </c:pt>
                <c:pt idx="2">
                  <c:v>44196</c:v>
                </c:pt>
                <c:pt idx="3">
                  <c:v>44561</c:v>
                </c:pt>
                <c:pt idx="4">
                  <c:v>44926</c:v>
                </c:pt>
                <c:pt idx="5">
                  <c:v>45291</c:v>
                </c:pt>
                <c:pt idx="6">
                  <c:v>45657</c:v>
                </c:pt>
              </c:numCache>
            </c:numRef>
          </c:cat>
          <c:val>
            <c:numRef>
              <c:f>'DuPont Analysis'!$C$18:$I$18</c:f>
              <c:numCache>
                <c:formatCode>0.00"x"</c:formatCode>
                <c:ptCount val="7"/>
                <c:pt idx="1">
                  <c:v>5.4481240428790203</c:v>
                </c:pt>
                <c:pt idx="2">
                  <c:v>5.1435820564068395</c:v>
                </c:pt>
                <c:pt idx="3">
                  <c:v>4.0164033208355647</c:v>
                </c:pt>
                <c:pt idx="4">
                  <c:v>3.7523232829832427</c:v>
                </c:pt>
                <c:pt idx="5">
                  <c:v>4.1774336558504181</c:v>
                </c:pt>
                <c:pt idx="6">
                  <c:v>4.3824914383561646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D91-4C42-8916-9902C0D0E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40112"/>
        <c:axId val="26449712"/>
      </c:lineChart>
      <c:dateAx>
        <c:axId val="2644155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6272"/>
        <c:crosses val="autoZero"/>
        <c:auto val="0"/>
        <c:lblOffset val="100"/>
        <c:baseTimeUnit val="years"/>
      </c:dateAx>
      <c:valAx>
        <c:axId val="264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1552"/>
        <c:crosses val="autoZero"/>
        <c:crossBetween val="between"/>
      </c:valAx>
      <c:valAx>
        <c:axId val="26449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0112"/>
        <c:crosses val="max"/>
        <c:crossBetween val="between"/>
      </c:valAx>
      <c:dateAx>
        <c:axId val="2644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449712"/>
        <c:crosses val="autoZero"/>
        <c:auto val="1"/>
        <c:lblOffset val="100"/>
        <c:baseTimeUnit val="years"/>
      </c:dateAx>
      <c:spPr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16200000" scaled="1"/>
          <a:tileRect/>
        </a:gradFill>
        <a:ln>
          <a:solidFill>
            <a:schemeClr val="accent4">
              <a:lumMod val="40000"/>
              <a:lumOff val="6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1.061551377146657E-3"/>
          <c:y val="0.92821288092907084"/>
          <c:w val="0.9961893640763787"/>
          <c:h val="5.2957808011204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General Motors-S&amp;P 500: Regression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3507329829750945E-2"/>
                  <c:y val="-0.133682560513269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Beta'!$I$8:$I$163</c:f>
              <c:numCache>
                <c:formatCode>0.00%</c:formatCode>
                <c:ptCount val="156"/>
                <c:pt idx="0">
                  <c:v>-4.7514252600973882E-3</c:v>
                </c:pt>
                <c:pt idx="1">
                  <c:v>6.7427097296339951E-3</c:v>
                </c:pt>
                <c:pt idx="2">
                  <c:v>-1.9870800136834815E-2</c:v>
                </c:pt>
                <c:pt idx="3">
                  <c:v>-6.4332123206360782E-3</c:v>
                </c:pt>
                <c:pt idx="4">
                  <c:v>9.5965439842981247E-3</c:v>
                </c:pt>
                <c:pt idx="5">
                  <c:v>1.0560631493598951E-2</c:v>
                </c:pt>
                <c:pt idx="6">
                  <c:v>1.6815941076070373E-2</c:v>
                </c:pt>
                <c:pt idx="7">
                  <c:v>-2.0835487712532994E-2</c:v>
                </c:pt>
                <c:pt idx="8">
                  <c:v>4.6561234464460234E-2</c:v>
                </c:pt>
                <c:pt idx="9">
                  <c:v>-1.365674262928447E-2</c:v>
                </c:pt>
                <c:pt idx="10">
                  <c:v>-9.6424862780003281E-3</c:v>
                </c:pt>
                <c:pt idx="11">
                  <c:v>8.5364993817745281E-3</c:v>
                </c:pt>
                <c:pt idx="12">
                  <c:v>1.1121408711770165E-2</c:v>
                </c:pt>
                <c:pt idx="13">
                  <c:v>2.2481034894399495E-3</c:v>
                </c:pt>
                <c:pt idx="14">
                  <c:v>6.2463283969452065E-3</c:v>
                </c:pt>
                <c:pt idx="15">
                  <c:v>1.3602866680175282E-2</c:v>
                </c:pt>
                <c:pt idx="16">
                  <c:v>4.0233561742616213E-2</c:v>
                </c:pt>
                <c:pt idx="17">
                  <c:v>-4.2486367820975778E-2</c:v>
                </c:pt>
                <c:pt idx="18">
                  <c:v>2.4473743524396478E-3</c:v>
                </c:pt>
                <c:pt idx="19">
                  <c:v>1.4468200027006288E-2</c:v>
                </c:pt>
                <c:pt idx="20">
                  <c:v>3.9312071494865451E-2</c:v>
                </c:pt>
                <c:pt idx="21">
                  <c:v>-4.4888676083323583E-4</c:v>
                </c:pt>
                <c:pt idx="22">
                  <c:v>-2.0615119708376831E-2</c:v>
                </c:pt>
                <c:pt idx="23">
                  <c:v>-8.337874659400479E-3</c:v>
                </c:pt>
                <c:pt idx="24">
                  <c:v>-1.9651491002341859E-2</c:v>
                </c:pt>
                <c:pt idx="25">
                  <c:v>8.6506837381157761E-3</c:v>
                </c:pt>
                <c:pt idx="26">
                  <c:v>1.954223804500704E-2</c:v>
                </c:pt>
                <c:pt idx="27">
                  <c:v>-7.5760071148594545E-4</c:v>
                </c:pt>
                <c:pt idx="28">
                  <c:v>6.0792400029456373E-3</c:v>
                </c:pt>
                <c:pt idx="29">
                  <c:v>1.5823856038631189E-2</c:v>
                </c:pt>
                <c:pt idx="30">
                  <c:v>1.3165299544671551E-2</c:v>
                </c:pt>
                <c:pt idx="31">
                  <c:v>-5.1293941998823752E-3</c:v>
                </c:pt>
                <c:pt idx="32">
                  <c:v>2.7341621301570882E-4</c:v>
                </c:pt>
                <c:pt idx="33">
                  <c:v>1.5430775004403896E-2</c:v>
                </c:pt>
                <c:pt idx="34">
                  <c:v>1.8505047983634341E-2</c:v>
                </c:pt>
                <c:pt idx="35">
                  <c:v>5.4569055443571962E-3</c:v>
                </c:pt>
                <c:pt idx="36">
                  <c:v>2.6721130287907041E-2</c:v>
                </c:pt>
                <c:pt idx="37">
                  <c:v>-3.0483603693633791E-2</c:v>
                </c:pt>
                <c:pt idx="38">
                  <c:v>-1.5550482866223247E-2</c:v>
                </c:pt>
                <c:pt idx="39">
                  <c:v>-9.5178280853007915E-3</c:v>
                </c:pt>
                <c:pt idx="40">
                  <c:v>3.8535166922039499E-3</c:v>
                </c:pt>
                <c:pt idx="41">
                  <c:v>2.2882145907146472E-2</c:v>
                </c:pt>
                <c:pt idx="42">
                  <c:v>-1.288134137701433E-3</c:v>
                </c:pt>
                <c:pt idx="43">
                  <c:v>-2.6065391233931197E-3</c:v>
                </c:pt>
                <c:pt idx="44">
                  <c:v>9.4875019650997768E-3</c:v>
                </c:pt>
                <c:pt idx="45">
                  <c:v>1.662747699063253E-2</c:v>
                </c:pt>
                <c:pt idx="46">
                  <c:v>-4.1857235791119595E-3</c:v>
                </c:pt>
                <c:pt idx="47">
                  <c:v>1.3713520522888472E-2</c:v>
                </c:pt>
                <c:pt idx="48">
                  <c:v>1.3829567549995075E-2</c:v>
                </c:pt>
                <c:pt idx="49">
                  <c:v>1.0570662897923648E-2</c:v>
                </c:pt>
                <c:pt idx="50">
                  <c:v>1.1701920845849555E-2</c:v>
                </c:pt>
                <c:pt idx="51">
                  <c:v>1.8434229462407744E-2</c:v>
                </c:pt>
                <c:pt idx="52">
                  <c:v>-1.5218571731068014E-2</c:v>
                </c:pt>
                <c:pt idx="53">
                  <c:v>3.1968838795026779E-3</c:v>
                </c:pt>
                <c:pt idx="54">
                  <c:v>7.5097633280288593E-3</c:v>
                </c:pt>
                <c:pt idx="55">
                  <c:v>2.4937179244934642E-2</c:v>
                </c:pt>
                <c:pt idx="56">
                  <c:v>2.119866017502994E-3</c:v>
                </c:pt>
                <c:pt idx="57">
                  <c:v>7.7401553733654352E-3</c:v>
                </c:pt>
                <c:pt idx="58">
                  <c:v>1.003983145843388E-2</c:v>
                </c:pt>
                <c:pt idx="59">
                  <c:v>2.237250976164391E-2</c:v>
                </c:pt>
                <c:pt idx="60">
                  <c:v>1.3055429360719822E-2</c:v>
                </c:pt>
                <c:pt idx="61">
                  <c:v>5.8525223625761166E-2</c:v>
                </c:pt>
                <c:pt idx="62">
                  <c:v>-2.5280765880080294E-2</c:v>
                </c:pt>
                <c:pt idx="63">
                  <c:v>-2.394299155687209E-2</c:v>
                </c:pt>
                <c:pt idx="64">
                  <c:v>4.4748752466054883E-3</c:v>
                </c:pt>
                <c:pt idx="65">
                  <c:v>4.7690675248655721E-3</c:v>
                </c:pt>
                <c:pt idx="66">
                  <c:v>-7.4096193108429548E-3</c:v>
                </c:pt>
                <c:pt idx="67">
                  <c:v>-2.9269805317370282E-2</c:v>
                </c:pt>
                <c:pt idx="68">
                  <c:v>-1.6085285665251236E-3</c:v>
                </c:pt>
                <c:pt idx="69">
                  <c:v>-1.2905883160568551E-2</c:v>
                </c:pt>
                <c:pt idx="70">
                  <c:v>2.4981217556307701E-2</c:v>
                </c:pt>
                <c:pt idx="71">
                  <c:v>8.2385329918919104E-3</c:v>
                </c:pt>
                <c:pt idx="72">
                  <c:v>-2.1133275836964224E-2</c:v>
                </c:pt>
                <c:pt idx="73">
                  <c:v>-3.1219085178079567E-3</c:v>
                </c:pt>
                <c:pt idx="74">
                  <c:v>-2.2740019597444875E-2</c:v>
                </c:pt>
                <c:pt idx="75">
                  <c:v>1.0116084773187066E-2</c:v>
                </c:pt>
                <c:pt idx="76">
                  <c:v>6.862845195342515E-3</c:v>
                </c:pt>
                <c:pt idx="77">
                  <c:v>2.4203503108696452E-2</c:v>
                </c:pt>
                <c:pt idx="78">
                  <c:v>-1.155631653926188E-2</c:v>
                </c:pt>
                <c:pt idx="79">
                  <c:v>2.3468779968401705E-2</c:v>
                </c:pt>
                <c:pt idx="80">
                  <c:v>-1.3892448050725854E-2</c:v>
                </c:pt>
                <c:pt idx="81">
                  <c:v>2.5757991653601299E-2</c:v>
                </c:pt>
                <c:pt idx="82">
                  <c:v>3.8506714739734733E-3</c:v>
                </c:pt>
                <c:pt idx="83">
                  <c:v>1.8290551546207914E-2</c:v>
                </c:pt>
                <c:pt idx="84">
                  <c:v>3.2132786893067848E-3</c:v>
                </c:pt>
                <c:pt idx="85">
                  <c:v>1.646427809353835E-2</c:v>
                </c:pt>
                <c:pt idx="86">
                  <c:v>-2.9422786340284248E-3</c:v>
                </c:pt>
                <c:pt idx="87">
                  <c:v>-7.9698187783607474E-3</c:v>
                </c:pt>
                <c:pt idx="88">
                  <c:v>8.6996071145171959E-3</c:v>
                </c:pt>
                <c:pt idx="89">
                  <c:v>-9.95736700147884E-4</c:v>
                </c:pt>
                <c:pt idx="90">
                  <c:v>7.9463681053928824E-3</c:v>
                </c:pt>
                <c:pt idx="91">
                  <c:v>-1.0439708856231249E-3</c:v>
                </c:pt>
                <c:pt idx="92">
                  <c:v>3.4832623602678581E-2</c:v>
                </c:pt>
                <c:pt idx="93">
                  <c:v>1.3876690224273845E-2</c:v>
                </c:pt>
                <c:pt idx="94">
                  <c:v>1.4255785829153204E-2</c:v>
                </c:pt>
                <c:pt idx="95">
                  <c:v>-4.5493420076922253E-2</c:v>
                </c:pt>
                <c:pt idx="96">
                  <c:v>1.9042629293407599E-2</c:v>
                </c:pt>
                <c:pt idx="97">
                  <c:v>-2.6733903885425469E-2</c:v>
                </c:pt>
                <c:pt idx="98">
                  <c:v>-2.779638475868213E-3</c:v>
                </c:pt>
                <c:pt idx="99">
                  <c:v>-1.1125401307391678E-2</c:v>
                </c:pt>
                <c:pt idx="100">
                  <c:v>1.6194331983805575E-2</c:v>
                </c:pt>
                <c:pt idx="101">
                  <c:v>2.4656334248768397E-2</c:v>
                </c:pt>
                <c:pt idx="102">
                  <c:v>-6.6215063927043448E-3</c:v>
                </c:pt>
                <c:pt idx="103">
                  <c:v>2.6702917526726079E-2</c:v>
                </c:pt>
                <c:pt idx="104">
                  <c:v>1.4475843208751121E-2</c:v>
                </c:pt>
                <c:pt idx="105">
                  <c:v>-1.3836798601755513E-3</c:v>
                </c:pt>
                <c:pt idx="106">
                  <c:v>-1.957241794640159E-3</c:v>
                </c:pt>
                <c:pt idx="107">
                  <c:v>-2.0846994952190685E-2</c:v>
                </c:pt>
                <c:pt idx="108">
                  <c:v>-3.3725470933516646E-2</c:v>
                </c:pt>
                <c:pt idx="109">
                  <c:v>1.1321073390758329E-2</c:v>
                </c:pt>
                <c:pt idx="110">
                  <c:v>1.5327815521493678E-2</c:v>
                </c:pt>
                <c:pt idx="111">
                  <c:v>-6.9097129175817486E-3</c:v>
                </c:pt>
                <c:pt idx="112">
                  <c:v>5.8978133163596728E-2</c:v>
                </c:pt>
                <c:pt idx="113">
                  <c:v>-3.345500966403997E-2</c:v>
                </c:pt>
                <c:pt idx="114">
                  <c:v>3.9520351742055808E-2</c:v>
                </c:pt>
                <c:pt idx="115">
                  <c:v>4.7356038257695167E-2</c:v>
                </c:pt>
                <c:pt idx="116">
                  <c:v>-1.5548155596951279E-2</c:v>
                </c:pt>
                <c:pt idx="117">
                  <c:v>1.5071312632124979E-2</c:v>
                </c:pt>
                <c:pt idx="118">
                  <c:v>-2.9137096796029525E-2</c:v>
                </c:pt>
                <c:pt idx="119">
                  <c:v>-4.6497458259430496E-2</c:v>
                </c:pt>
                <c:pt idx="120">
                  <c:v>-4.770416191337875E-2</c:v>
                </c:pt>
                <c:pt idx="121">
                  <c:v>3.6465473745368529E-2</c:v>
                </c:pt>
                <c:pt idx="122">
                  <c:v>-3.2876091146128467E-2</c:v>
                </c:pt>
                <c:pt idx="123">
                  <c:v>-4.0397495080974656E-2</c:v>
                </c:pt>
                <c:pt idx="124">
                  <c:v>-1.2072006822190829E-2</c:v>
                </c:pt>
                <c:pt idx="125">
                  <c:v>3.2558218079267787E-2</c:v>
                </c:pt>
                <c:pt idx="126">
                  <c:v>3.6074948732412581E-3</c:v>
                </c:pt>
                <c:pt idx="127">
                  <c:v>4.2573385197507051E-2</c:v>
                </c:pt>
                <c:pt idx="128">
                  <c:v>2.5489495646051488E-2</c:v>
                </c:pt>
                <c:pt idx="129">
                  <c:v>-9.2886561453359908E-3</c:v>
                </c:pt>
                <c:pt idx="130">
                  <c:v>1.9357807038869898E-2</c:v>
                </c:pt>
                <c:pt idx="131">
                  <c:v>-2.2089913951336197E-2</c:v>
                </c:pt>
                <c:pt idx="132">
                  <c:v>6.4465391690522483E-2</c:v>
                </c:pt>
                <c:pt idx="133">
                  <c:v>-5.7941069405208073E-2</c:v>
                </c:pt>
                <c:pt idx="134">
                  <c:v>-5.0548369980577004E-2</c:v>
                </c:pt>
                <c:pt idx="135">
                  <c:v>-1.1952172072799987E-2</c:v>
                </c:pt>
                <c:pt idx="136">
                  <c:v>6.5843705784649362E-2</c:v>
                </c:pt>
                <c:pt idx="137">
                  <c:v>-3.0450633590878417E-2</c:v>
                </c:pt>
                <c:pt idx="138">
                  <c:v>-2.4118796897660701E-2</c:v>
                </c:pt>
                <c:pt idx="139">
                  <c:v>-2.0789316372736579E-3</c:v>
                </c:pt>
                <c:pt idx="140">
                  <c:v>-3.2738109172288712E-2</c:v>
                </c:pt>
                <c:pt idx="141">
                  <c:v>-2.750313596306516E-2</c:v>
                </c:pt>
                <c:pt idx="142">
                  <c:v>-2.1319971124796049E-2</c:v>
                </c:pt>
                <c:pt idx="143">
                  <c:v>-1.2666470150862528E-2</c:v>
                </c:pt>
                <c:pt idx="144">
                  <c:v>6.1632467984118022E-4</c:v>
                </c:pt>
                <c:pt idx="145">
                  <c:v>1.7911236982200908E-2</c:v>
                </c:pt>
                <c:pt idx="146">
                  <c:v>6.1558258073262789E-2</c:v>
                </c:pt>
                <c:pt idx="147">
                  <c:v>-2.8774252865066286E-2</c:v>
                </c:pt>
                <c:pt idx="148">
                  <c:v>-1.2721653951854709E-2</c:v>
                </c:pt>
                <c:pt idx="149">
                  <c:v>8.2274245953545978E-3</c:v>
                </c:pt>
                <c:pt idx="150">
                  <c:v>-1.5789926312168547E-2</c:v>
                </c:pt>
                <c:pt idx="151">
                  <c:v>-1.8195634736353147E-2</c:v>
                </c:pt>
                <c:pt idx="152">
                  <c:v>1.5496914381127378E-2</c:v>
                </c:pt>
                <c:pt idx="153">
                  <c:v>7.7104280640483422E-3</c:v>
                </c:pt>
                <c:pt idx="154">
                  <c:v>-5.681289340210402E-2</c:v>
                </c:pt>
                <c:pt idx="155">
                  <c:v>-3.0318385813217752E-3</c:v>
                </c:pt>
              </c:numCache>
            </c:numRef>
          </c:xVal>
          <c:yVal>
            <c:numRef>
              <c:f>'Regression Beta'!$M$8:$M$163</c:f>
              <c:numCache>
                <c:formatCode>0.00%</c:formatCode>
                <c:ptCount val="156"/>
                <c:pt idx="0">
                  <c:v>-4.6241709653647718E-2</c:v>
                </c:pt>
                <c:pt idx="1">
                  <c:v>4.7674194171009432E-2</c:v>
                </c:pt>
                <c:pt idx="2">
                  <c:v>-1.3706453455168454E-2</c:v>
                </c:pt>
                <c:pt idx="3">
                  <c:v>-1.6476315296760823E-2</c:v>
                </c:pt>
                <c:pt idx="4">
                  <c:v>-3.9215686274509921E-2</c:v>
                </c:pt>
                <c:pt idx="5">
                  <c:v>-5.0230650948231634E-2</c:v>
                </c:pt>
                <c:pt idx="6">
                  <c:v>2.6122019635343652E-2</c:v>
                </c:pt>
                <c:pt idx="7">
                  <c:v>2.6268441885570364E-2</c:v>
                </c:pt>
                <c:pt idx="8">
                  <c:v>9.0659340659340601E-2</c:v>
                </c:pt>
                <c:pt idx="9">
                  <c:v>-2.1317457269060869E-2</c:v>
                </c:pt>
                <c:pt idx="10">
                  <c:v>5.8763725091500622E-2</c:v>
                </c:pt>
                <c:pt idx="11">
                  <c:v>2.7365782327136042E-2</c:v>
                </c:pt>
                <c:pt idx="12">
                  <c:v>4.7942206654991194E-2</c:v>
                </c:pt>
                <c:pt idx="13">
                  <c:v>-1.721170395869185E-2</c:v>
                </c:pt>
                <c:pt idx="14">
                  <c:v>-4.9099836333879002E-2</c:v>
                </c:pt>
                <c:pt idx="15">
                  <c:v>5.5723542116630789E-2</c:v>
                </c:pt>
                <c:pt idx="16">
                  <c:v>-1.7819261773440887E-2</c:v>
                </c:pt>
                <c:pt idx="17">
                  <c:v>-5.3033346725592616E-2</c:v>
                </c:pt>
                <c:pt idx="18">
                  <c:v>2.4912497426394911E-2</c:v>
                </c:pt>
                <c:pt idx="19">
                  <c:v>7.1712268314210056E-2</c:v>
                </c:pt>
                <c:pt idx="20">
                  <c:v>4.2318307267709375E-2</c:v>
                </c:pt>
                <c:pt idx="21">
                  <c:v>5.6108817099829851E-2</c:v>
                </c:pt>
                <c:pt idx="22">
                  <c:v>-6.686310063463273E-2</c:v>
                </c:pt>
                <c:pt idx="23">
                  <c:v>-8.6542443064182198E-2</c:v>
                </c:pt>
                <c:pt idx="24">
                  <c:v>-1.4486839420526441E-2</c:v>
                </c:pt>
                <c:pt idx="25">
                  <c:v>5.3525365434221726E-2</c:v>
                </c:pt>
                <c:pt idx="26">
                  <c:v>1.2914334911752535E-3</c:v>
                </c:pt>
                <c:pt idx="27">
                  <c:v>-2.6404023470243045E-2</c:v>
                </c:pt>
                <c:pt idx="28">
                  <c:v>2.0312165918323619E-2</c:v>
                </c:pt>
                <c:pt idx="29">
                  <c:v>2.2965879265091957E-2</c:v>
                </c:pt>
                <c:pt idx="30">
                  <c:v>1.6225827961769211E-2</c:v>
                </c:pt>
                <c:pt idx="31">
                  <c:v>1.995012468827936E-2</c:v>
                </c:pt>
                <c:pt idx="32">
                  <c:v>-3.6057692307692277E-2</c:v>
                </c:pt>
                <c:pt idx="33">
                  <c:v>1.2165450121654438E-2</c:v>
                </c:pt>
                <c:pt idx="34">
                  <c:v>7.8020508247882616E-3</c:v>
                </c:pt>
                <c:pt idx="35">
                  <c:v>-2.1378708551483504E-2</c:v>
                </c:pt>
                <c:pt idx="36">
                  <c:v>8.1897569034694501E-2</c:v>
                </c:pt>
                <c:pt idx="37">
                  <c:v>-1.6480965645311069E-2</c:v>
                </c:pt>
                <c:pt idx="38">
                  <c:v>-2.6000452181777045E-2</c:v>
                </c:pt>
                <c:pt idx="39">
                  <c:v>-2.4696802646086098E-2</c:v>
                </c:pt>
                <c:pt idx="40">
                  <c:v>5.3181607059916376E-2</c:v>
                </c:pt>
                <c:pt idx="41">
                  <c:v>5.8245269107889033E-2</c:v>
                </c:pt>
                <c:pt idx="42">
                  <c:v>3.0126582278480956E-2</c:v>
                </c:pt>
                <c:pt idx="43">
                  <c:v>-3.635032934862166E-2</c:v>
                </c:pt>
                <c:pt idx="44">
                  <c:v>3.4317436285642176E-2</c:v>
                </c:pt>
                <c:pt idx="45">
                  <c:v>2.4031007751937974E-2</c:v>
                </c:pt>
                <c:pt idx="46">
                  <c:v>3.6307053941908858E-3</c:v>
                </c:pt>
                <c:pt idx="47">
                  <c:v>-8.9951169365200291E-3</c:v>
                </c:pt>
                <c:pt idx="48">
                  <c:v>0.1060261512222853</c:v>
                </c:pt>
                <c:pt idx="49">
                  <c:v>-9.2931568572232701E-3</c:v>
                </c:pt>
                <c:pt idx="50">
                  <c:v>7.0901871809415772E-3</c:v>
                </c:pt>
                <c:pt idx="51">
                  <c:v>-2.028341205890536E-2</c:v>
                </c:pt>
                <c:pt idx="52">
                  <c:v>1.9487750556792952E-3</c:v>
                </c:pt>
                <c:pt idx="53">
                  <c:v>-2.7762354247640592E-3</c:v>
                </c:pt>
                <c:pt idx="54">
                  <c:v>8.1164287713407866E-3</c:v>
                </c:pt>
                <c:pt idx="55">
                  <c:v>5.8666666666666575E-2</c:v>
                </c:pt>
                <c:pt idx="56">
                  <c:v>4.295426452410385E-2</c:v>
                </c:pt>
                <c:pt idx="57">
                  <c:v>0.14833215046132009</c:v>
                </c:pt>
                <c:pt idx="58">
                  <c:v>5.3514092044237805E-3</c:v>
                </c:pt>
                <c:pt idx="59">
                  <c:v>4.3947858472998126E-2</c:v>
                </c:pt>
                <c:pt idx="60">
                  <c:v>-9.8085320792744318E-2</c:v>
                </c:pt>
                <c:pt idx="61">
                  <c:v>9.3681116825863373E-2</c:v>
                </c:pt>
                <c:pt idx="62">
                  <c:v>-8.2265677680377652E-2</c:v>
                </c:pt>
                <c:pt idx="63">
                  <c:v>0</c:v>
                </c:pt>
                <c:pt idx="64">
                  <c:v>-4.0129449838187656E-2</c:v>
                </c:pt>
                <c:pt idx="65">
                  <c:v>-6.2784349408553236E-2</c:v>
                </c:pt>
                <c:pt idx="66">
                  <c:v>1.1970534069981602E-2</c:v>
                </c:pt>
                <c:pt idx="67">
                  <c:v>-4.03534609720178E-2</c:v>
                </c:pt>
                <c:pt idx="68">
                  <c:v>3.0349013657056143E-2</c:v>
                </c:pt>
                <c:pt idx="69">
                  <c:v>-1.7590936195587249E-2</c:v>
                </c:pt>
                <c:pt idx="70">
                  <c:v>1.7905918057663013E-2</c:v>
                </c:pt>
                <c:pt idx="71">
                  <c:v>-5.1328502415457309E-3</c:v>
                </c:pt>
                <c:pt idx="72">
                  <c:v>-2.2720566538802098E-2</c:v>
                </c:pt>
                <c:pt idx="73">
                  <c:v>-7.3284112660650796E-2</c:v>
                </c:pt>
                <c:pt idx="74">
                  <c:v>-3.889618922470426E-2</c:v>
                </c:pt>
                <c:pt idx="75">
                  <c:v>-1.2970168612191959E-2</c:v>
                </c:pt>
                <c:pt idx="76">
                  <c:v>-3.6250000000000074E-2</c:v>
                </c:pt>
                <c:pt idx="77">
                  <c:v>9.8459984852310167E-3</c:v>
                </c:pt>
                <c:pt idx="78">
                  <c:v>2.7230290456431459E-2</c:v>
                </c:pt>
                <c:pt idx="79">
                  <c:v>6.5782200110558395E-2</c:v>
                </c:pt>
                <c:pt idx="80">
                  <c:v>-4.6891464699683909E-2</c:v>
                </c:pt>
                <c:pt idx="81">
                  <c:v>4.7750483025117418E-2</c:v>
                </c:pt>
                <c:pt idx="82">
                  <c:v>5.6884480746791005E-2</c:v>
                </c:pt>
                <c:pt idx="83">
                  <c:v>2.9738660258335898E-2</c:v>
                </c:pt>
                <c:pt idx="84">
                  <c:v>1.9289650949173381E-2</c:v>
                </c:pt>
                <c:pt idx="85">
                  <c:v>8.0246913580246295E-3</c:v>
                </c:pt>
                <c:pt idx="86">
                  <c:v>-2.5856885147324097E-2</c:v>
                </c:pt>
                <c:pt idx="87">
                  <c:v>6.6585956416464545E-3</c:v>
                </c:pt>
                <c:pt idx="88">
                  <c:v>-1.520119225037252E-2</c:v>
                </c:pt>
                <c:pt idx="89">
                  <c:v>-2.7254276601913735E-2</c:v>
                </c:pt>
                <c:pt idx="90">
                  <c:v>-2.8910089621278232E-3</c:v>
                </c:pt>
                <c:pt idx="91">
                  <c:v>-5.6979280261722907E-2</c:v>
                </c:pt>
                <c:pt idx="92">
                  <c:v>8.8104420053396582E-2</c:v>
                </c:pt>
                <c:pt idx="93">
                  <c:v>9.886159376872327E-3</c:v>
                </c:pt>
                <c:pt idx="94">
                  <c:v>-8.5980284775465501E-2</c:v>
                </c:pt>
                <c:pt idx="95">
                  <c:v>-0.10948549134357462</c:v>
                </c:pt>
                <c:pt idx="96">
                  <c:v>4.6707503828483876E-2</c:v>
                </c:pt>
                <c:pt idx="97">
                  <c:v>-9.2425295343988925E-2</c:v>
                </c:pt>
                <c:pt idx="98">
                  <c:v>4.4014510278113671E-2</c:v>
                </c:pt>
                <c:pt idx="99">
                  <c:v>5.348893751519544E-3</c:v>
                </c:pt>
                <c:pt idx="100">
                  <c:v>8.3794466403162043E-2</c:v>
                </c:pt>
                <c:pt idx="101">
                  <c:v>7.3550212164073592E-2</c:v>
                </c:pt>
                <c:pt idx="102">
                  <c:v>-3.1772117228156579E-2</c:v>
                </c:pt>
                <c:pt idx="103">
                  <c:v>1.6708437761069381E-2</c:v>
                </c:pt>
                <c:pt idx="104">
                  <c:v>6.7479191438763256E-2</c:v>
                </c:pt>
                <c:pt idx="105">
                  <c:v>-5.6163168785101315E-3</c:v>
                </c:pt>
                <c:pt idx="106">
                  <c:v>-6.4177040110650077E-2</c:v>
                </c:pt>
                <c:pt idx="107">
                  <c:v>-5.5642633228840194E-2</c:v>
                </c:pt>
                <c:pt idx="108">
                  <c:v>-4.060150375939843E-2</c:v>
                </c:pt>
                <c:pt idx="109">
                  <c:v>-1.3840830449827046E-2</c:v>
                </c:pt>
                <c:pt idx="110">
                  <c:v>1.7349761126477185E-2</c:v>
                </c:pt>
                <c:pt idx="111">
                  <c:v>-3.2830739299610757E-2</c:v>
                </c:pt>
                <c:pt idx="112">
                  <c:v>5.4358974358974292E-2</c:v>
                </c:pt>
                <c:pt idx="113">
                  <c:v>3.8610038610038242E-3</c:v>
                </c:pt>
                <c:pt idx="114">
                  <c:v>0.11000000000000004</c:v>
                </c:pt>
                <c:pt idx="115">
                  <c:v>6.4153238066281523E-2</c:v>
                </c:pt>
                <c:pt idx="116">
                  <c:v>-2.1713265913146845E-2</c:v>
                </c:pt>
                <c:pt idx="117">
                  <c:v>4.7678404487379054E-2</c:v>
                </c:pt>
                <c:pt idx="118">
                  <c:v>-9.5546786922209526E-2</c:v>
                </c:pt>
                <c:pt idx="119">
                  <c:v>-0.11233425068801607</c:v>
                </c:pt>
                <c:pt idx="120">
                  <c:v>-3.1968999757810618E-2</c:v>
                </c:pt>
                <c:pt idx="121">
                  <c:v>7.330387314790747E-2</c:v>
                </c:pt>
                <c:pt idx="122">
                  <c:v>-1.9372928880958401E-2</c:v>
                </c:pt>
                <c:pt idx="123">
                  <c:v>-1.1838790931990074E-2</c:v>
                </c:pt>
                <c:pt idx="124">
                  <c:v>5.57244174265466E-3</c:v>
                </c:pt>
                <c:pt idx="125">
                  <c:v>9.4841930116472392E-2</c:v>
                </c:pt>
                <c:pt idx="126">
                  <c:v>-5.5157198014339701E-3</c:v>
                </c:pt>
                <c:pt idx="127">
                  <c:v>4.5860974906258907E-2</c:v>
                </c:pt>
                <c:pt idx="128">
                  <c:v>5.4761180407666699E-2</c:v>
                </c:pt>
                <c:pt idx="129">
                  <c:v>1.7332095326524147E-2</c:v>
                </c:pt>
                <c:pt idx="130">
                  <c:v>3.7278657968314558E-3</c:v>
                </c:pt>
                <c:pt idx="131">
                  <c:v>-7.5531303848363082E-2</c:v>
                </c:pt>
                <c:pt idx="132">
                  <c:v>9.2220828105395281E-2</c:v>
                </c:pt>
                <c:pt idx="133">
                  <c:v>-8.9403027706369584E-2</c:v>
                </c:pt>
                <c:pt idx="134">
                  <c:v>-6.9130550385535797E-2</c:v>
                </c:pt>
                <c:pt idx="135">
                  <c:v>-2.4889810733730901E-2</c:v>
                </c:pt>
                <c:pt idx="136">
                  <c:v>8.9548022598870111E-2</c:v>
                </c:pt>
                <c:pt idx="137">
                  <c:v>-7.3540957864433446E-2</c:v>
                </c:pt>
                <c:pt idx="138">
                  <c:v>-3.4613441131884727E-2</c:v>
                </c:pt>
                <c:pt idx="139">
                  <c:v>4.4051701398048058E-2</c:v>
                </c:pt>
                <c:pt idx="140">
                  <c:v>-4.8443775100401772E-2</c:v>
                </c:pt>
                <c:pt idx="141">
                  <c:v>-7.2265138300523085E-3</c:v>
                </c:pt>
                <c:pt idx="142">
                  <c:v>1.9822109275730651E-2</c:v>
                </c:pt>
                <c:pt idx="143">
                  <c:v>-8.403165735567969E-2</c:v>
                </c:pt>
                <c:pt idx="144">
                  <c:v>-1.5807560137456992E-2</c:v>
                </c:pt>
                <c:pt idx="145">
                  <c:v>-2.6104417670682768E-2</c:v>
                </c:pt>
                <c:pt idx="146">
                  <c:v>7.9739821729703744E-2</c:v>
                </c:pt>
                <c:pt idx="147">
                  <c:v>-2.0990566037735862E-2</c:v>
                </c:pt>
                <c:pt idx="148">
                  <c:v>-0.10605102255956149</c:v>
                </c:pt>
                <c:pt idx="149">
                  <c:v>-2.4074074074074109E-2</c:v>
                </c:pt>
                <c:pt idx="150">
                  <c:v>-4.7102191275854369E-3</c:v>
                </c:pt>
                <c:pt idx="151">
                  <c:v>-4.7962565802300662E-2</c:v>
                </c:pt>
                <c:pt idx="152">
                  <c:v>2.0899681528662364E-2</c:v>
                </c:pt>
                <c:pt idx="153">
                  <c:v>-5.7057057057057041E-2</c:v>
                </c:pt>
                <c:pt idx="154">
                  <c:v>-0.12798690671031096</c:v>
                </c:pt>
                <c:pt idx="155">
                  <c:v>-1.8789144050104411E-2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D-4AEF-9BD8-9530349EA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02608"/>
        <c:axId val="1306803088"/>
      </c:scatterChart>
      <c:valAx>
        <c:axId val="130680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General</a:t>
                </a:r>
                <a:r>
                  <a:rPr lang="en-US" baseline="0"/>
                  <a:t> Motors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957283464566922"/>
              <c:y val="0.91673592884222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803088"/>
        <c:crosses val="autoZero"/>
        <c:crossBetween val="midCat"/>
      </c:valAx>
      <c:valAx>
        <c:axId val="13068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S&amp;P 500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383275371828521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802608"/>
        <c:crosses val="autoZero"/>
        <c:crossBetween val="midCat"/>
      </c:valAx>
      <c:spPr>
        <a:solidFill>
          <a:schemeClr val="accent4">
            <a:lumMod val="40000"/>
            <a:lumOff val="60000"/>
          </a:schemeClr>
        </a:solidFill>
        <a:ln w="19050">
          <a:noFill/>
          <a:prstDash val="sysDash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</xdr:colOff>
      <xdr:row>0</xdr:row>
      <xdr:rowOff>11906</xdr:rowOff>
    </xdr:from>
    <xdr:to>
      <xdr:col>2</xdr:col>
      <xdr:colOff>107155</xdr:colOff>
      <xdr:row>4</xdr:row>
      <xdr:rowOff>24854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410BE-2AAD-59F7-C473-A69D58FC95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19062" y="11906"/>
          <a:ext cx="2440781" cy="774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11907</xdr:colOff>
      <xdr:row>0</xdr:row>
      <xdr:rowOff>35718</xdr:rowOff>
    </xdr:from>
    <xdr:to>
      <xdr:col>1</xdr:col>
      <xdr:colOff>2452688</xdr:colOff>
      <xdr:row>4</xdr:row>
      <xdr:rowOff>48666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8F70CB-AB2E-4722-A388-54319F2AB4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66688" y="35718"/>
          <a:ext cx="2440781" cy="7749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0</xdr:row>
      <xdr:rowOff>23813</xdr:rowOff>
    </xdr:from>
    <xdr:to>
      <xdr:col>1</xdr:col>
      <xdr:colOff>2464593</xdr:colOff>
      <xdr:row>4</xdr:row>
      <xdr:rowOff>36761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CE396A-820A-43DA-A6AF-300814D9BF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78593" y="23813"/>
          <a:ext cx="2440781" cy="7749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35718</xdr:rowOff>
    </xdr:from>
    <xdr:to>
      <xdr:col>1</xdr:col>
      <xdr:colOff>2440781</xdr:colOff>
      <xdr:row>4</xdr:row>
      <xdr:rowOff>48666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6B875-3768-48C8-AFE5-75B073A613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54781" y="35718"/>
          <a:ext cx="2440781" cy="7749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35722</xdr:rowOff>
    </xdr:from>
    <xdr:to>
      <xdr:col>1</xdr:col>
      <xdr:colOff>2440781</xdr:colOff>
      <xdr:row>4</xdr:row>
      <xdr:rowOff>48670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897203-F8EC-488F-A176-0A5D830AA6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30969" y="35722"/>
          <a:ext cx="2440781" cy="7749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35722</xdr:rowOff>
    </xdr:from>
    <xdr:to>
      <xdr:col>1</xdr:col>
      <xdr:colOff>2440781</xdr:colOff>
      <xdr:row>4</xdr:row>
      <xdr:rowOff>48670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3FAEF5-1DFE-4B35-985D-9A2A41B1FB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30969" y="35722"/>
          <a:ext cx="2440781" cy="7749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35722</xdr:rowOff>
    </xdr:from>
    <xdr:to>
      <xdr:col>2</xdr:col>
      <xdr:colOff>59531</xdr:colOff>
      <xdr:row>4</xdr:row>
      <xdr:rowOff>48670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BF2708-102C-42C6-A233-1ADF0A8B61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30969" y="35722"/>
          <a:ext cx="2440781" cy="77494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35722</xdr:rowOff>
    </xdr:from>
    <xdr:to>
      <xdr:col>1</xdr:col>
      <xdr:colOff>2440781</xdr:colOff>
      <xdr:row>4</xdr:row>
      <xdr:rowOff>48670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5B6D3F-7AF5-4344-B659-8BC307B739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30969" y="35722"/>
          <a:ext cx="2440781" cy="7749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452437</xdr:colOff>
      <xdr:row>2</xdr:row>
      <xdr:rowOff>95255</xdr:rowOff>
    </xdr:from>
    <xdr:to>
      <xdr:col>19</xdr:col>
      <xdr:colOff>119061</xdr:colOff>
      <xdr:row>21</xdr:row>
      <xdr:rowOff>107160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D2F4D9-98F7-4D88-6201-2C8354A2C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47624</xdr:colOff>
      <xdr:row>0</xdr:row>
      <xdr:rowOff>47628</xdr:rowOff>
    </xdr:from>
    <xdr:to>
      <xdr:col>4</xdr:col>
      <xdr:colOff>59530</xdr:colOff>
      <xdr:row>4</xdr:row>
      <xdr:rowOff>60576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A4B155-C73B-42D7-8761-54BC96801C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202405" y="47628"/>
          <a:ext cx="2440781" cy="774948"/>
        </a:xfrm>
        <a:prstGeom prst="rect">
          <a:avLst/>
        </a:prstGeom>
      </xdr:spPr>
    </xdr:pic>
    <xdr:clientData/>
  </xdr:twoCellAnchor>
  <xdr:twoCellAnchor>
    <xdr:from>
      <xdr:col>11</xdr:col>
      <xdr:colOff>261937</xdr:colOff>
      <xdr:row>4</xdr:row>
      <xdr:rowOff>190500</xdr:rowOff>
    </xdr:from>
    <xdr:to>
      <xdr:col>11</xdr:col>
      <xdr:colOff>261937</xdr:colOff>
      <xdr:row>20</xdr:row>
      <xdr:rowOff>11905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CA7F9F2-5F2B-4AF7-2DCA-DFAE6445F3F4}"/>
            </a:ext>
          </a:extLst>
        </xdr:cNvPr>
        <xdr:cNvCxnSpPr/>
      </xdr:nvCxnSpPr>
      <xdr:spPr>
        <a:xfrm>
          <a:off x="7286625" y="952500"/>
          <a:ext cx="0" cy="294084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261937</xdr:colOff>
      <xdr:row>4</xdr:row>
      <xdr:rowOff>190500</xdr:rowOff>
    </xdr:from>
    <xdr:to>
      <xdr:col>16</xdr:col>
      <xdr:colOff>271461</xdr:colOff>
      <xdr:row>20</xdr:row>
      <xdr:rowOff>9523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363EF24-B8E1-4B37-83FF-A3A798B3B49A}"/>
            </a:ext>
          </a:extLst>
        </xdr:cNvPr>
        <xdr:cNvCxnSpPr/>
      </xdr:nvCxnSpPr>
      <xdr:spPr>
        <a:xfrm>
          <a:off x="10322718" y="952500"/>
          <a:ext cx="9524" cy="293846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511968</xdr:colOff>
      <xdr:row>4</xdr:row>
      <xdr:rowOff>238124</xdr:rowOff>
    </xdr:from>
    <xdr:to>
      <xdr:col>11</xdr:col>
      <xdr:colOff>511968</xdr:colOff>
      <xdr:row>19</xdr:row>
      <xdr:rowOff>130967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1AA2E3D-3B84-46B4-ADFB-3347DA633414}"/>
            </a:ext>
          </a:extLst>
        </xdr:cNvPr>
        <xdr:cNvCxnSpPr/>
      </xdr:nvCxnSpPr>
      <xdr:spPr>
        <a:xfrm>
          <a:off x="7536656" y="1000124"/>
          <a:ext cx="0" cy="2821781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35718</xdr:rowOff>
    </xdr:from>
    <xdr:to>
      <xdr:col>1</xdr:col>
      <xdr:colOff>2440781</xdr:colOff>
      <xdr:row>4</xdr:row>
      <xdr:rowOff>48666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E23915-D537-4C80-ACB2-7EC83F3F83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30969" y="35718"/>
          <a:ext cx="2440781" cy="774948"/>
        </a:xfrm>
        <a:prstGeom prst="rect">
          <a:avLst/>
        </a:prstGeom>
      </xdr:spPr>
    </xdr:pic>
    <xdr:clientData/>
  </xdr:twoCellAnchor>
  <xdr:twoCellAnchor>
    <xdr:from>
      <xdr:col>9</xdr:col>
      <xdr:colOff>237096</xdr:colOff>
      <xdr:row>3</xdr:row>
      <xdr:rowOff>144117</xdr:rowOff>
    </xdr:from>
    <xdr:to>
      <xdr:col>21</xdr:col>
      <xdr:colOff>476249</xdr:colOff>
      <xdr:row>24</xdr:row>
      <xdr:rowOff>71436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C1D5CF-9C87-1FAE-F319-CB810A965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41672</xdr:colOff>
      <xdr:row>20</xdr:row>
      <xdr:rowOff>69057</xdr:rowOff>
    </xdr:from>
    <xdr:to>
      <xdr:col>4</xdr:col>
      <xdr:colOff>613172</xdr:colOff>
      <xdr:row>34</xdr:row>
      <xdr:rowOff>145257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CC45C-6F0A-92C0-5DD3-E2020742C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35722</xdr:rowOff>
    </xdr:from>
    <xdr:to>
      <xdr:col>2</xdr:col>
      <xdr:colOff>142875</xdr:colOff>
      <xdr:row>4</xdr:row>
      <xdr:rowOff>48670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1FDBCE-52CE-47BC-A5C2-A533DE6807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30969" y="35722"/>
          <a:ext cx="2440781" cy="77494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23816</xdr:rowOff>
    </xdr:from>
    <xdr:to>
      <xdr:col>1</xdr:col>
      <xdr:colOff>2440781</xdr:colOff>
      <xdr:row>4</xdr:row>
      <xdr:rowOff>36764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38A735-CDF0-4837-9F6E-358C5F2C94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30969" y="23816"/>
          <a:ext cx="2440781" cy="77494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11908</xdr:rowOff>
    </xdr:from>
    <xdr:to>
      <xdr:col>1</xdr:col>
      <xdr:colOff>2440781</xdr:colOff>
      <xdr:row>4</xdr:row>
      <xdr:rowOff>24856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37AB53-10AB-4541-B493-DAD43417B0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0" b="33250"/>
        <a:stretch/>
      </xdr:blipFill>
      <xdr:spPr>
        <a:xfrm>
          <a:off x="130969" y="11908"/>
          <a:ext cx="2440781" cy="77494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95251</xdr:rowOff>
    </xdr:from>
    <xdr:to>
      <xdr:col>1</xdr:col>
      <xdr:colOff>1428750</xdr:colOff>
      <xdr:row>3</xdr:row>
      <xdr:rowOff>166688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CDCEE4-B44F-781C-BC61-52FAAD603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95251"/>
          <a:ext cx="1381125" cy="64293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35716</xdr:colOff>
      <xdr:row>0</xdr:row>
      <xdr:rowOff>1</xdr:rowOff>
    </xdr:from>
    <xdr:to>
      <xdr:col>1</xdr:col>
      <xdr:colOff>1083465</xdr:colOff>
      <xdr:row>4</xdr:row>
      <xdr:rowOff>23813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91627-6C73-A567-C182-2479DE315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7" y="1"/>
          <a:ext cx="1047749" cy="78581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0</xdr:row>
      <xdr:rowOff>71436</xdr:rowOff>
    </xdr:from>
    <xdr:to>
      <xdr:col>1</xdr:col>
      <xdr:colOff>1726406</xdr:colOff>
      <xdr:row>4</xdr:row>
      <xdr:rowOff>11905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A27863-390E-0433-9A77-27F115735E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569" b="21641"/>
        <a:stretch/>
      </xdr:blipFill>
      <xdr:spPr>
        <a:xfrm>
          <a:off x="166687" y="71436"/>
          <a:ext cx="1714500" cy="70246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23817</xdr:colOff>
      <xdr:row>0</xdr:row>
      <xdr:rowOff>83348</xdr:rowOff>
    </xdr:from>
    <xdr:ext cx="2917031" cy="685526"/>
    <xdr:pic>
      <xdr:nvPicPr>
        <xdr:cNvPr id="2" name="Picture 1">
          <a:extLst>
            <a:ext uri="{FF2B5EF4-FFF2-40B4-BE49-F238E27FC236}">
              <a16:creationId xmlns:a16="http://schemas.microsoft.com/office/drawing/2014/main" id="{8E8F3CED-B070-4340-8473-692261DD5A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57" t="29139" r="2727" b="31372"/>
        <a:stretch/>
      </xdr:blipFill>
      <xdr:spPr>
        <a:xfrm>
          <a:off x="633417" y="83348"/>
          <a:ext cx="2917031" cy="685526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59542</xdr:colOff>
      <xdr:row>0</xdr:row>
      <xdr:rowOff>47629</xdr:rowOff>
    </xdr:from>
    <xdr:to>
      <xdr:col>1</xdr:col>
      <xdr:colOff>916782</xdr:colOff>
      <xdr:row>3</xdr:row>
      <xdr:rowOff>162785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008221-CCB1-B941-B40A-E2D4842BD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15" t="10540" r="19270" b="11520"/>
        <a:stretch/>
      </xdr:blipFill>
      <xdr:spPr>
        <a:xfrm>
          <a:off x="214323" y="47629"/>
          <a:ext cx="857240" cy="686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5"/>
  <sheetViews>
    <sheetView showGridLines="0" tabSelected="1" zoomScale="80" zoomScaleNormal="80" workbookViewId="0">
      <pane xSplit="3" ySplit="7" topLeftCell="D8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defaultRowHeight="15" x14ac:dyDescent="0.25"/>
  <cols>
    <col min="1" max="1" width="2" bestFit="1" customWidth="1"/>
    <col min="2" max="2" width="34.85546875" customWidth="1"/>
    <col min="3" max="3" width="2" bestFit="1" customWidth="1"/>
    <col min="4" max="14" width="12.7109375" bestFit="1" customWidth="1"/>
    <col min="15" max="15" width="11.7109375" bestFit="1" customWidth="1"/>
  </cols>
  <sheetData>
    <row r="2" spans="2:15" x14ac:dyDescent="0.25">
      <c r="B2" s="324"/>
    </row>
    <row r="3" spans="2:15" x14ac:dyDescent="0.25">
      <c r="B3" s="324"/>
    </row>
    <row r="4" spans="2:15" x14ac:dyDescent="0.25">
      <c r="O4" s="1"/>
    </row>
    <row r="5" spans="2:15" x14ac:dyDescent="0.25">
      <c r="B5" s="26" t="s">
        <v>410</v>
      </c>
      <c r="C5" s="27"/>
      <c r="D5" s="16">
        <v>12</v>
      </c>
      <c r="E5" s="16">
        <v>12</v>
      </c>
      <c r="F5" s="16">
        <v>12</v>
      </c>
      <c r="G5" s="16">
        <v>12</v>
      </c>
      <c r="H5" s="16">
        <v>12</v>
      </c>
      <c r="I5" s="16">
        <v>12</v>
      </c>
      <c r="J5" s="17">
        <v>12</v>
      </c>
      <c r="K5" s="17">
        <v>12</v>
      </c>
      <c r="L5" s="17">
        <v>12</v>
      </c>
      <c r="M5" s="17">
        <v>12</v>
      </c>
      <c r="N5" s="17">
        <v>12</v>
      </c>
      <c r="O5" s="1"/>
    </row>
    <row r="6" spans="2:15" x14ac:dyDescent="0.25">
      <c r="B6" s="30"/>
      <c r="C6" s="31"/>
      <c r="D6" s="71">
        <f>DATE(2019,12,31)</f>
        <v>43830</v>
      </c>
      <c r="E6" s="71">
        <f>DATE(2020,12,31)</f>
        <v>44196</v>
      </c>
      <c r="F6" s="71">
        <f>DATE(2021,12,31)</f>
        <v>44561</v>
      </c>
      <c r="G6" s="71">
        <f>DATE(2022,12,31)</f>
        <v>44926</v>
      </c>
      <c r="H6" s="71">
        <f>DATE(2023,12,31)</f>
        <v>45291</v>
      </c>
      <c r="I6" s="71">
        <f>DATE(2024,12,31)</f>
        <v>45657</v>
      </c>
      <c r="J6" s="72">
        <f>DATE(2025,12,31)</f>
        <v>46022</v>
      </c>
      <c r="K6" s="72">
        <f>DATE(2026,12,31)</f>
        <v>46387</v>
      </c>
      <c r="L6" s="72">
        <f>DATE(2027,12,31)</f>
        <v>46752</v>
      </c>
      <c r="M6" s="72">
        <f>DATE(2028,12,31)</f>
        <v>47118</v>
      </c>
      <c r="N6" s="72">
        <f>DATE(2029,12,31)</f>
        <v>47483</v>
      </c>
    </row>
    <row r="7" spans="2:15" x14ac:dyDescent="0.25">
      <c r="B7" s="28"/>
      <c r="C7" s="29"/>
      <c r="D7" s="18" t="s">
        <v>11</v>
      </c>
      <c r="E7" s="18" t="s">
        <v>11</v>
      </c>
      <c r="F7" s="18" t="s">
        <v>11</v>
      </c>
      <c r="G7" s="18" t="s">
        <v>11</v>
      </c>
      <c r="H7" s="18" t="s">
        <v>11</v>
      </c>
      <c r="I7" s="18" t="s">
        <v>11</v>
      </c>
      <c r="J7" s="19" t="s">
        <v>10</v>
      </c>
      <c r="K7" s="19" t="s">
        <v>10</v>
      </c>
      <c r="L7" s="19" t="s">
        <v>10</v>
      </c>
      <c r="M7" s="19" t="s">
        <v>10</v>
      </c>
      <c r="N7" s="19" t="s">
        <v>10</v>
      </c>
    </row>
    <row r="8" spans="2:15" x14ac:dyDescent="0.25">
      <c r="B8" s="5"/>
      <c r="C8" s="20"/>
      <c r="D8" s="9"/>
      <c r="E8" s="9"/>
      <c r="F8" s="9"/>
      <c r="G8" s="9"/>
      <c r="H8" s="9"/>
      <c r="I8" s="9"/>
      <c r="J8" s="13"/>
      <c r="K8" s="13"/>
      <c r="L8" s="13"/>
      <c r="M8" s="13"/>
      <c r="N8" s="13"/>
    </row>
    <row r="9" spans="2:15" x14ac:dyDescent="0.25">
      <c r="B9" s="3" t="s">
        <v>0</v>
      </c>
      <c r="C9" s="56"/>
      <c r="D9" s="219">
        <v>106366</v>
      </c>
      <c r="E9" s="219">
        <v>96733</v>
      </c>
      <c r="F9" s="219">
        <v>101308</v>
      </c>
      <c r="G9" s="219">
        <v>128378</v>
      </c>
      <c r="H9" s="219">
        <v>141445</v>
      </c>
      <c r="I9" s="219">
        <v>157509</v>
      </c>
      <c r="J9" s="57">
        <f>I9*(1+$J10)</f>
        <v>171347.47094099034</v>
      </c>
      <c r="K9" s="57">
        <f t="shared" ref="K9:N9" si="0">J9*(1+$J10)</f>
        <v>186401.76623477726</v>
      </c>
      <c r="L9" s="57">
        <f t="shared" si="0"/>
        <v>202778.70612639768</v>
      </c>
      <c r="M9" s="57">
        <f t="shared" si="0"/>
        <v>220594.49590464385</v>
      </c>
      <c r="N9" s="57">
        <f t="shared" si="0"/>
        <v>239975.55045593189</v>
      </c>
    </row>
    <row r="10" spans="2:15" x14ac:dyDescent="0.25">
      <c r="B10" s="4" t="s">
        <v>9</v>
      </c>
      <c r="C10" s="20"/>
      <c r="D10" s="20"/>
      <c r="E10" s="21">
        <f>(E9-D9)/D9</f>
        <v>-9.0564654118797355E-2</v>
      </c>
      <c r="F10" s="22">
        <f t="shared" ref="F10:I10" si="1">(F9-E9)/E9</f>
        <v>4.7295131961171473E-2</v>
      </c>
      <c r="G10" s="22">
        <f t="shared" si="1"/>
        <v>0.26720495913452047</v>
      </c>
      <c r="H10" s="22">
        <f t="shared" si="1"/>
        <v>0.10178535263051301</v>
      </c>
      <c r="I10" s="22">
        <f t="shared" si="1"/>
        <v>0.11357064583406978</v>
      </c>
      <c r="J10" s="90">
        <f>AVERAGE(E10:I10)</f>
        <v>8.7858287088295475E-2</v>
      </c>
      <c r="K10" s="24"/>
      <c r="L10" s="24"/>
      <c r="M10" s="24"/>
      <c r="N10" s="24"/>
    </row>
    <row r="11" spans="2:15" x14ac:dyDescent="0.25">
      <c r="B11" s="5"/>
      <c r="C11" s="20"/>
      <c r="D11" s="20"/>
      <c r="E11" s="20"/>
      <c r="F11" s="20"/>
      <c r="G11" s="20"/>
      <c r="H11" s="20"/>
      <c r="I11" s="20"/>
      <c r="J11" s="24"/>
      <c r="K11" s="24"/>
      <c r="L11" s="24"/>
      <c r="M11" s="24"/>
      <c r="N11" s="24"/>
    </row>
    <row r="12" spans="2:15" x14ac:dyDescent="0.25">
      <c r="B12" s="3" t="s">
        <v>1</v>
      </c>
      <c r="C12" s="56"/>
      <c r="D12" s="219">
        <v>16111</v>
      </c>
      <c r="E12" s="219">
        <v>11586</v>
      </c>
      <c r="F12" s="219">
        <v>12172</v>
      </c>
      <c r="G12" s="219">
        <v>15420</v>
      </c>
      <c r="H12" s="219">
        <v>15949</v>
      </c>
      <c r="I12" s="219">
        <v>13890</v>
      </c>
      <c r="J12" s="57">
        <f t="shared" ref="J12:N12" si="2">I12*(1+$J13)</f>
        <v>13728.218456811772</v>
      </c>
      <c r="K12" s="57">
        <f t="shared" si="2"/>
        <v>13568.321238153161</v>
      </c>
      <c r="L12" s="57">
        <f t="shared" si="2"/>
        <v>13410.286396656975</v>
      </c>
      <c r="M12" s="57">
        <f t="shared" si="2"/>
        <v>13254.092240584458</v>
      </c>
      <c r="N12" s="57">
        <f t="shared" si="2"/>
        <v>13099.717330847894</v>
      </c>
    </row>
    <row r="13" spans="2:15" x14ac:dyDescent="0.25">
      <c r="B13" s="4" t="s">
        <v>9</v>
      </c>
      <c r="C13" s="20"/>
      <c r="D13" s="20"/>
      <c r="E13" s="22">
        <f t="shared" ref="E13:I13" si="3">(E12-D12)/D12</f>
        <v>-0.28086400595866179</v>
      </c>
      <c r="F13" s="22">
        <f t="shared" si="3"/>
        <v>5.057828413602624E-2</v>
      </c>
      <c r="G13" s="22">
        <f t="shared" si="3"/>
        <v>0.26684193230364772</v>
      </c>
      <c r="H13" s="22">
        <f t="shared" si="3"/>
        <v>3.4306095979247733E-2</v>
      </c>
      <c r="I13" s="22">
        <f t="shared" si="3"/>
        <v>-0.12909900307229294</v>
      </c>
      <c r="J13" s="90">
        <f>AVERAGE(E13:I13)</f>
        <v>-1.1647339322406604E-2</v>
      </c>
      <c r="K13" s="24"/>
      <c r="L13" s="24"/>
      <c r="M13" s="24"/>
      <c r="N13" s="24"/>
    </row>
    <row r="14" spans="2:15" x14ac:dyDescent="0.25">
      <c r="B14" s="5"/>
      <c r="C14" s="20"/>
      <c r="D14" s="20"/>
      <c r="E14" s="20"/>
      <c r="F14" s="20"/>
      <c r="G14" s="20"/>
      <c r="H14" s="20"/>
      <c r="I14" s="20"/>
      <c r="J14" s="24"/>
      <c r="K14" s="24"/>
      <c r="L14" s="24"/>
      <c r="M14" s="24"/>
      <c r="N14" s="24"/>
    </row>
    <row r="15" spans="2:15" x14ac:dyDescent="0.25">
      <c r="B15" s="3" t="s">
        <v>2</v>
      </c>
      <c r="C15" s="56"/>
      <c r="D15" s="219">
        <v>220</v>
      </c>
      <c r="E15" s="219">
        <v>350</v>
      </c>
      <c r="F15" s="219">
        <v>104</v>
      </c>
      <c r="G15" s="219">
        <v>177</v>
      </c>
      <c r="H15" s="219">
        <v>273</v>
      </c>
      <c r="I15" s="219">
        <v>206</v>
      </c>
      <c r="J15" s="57">
        <f t="shared" ref="J15:N15" si="4">I15*(1+$J16)</f>
        <v>242.54137842948012</v>
      </c>
      <c r="K15" s="57">
        <f t="shared" si="4"/>
        <v>285.56466141005961</v>
      </c>
      <c r="L15" s="57">
        <f t="shared" si="4"/>
        <v>336.2196437337069</v>
      </c>
      <c r="M15" s="57">
        <f t="shared" si="4"/>
        <v>395.86007692350478</v>
      </c>
      <c r="N15" s="57">
        <f t="shared" si="4"/>
        <v>466.07984816614993</v>
      </c>
    </row>
    <row r="16" spans="2:15" x14ac:dyDescent="0.25">
      <c r="B16" s="4" t="s">
        <v>9</v>
      </c>
      <c r="C16" s="20"/>
      <c r="D16" s="20"/>
      <c r="E16" s="22">
        <f t="shared" ref="E16" si="5">(E15-D15)/D15</f>
        <v>0.59090909090909094</v>
      </c>
      <c r="F16" s="22">
        <f t="shared" ref="F16" si="6">(F15-E15)/E15</f>
        <v>-0.70285714285714285</v>
      </c>
      <c r="G16" s="22">
        <f t="shared" ref="G16" si="7">(G15-F15)/F15</f>
        <v>0.70192307692307687</v>
      </c>
      <c r="H16" s="22">
        <f t="shared" ref="H16" si="8">(H15-G15)/G15</f>
        <v>0.5423728813559322</v>
      </c>
      <c r="I16" s="22">
        <f t="shared" ref="I16" si="9">(I15-H15)/H15</f>
        <v>-0.24542124542124541</v>
      </c>
      <c r="J16" s="90">
        <f>AVERAGE(E16:I16)</f>
        <v>0.17738533218194236</v>
      </c>
      <c r="K16" s="24"/>
      <c r="L16" s="24"/>
      <c r="M16" s="24"/>
      <c r="N16" s="24"/>
    </row>
    <row r="17" spans="2:14" x14ac:dyDescent="0.25">
      <c r="B17" s="5"/>
      <c r="C17" s="20"/>
      <c r="D17" s="20"/>
      <c r="E17" s="20"/>
      <c r="F17" s="20"/>
      <c r="G17" s="20"/>
      <c r="H17" s="20"/>
      <c r="I17" s="20"/>
      <c r="J17" s="24"/>
      <c r="K17" s="24"/>
      <c r="L17" s="24"/>
      <c r="M17" s="24"/>
      <c r="N17" s="24"/>
    </row>
    <row r="18" spans="2:14" x14ac:dyDescent="0.25">
      <c r="B18" s="3" t="s">
        <v>3</v>
      </c>
      <c r="C18" s="56"/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7">
        <f>I18</f>
        <v>0</v>
      </c>
      <c r="K18" s="57">
        <f t="shared" ref="K18:N18" si="10">J18</f>
        <v>0</v>
      </c>
      <c r="L18" s="57">
        <f t="shared" si="10"/>
        <v>0</v>
      </c>
      <c r="M18" s="57">
        <f t="shared" si="10"/>
        <v>0</v>
      </c>
      <c r="N18" s="57">
        <f t="shared" si="10"/>
        <v>0</v>
      </c>
    </row>
    <row r="19" spans="2:14" x14ac:dyDescent="0.25">
      <c r="B19" s="4" t="s">
        <v>9</v>
      </c>
      <c r="C19" s="20"/>
      <c r="D19" s="20"/>
      <c r="E19" s="20"/>
      <c r="F19" s="20"/>
      <c r="G19" s="20"/>
      <c r="H19" s="20"/>
      <c r="I19" s="20"/>
      <c r="J19" s="24"/>
      <c r="K19" s="24"/>
      <c r="L19" s="24"/>
      <c r="M19" s="24"/>
      <c r="N19" s="24"/>
    </row>
    <row r="20" spans="2:14" x14ac:dyDescent="0.25">
      <c r="B20" s="5"/>
      <c r="C20" s="20"/>
      <c r="D20" s="20"/>
      <c r="E20" s="20"/>
      <c r="F20" s="20"/>
      <c r="G20" s="20"/>
      <c r="H20" s="20"/>
      <c r="I20" s="20"/>
      <c r="J20" s="24"/>
      <c r="K20" s="24"/>
      <c r="L20" s="24"/>
      <c r="M20" s="24"/>
      <c r="N20" s="24"/>
    </row>
    <row r="21" spans="2:14" x14ac:dyDescent="0.25">
      <c r="B21" s="6" t="s">
        <v>4</v>
      </c>
      <c r="C21" s="59"/>
      <c r="D21" s="59">
        <f>SUM(D9,D12,D15,D18)</f>
        <v>122697</v>
      </c>
      <c r="E21" s="59">
        <f>SUM(E9,E12,E15,E18)</f>
        <v>108669</v>
      </c>
      <c r="F21" s="59">
        <f t="shared" ref="F21:N21" si="11">SUM(F9,F12,F15,F18)</f>
        <v>113584</v>
      </c>
      <c r="G21" s="59">
        <f t="shared" si="11"/>
        <v>143975</v>
      </c>
      <c r="H21" s="59">
        <f t="shared" si="11"/>
        <v>157667</v>
      </c>
      <c r="I21" s="59">
        <f t="shared" si="11"/>
        <v>171605</v>
      </c>
      <c r="J21" s="60">
        <f t="shared" si="11"/>
        <v>185318.23077623159</v>
      </c>
      <c r="K21" s="60">
        <f t="shared" si="11"/>
        <v>200255.65213434046</v>
      </c>
      <c r="L21" s="60">
        <f t="shared" si="11"/>
        <v>216525.21216678835</v>
      </c>
      <c r="M21" s="60">
        <f t="shared" si="11"/>
        <v>234244.44822215181</v>
      </c>
      <c r="N21" s="60">
        <f t="shared" si="11"/>
        <v>253541.34763494594</v>
      </c>
    </row>
    <row r="22" spans="2:14" x14ac:dyDescent="0.25">
      <c r="B22" s="5"/>
      <c r="C22" s="20"/>
      <c r="D22" s="20"/>
      <c r="E22" s="20"/>
      <c r="F22" s="20"/>
      <c r="G22" s="20"/>
      <c r="H22" s="20"/>
      <c r="I22" s="20"/>
      <c r="J22" s="24"/>
      <c r="K22" s="24"/>
      <c r="L22" s="24"/>
      <c r="M22" s="24"/>
      <c r="N22" s="24"/>
    </row>
    <row r="23" spans="2:14" x14ac:dyDescent="0.25">
      <c r="B23" s="3" t="s">
        <v>5</v>
      </c>
      <c r="C23" s="56"/>
      <c r="D23" s="219">
        <v>100</v>
      </c>
      <c r="E23" s="219">
        <v>103</v>
      </c>
      <c r="F23" s="219">
        <v>106</v>
      </c>
      <c r="G23" s="219">
        <v>102</v>
      </c>
      <c r="H23" s="219">
        <v>102</v>
      </c>
      <c r="I23" s="219">
        <v>257</v>
      </c>
      <c r="J23" s="57">
        <f t="shared" ref="J23" si="12">I23*(1+$J24)</f>
        <v>336.20730787438623</v>
      </c>
      <c r="K23" s="57">
        <f t="shared" ref="K23" si="13">J23*(1+$J24)</f>
        <v>439.82627964257711</v>
      </c>
      <c r="L23" s="57">
        <f t="shared" ref="L23" si="14">K23*(1+$J24)</f>
        <v>575.38058136590587</v>
      </c>
      <c r="M23" s="57">
        <f t="shared" ref="M23" si="15">L23*(1+$J24)</f>
        <v>752.71267028883437</v>
      </c>
      <c r="N23" s="57">
        <f t="shared" ref="N23" si="16">M23*(1+$J24)</f>
        <v>984.69844545038711</v>
      </c>
    </row>
    <row r="24" spans="2:14" x14ac:dyDescent="0.25">
      <c r="B24" s="4" t="s">
        <v>9</v>
      </c>
      <c r="C24" s="20"/>
      <c r="D24" s="20"/>
      <c r="E24" s="22">
        <f t="shared" ref="E24" si="17">(E23-D23)/D23</f>
        <v>0.03</v>
      </c>
      <c r="F24" s="22">
        <f t="shared" ref="F24" si="18">(F23-E23)/E23</f>
        <v>2.9126213592233011E-2</v>
      </c>
      <c r="G24" s="22">
        <f t="shared" ref="G24" si="19">(G23-F23)/F23</f>
        <v>-3.7735849056603772E-2</v>
      </c>
      <c r="H24" s="22">
        <f t="shared" ref="H24" si="20">(H23-G23)/G23</f>
        <v>0</v>
      </c>
      <c r="I24" s="22">
        <f t="shared" ref="I24" si="21">(I23-H23)/H23</f>
        <v>1.5196078431372548</v>
      </c>
      <c r="J24" s="90">
        <f>AVERAGE(E24:I24)</f>
        <v>0.3081996415345768</v>
      </c>
      <c r="K24" s="24"/>
      <c r="L24" s="24"/>
      <c r="M24" s="24"/>
      <c r="N24" s="24"/>
    </row>
    <row r="25" spans="2:14" x14ac:dyDescent="0.25">
      <c r="B25" s="5"/>
      <c r="C25" s="20"/>
      <c r="D25" s="20"/>
      <c r="E25" s="20"/>
      <c r="F25" s="20"/>
      <c r="G25" s="20"/>
      <c r="H25" s="20"/>
      <c r="I25" s="20"/>
      <c r="J25" s="24"/>
      <c r="K25" s="24"/>
      <c r="L25" s="24"/>
      <c r="M25" s="24"/>
      <c r="N25" s="24"/>
    </row>
    <row r="26" spans="2:14" x14ac:dyDescent="0.25">
      <c r="B26" s="3" t="s">
        <v>6</v>
      </c>
      <c r="C26" s="56"/>
      <c r="D26" s="219">
        <v>14554</v>
      </c>
      <c r="E26" s="219">
        <v>13831</v>
      </c>
      <c r="F26" s="219">
        <v>13419</v>
      </c>
      <c r="G26" s="219">
        <v>12766</v>
      </c>
      <c r="H26" s="219">
        <v>14225</v>
      </c>
      <c r="I26" s="219">
        <v>15875</v>
      </c>
      <c r="J26" s="57">
        <f t="shared" ref="J26" si="22">I26*(1+$J27)</f>
        <v>16199.336906241424</v>
      </c>
      <c r="K26" s="57">
        <f t="shared" ref="K26" si="23">J26*(1+$J27)</f>
        <v>16530.300233191527</v>
      </c>
      <c r="L26" s="57">
        <f t="shared" ref="L26" si="24">K26*(1+$J27)</f>
        <v>16868.02536307343</v>
      </c>
      <c r="M26" s="57">
        <f t="shared" ref="M26" si="25">L26*(1+$J27)</f>
        <v>17212.650444059956</v>
      </c>
      <c r="N26" s="57">
        <f t="shared" ref="N26" si="26">M26*(1+$J27)</f>
        <v>17564.316446783829</v>
      </c>
    </row>
    <row r="27" spans="2:14" x14ac:dyDescent="0.25">
      <c r="B27" s="4" t="s">
        <v>9</v>
      </c>
      <c r="C27" s="20"/>
      <c r="D27" s="20"/>
      <c r="E27" s="22">
        <f t="shared" ref="E27" si="27">(E26-D26)/D26</f>
        <v>-4.9677064724474369E-2</v>
      </c>
      <c r="F27" s="22">
        <f t="shared" ref="F27" si="28">(F26-E26)/E26</f>
        <v>-2.9788157038536621E-2</v>
      </c>
      <c r="G27" s="22">
        <f t="shared" ref="G27" si="29">(G26-F26)/F26</f>
        <v>-4.8662344436992327E-2</v>
      </c>
      <c r="H27" s="22">
        <f t="shared" ref="H27" si="30">(H26-G26)/G26</f>
        <v>0.11428795237349208</v>
      </c>
      <c r="I27" s="22">
        <f t="shared" ref="I27" si="31">(I26-H26)/H26</f>
        <v>0.11599297012302284</v>
      </c>
      <c r="J27" s="90">
        <f>AVERAGE(E27:I27)</f>
        <v>2.043067125930232E-2</v>
      </c>
      <c r="K27" s="24"/>
      <c r="L27" s="24"/>
      <c r="M27" s="24"/>
      <c r="N27" s="24"/>
    </row>
    <row r="28" spans="2:14" x14ac:dyDescent="0.25">
      <c r="B28" s="5"/>
      <c r="C28" s="20"/>
      <c r="D28" s="20"/>
      <c r="E28" s="20"/>
      <c r="F28" s="20"/>
      <c r="G28" s="20"/>
      <c r="H28" s="20"/>
      <c r="I28" s="20"/>
      <c r="J28" s="24"/>
      <c r="K28" s="24"/>
      <c r="L28" s="24"/>
      <c r="M28" s="24"/>
      <c r="N28" s="24"/>
    </row>
    <row r="29" spans="2:14" x14ac:dyDescent="0.25">
      <c r="B29" s="3" t="s">
        <v>7</v>
      </c>
      <c r="C29" s="56"/>
      <c r="D29" s="219">
        <v>-114</v>
      </c>
      <c r="E29" s="219">
        <v>-118</v>
      </c>
      <c r="F29" s="219">
        <v>-105</v>
      </c>
      <c r="G29" s="219">
        <v>-108</v>
      </c>
      <c r="H29" s="219">
        <v>-152</v>
      </c>
      <c r="I29" s="219">
        <v>-295</v>
      </c>
      <c r="J29" s="57">
        <f t="shared" ref="J29" si="32">I29*(1+$J30)</f>
        <v>-371.79950570871625</v>
      </c>
      <c r="K29" s="57">
        <f t="shared" ref="K29" si="33">J29*(1+$J30)</f>
        <v>-468.59278794998551</v>
      </c>
      <c r="L29" s="57">
        <f t="shared" ref="L29" si="34">K29*(1+$J30)</f>
        <v>-590.5849726727929</v>
      </c>
      <c r="M29" s="57">
        <f t="shared" ref="M29" si="35">L29*(1+$J30)</f>
        <v>-744.3362743008139</v>
      </c>
      <c r="N29" s="57">
        <f t="shared" ref="N29" si="36">M29*(1+$J30)</f>
        <v>-938.1147758173222</v>
      </c>
    </row>
    <row r="30" spans="2:14" x14ac:dyDescent="0.25">
      <c r="B30" s="4" t="s">
        <v>9</v>
      </c>
      <c r="C30" s="20"/>
      <c r="D30" s="20"/>
      <c r="E30" s="22">
        <f t="shared" ref="E30" si="37">(E29-D29)/D29</f>
        <v>3.5087719298245612E-2</v>
      </c>
      <c r="F30" s="22">
        <f t="shared" ref="F30" si="38">(F29-E29)/E29</f>
        <v>-0.11016949152542373</v>
      </c>
      <c r="G30" s="22">
        <f t="shared" ref="G30" si="39">(G29-F29)/F29</f>
        <v>2.8571428571428571E-2</v>
      </c>
      <c r="H30" s="22">
        <f t="shared" ref="H30" si="40">(H29-G29)/G29</f>
        <v>0.40740740740740738</v>
      </c>
      <c r="I30" s="22">
        <f t="shared" ref="I30" si="41">(I29-H29)/H29</f>
        <v>0.94078947368421051</v>
      </c>
      <c r="J30" s="90">
        <f>AVERAGE(E30:I30)</f>
        <v>0.26033730748717365</v>
      </c>
      <c r="K30" s="24"/>
      <c r="L30" s="24"/>
      <c r="M30" s="24"/>
      <c r="N30" s="24"/>
    </row>
    <row r="31" spans="2:14" x14ac:dyDescent="0.25">
      <c r="B31" s="4"/>
      <c r="C31" s="20"/>
      <c r="D31" s="20"/>
      <c r="E31" s="22"/>
      <c r="F31" s="22"/>
      <c r="G31" s="22"/>
      <c r="H31" s="22"/>
      <c r="I31" s="22"/>
      <c r="J31" s="23"/>
      <c r="K31" s="24"/>
      <c r="L31" s="24"/>
      <c r="M31" s="24"/>
      <c r="N31" s="24"/>
    </row>
    <row r="32" spans="2:14" x14ac:dyDescent="0.25">
      <c r="B32" s="6" t="s">
        <v>13</v>
      </c>
      <c r="C32" s="59"/>
      <c r="D32" s="59">
        <f>SUM(D23,D26,D29)</f>
        <v>14540</v>
      </c>
      <c r="E32" s="59">
        <f t="shared" ref="E32:N32" si="42">SUM(E23,E26,E29)</f>
        <v>13816</v>
      </c>
      <c r="F32" s="59">
        <f t="shared" si="42"/>
        <v>13420</v>
      </c>
      <c r="G32" s="59">
        <f t="shared" si="42"/>
        <v>12760</v>
      </c>
      <c r="H32" s="59">
        <f t="shared" si="42"/>
        <v>14175</v>
      </c>
      <c r="I32" s="59">
        <f t="shared" si="42"/>
        <v>15837</v>
      </c>
      <c r="J32" s="60">
        <f t="shared" si="42"/>
        <v>16163.744708407094</v>
      </c>
      <c r="K32" s="60">
        <f t="shared" si="42"/>
        <v>16501.533724884117</v>
      </c>
      <c r="L32" s="60">
        <f t="shared" si="42"/>
        <v>16852.820971766541</v>
      </c>
      <c r="M32" s="60">
        <f t="shared" si="42"/>
        <v>17221.026840047976</v>
      </c>
      <c r="N32" s="60">
        <f t="shared" si="42"/>
        <v>17610.900116416895</v>
      </c>
    </row>
    <row r="33" spans="2:14" x14ac:dyDescent="0.25">
      <c r="B33" s="5"/>
      <c r="C33" s="20"/>
      <c r="D33" s="20"/>
      <c r="E33" s="20"/>
      <c r="F33" s="20"/>
      <c r="G33" s="20"/>
      <c r="H33" s="20"/>
      <c r="I33" s="20"/>
      <c r="J33" s="24"/>
      <c r="K33" s="24"/>
      <c r="L33" s="24"/>
      <c r="M33" s="24"/>
      <c r="N33" s="24"/>
    </row>
    <row r="34" spans="2:14" ht="15.75" thickBot="1" x14ac:dyDescent="0.3">
      <c r="B34" s="7" t="s">
        <v>8</v>
      </c>
      <c r="C34" s="65"/>
      <c r="D34" s="65">
        <f>SUM(D21,D32)</f>
        <v>137237</v>
      </c>
      <c r="E34" s="65">
        <f t="shared" ref="E34:N34" si="43">SUM(E21,E32)</f>
        <v>122485</v>
      </c>
      <c r="F34" s="65">
        <f t="shared" si="43"/>
        <v>127004</v>
      </c>
      <c r="G34" s="65">
        <f t="shared" si="43"/>
        <v>156735</v>
      </c>
      <c r="H34" s="65">
        <f t="shared" si="43"/>
        <v>171842</v>
      </c>
      <c r="I34" s="65">
        <f t="shared" si="43"/>
        <v>187442</v>
      </c>
      <c r="J34" s="66">
        <f t="shared" si="43"/>
        <v>201481.97548463868</v>
      </c>
      <c r="K34" s="66">
        <f t="shared" si="43"/>
        <v>216757.18585922458</v>
      </c>
      <c r="L34" s="66">
        <f t="shared" si="43"/>
        <v>233378.03313855489</v>
      </c>
      <c r="M34" s="66">
        <f t="shared" si="43"/>
        <v>251465.47506219978</v>
      </c>
      <c r="N34" s="66">
        <f t="shared" si="43"/>
        <v>271152.24775136285</v>
      </c>
    </row>
    <row r="35" spans="2:14" ht="15.75" thickTop="1" x14ac:dyDescent="0.25">
      <c r="B35" s="33" t="s">
        <v>9</v>
      </c>
      <c r="C35" s="33"/>
      <c r="D35" s="33"/>
      <c r="E35" s="36">
        <f t="shared" ref="E35" si="44">(E34-D34)/D34</f>
        <v>-0.1074928772852802</v>
      </c>
      <c r="F35" s="36">
        <f t="shared" ref="F35" si="45">(F34-E34)/E34</f>
        <v>3.6894313589419116E-2</v>
      </c>
      <c r="G35" s="36">
        <f t="shared" ref="G35" si="46">(G34-F34)/F34</f>
        <v>0.23409498913420049</v>
      </c>
      <c r="H35" s="36">
        <f t="shared" ref="H35" si="47">(H34-G34)/G34</f>
        <v>9.6385619038504483E-2</v>
      </c>
      <c r="I35" s="36">
        <f t="shared" ref="I35" si="48">(I34-H34)/H34</f>
        <v>9.0781066328371407E-2</v>
      </c>
      <c r="J35" s="37">
        <f t="shared" ref="J35" si="49">(J34-I34)/I34</f>
        <v>7.4903039258216828E-2</v>
      </c>
      <c r="K35" s="37">
        <f t="shared" ref="K35" si="50">(K34-J34)/J34</f>
        <v>7.5814277370684774E-2</v>
      </c>
      <c r="L35" s="37">
        <f t="shared" ref="L35" si="51">(L34-K34)/K34</f>
        <v>7.667956756979169E-2</v>
      </c>
      <c r="M35" s="37">
        <f t="shared" ref="M35" si="52">(M34-L34)/L34</f>
        <v>7.750276099424705E-2</v>
      </c>
      <c r="N35" s="37">
        <f t="shared" ref="N35" si="53">(N34-M34)/M34</f>
        <v>7.8288173294141339E-2</v>
      </c>
    </row>
  </sheetData>
  <mergeCells count="1">
    <mergeCell ref="B2:B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A7A9-A009-4800-8788-5B9B9B7A1620}">
  <dimension ref="B2:O49"/>
  <sheetViews>
    <sheetView showGridLines="0" zoomScale="80" zoomScaleNormal="80"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B5" sqref="B5"/>
    </sheetView>
  </sheetViews>
  <sheetFormatPr defaultRowHeight="15" x14ac:dyDescent="0.25"/>
  <cols>
    <col min="1" max="1" width="2.28515625" bestFit="1" customWidth="1"/>
    <col min="2" max="2" width="79.42578125" bestFit="1" customWidth="1"/>
    <col min="3" max="3" width="2.28515625" bestFit="1" customWidth="1"/>
    <col min="4" max="14" width="12.7109375" bestFit="1" customWidth="1"/>
    <col min="15" max="15" width="12.28515625" bestFit="1" customWidth="1"/>
  </cols>
  <sheetData>
    <row r="2" spans="2:15" ht="15" customHeight="1" x14ac:dyDescent="0.25">
      <c r="B2" s="239"/>
    </row>
    <row r="3" spans="2:15" ht="15" customHeight="1" x14ac:dyDescent="0.25">
      <c r="B3" s="239"/>
    </row>
    <row r="4" spans="2:15" x14ac:dyDescent="0.25">
      <c r="O4" s="1"/>
    </row>
    <row r="5" spans="2:15" x14ac:dyDescent="0.25">
      <c r="B5" s="26" t="s">
        <v>12</v>
      </c>
      <c r="C5" s="16"/>
      <c r="D5" s="16">
        <f>'Revenue Projection'!D5</f>
        <v>12</v>
      </c>
      <c r="E5" s="16">
        <f>'Revenue Projection'!E5</f>
        <v>12</v>
      </c>
      <c r="F5" s="16">
        <f>'Revenue Projection'!F5</f>
        <v>12</v>
      </c>
      <c r="G5" s="16">
        <f>'Revenue Projection'!G5</f>
        <v>12</v>
      </c>
      <c r="H5" s="16">
        <f>'Revenue Projection'!H5</f>
        <v>12</v>
      </c>
      <c r="I5" s="16">
        <f>'Revenue Projection'!I5</f>
        <v>12</v>
      </c>
      <c r="J5" s="17">
        <f>'Revenue Projection'!J5</f>
        <v>12</v>
      </c>
      <c r="K5" s="17">
        <f>'Revenue Projection'!K5</f>
        <v>12</v>
      </c>
      <c r="L5" s="17">
        <f>'Revenue Projection'!L5</f>
        <v>12</v>
      </c>
      <c r="M5" s="17">
        <f>'Revenue Projection'!M5</f>
        <v>12</v>
      </c>
      <c r="N5" s="17">
        <f>'Revenue Projection'!N5</f>
        <v>12</v>
      </c>
      <c r="O5" s="1"/>
    </row>
    <row r="6" spans="2:15" x14ac:dyDescent="0.25">
      <c r="B6" s="32"/>
      <c r="C6" s="32"/>
      <c r="D6" s="71">
        <f>'Revenue Projection'!D6</f>
        <v>43830</v>
      </c>
      <c r="E6" s="71">
        <f>'Revenue Projection'!E6</f>
        <v>44196</v>
      </c>
      <c r="F6" s="71">
        <f>'Revenue Projection'!F6</f>
        <v>44561</v>
      </c>
      <c r="G6" s="71">
        <f>'Revenue Projection'!G6</f>
        <v>44926</v>
      </c>
      <c r="H6" s="71">
        <f>'Revenue Projection'!H6</f>
        <v>45291</v>
      </c>
      <c r="I6" s="71">
        <f>'Revenue Projection'!I6</f>
        <v>45657</v>
      </c>
      <c r="J6" s="72">
        <f>'Revenue Projection'!J6</f>
        <v>46022</v>
      </c>
      <c r="K6" s="72">
        <f>'Revenue Projection'!K6</f>
        <v>46387</v>
      </c>
      <c r="L6" s="72">
        <f>'Revenue Projection'!L6</f>
        <v>46752</v>
      </c>
      <c r="M6" s="72">
        <f>'Revenue Projection'!M6</f>
        <v>47118</v>
      </c>
      <c r="N6" s="72">
        <f>'Revenue Projection'!N6</f>
        <v>47483</v>
      </c>
    </row>
    <row r="7" spans="2:15" x14ac:dyDescent="0.25">
      <c r="B7" s="49"/>
      <c r="C7" s="49"/>
      <c r="D7" s="49" t="str">
        <f>'Revenue Projection'!D7</f>
        <v>Raw</v>
      </c>
      <c r="E7" s="49" t="str">
        <f>'Revenue Projection'!E7</f>
        <v>Raw</v>
      </c>
      <c r="F7" s="49" t="str">
        <f>'Revenue Projection'!F7</f>
        <v>Raw</v>
      </c>
      <c r="G7" s="49" t="str">
        <f>'Revenue Projection'!G7</f>
        <v>Raw</v>
      </c>
      <c r="H7" s="49" t="str">
        <f>'Revenue Projection'!H7</f>
        <v>Raw</v>
      </c>
      <c r="I7" s="49" t="str">
        <f>'Revenue Projection'!I7</f>
        <v>Raw</v>
      </c>
      <c r="J7" s="50" t="str">
        <f>'Revenue Projection'!J7</f>
        <v>Projections</v>
      </c>
      <c r="K7" s="50" t="str">
        <f>'Revenue Projection'!K7</f>
        <v>Projections</v>
      </c>
      <c r="L7" s="50" t="str">
        <f>'Revenue Projection'!L7</f>
        <v>Projections</v>
      </c>
      <c r="M7" s="50" t="str">
        <f>'Revenue Projection'!M7</f>
        <v>Projections</v>
      </c>
      <c r="N7" s="50" t="str">
        <f>'Revenue Projection'!N7</f>
        <v>Projections</v>
      </c>
    </row>
    <row r="8" spans="2:15" x14ac:dyDescent="0.25">
      <c r="B8" s="44" t="s">
        <v>14</v>
      </c>
      <c r="C8" s="55"/>
      <c r="D8" s="56">
        <f>'Revenue Projection'!D21</f>
        <v>122697</v>
      </c>
      <c r="E8" s="56">
        <f>'Revenue Projection'!E21</f>
        <v>108669</v>
      </c>
      <c r="F8" s="56">
        <f>'Revenue Projection'!F21</f>
        <v>113584</v>
      </c>
      <c r="G8" s="56">
        <f>'Revenue Projection'!G21</f>
        <v>143975</v>
      </c>
      <c r="H8" s="56">
        <f>'Revenue Projection'!H21</f>
        <v>157667</v>
      </c>
      <c r="I8" s="56">
        <f>'Revenue Projection'!I21</f>
        <v>171605</v>
      </c>
      <c r="J8" s="57">
        <f>'Revenue Projection'!J21</f>
        <v>185318.23077623159</v>
      </c>
      <c r="K8" s="57">
        <f>'Revenue Projection'!K21</f>
        <v>200255.65213434046</v>
      </c>
      <c r="L8" s="57">
        <f>'Revenue Projection'!L21</f>
        <v>216525.21216678835</v>
      </c>
      <c r="M8" s="57">
        <f>'Revenue Projection'!M21</f>
        <v>234244.44822215181</v>
      </c>
      <c r="N8" s="57">
        <f>'Revenue Projection'!N21</f>
        <v>253541.34763494594</v>
      </c>
    </row>
    <row r="9" spans="2:15" x14ac:dyDescent="0.25">
      <c r="B9" s="44" t="s">
        <v>6</v>
      </c>
      <c r="C9" s="55"/>
      <c r="D9" s="56">
        <f>'Revenue Projection'!D32</f>
        <v>14540</v>
      </c>
      <c r="E9" s="56">
        <f>'Revenue Projection'!E32</f>
        <v>13816</v>
      </c>
      <c r="F9" s="56">
        <f>'Revenue Projection'!F32</f>
        <v>13420</v>
      </c>
      <c r="G9" s="56">
        <f>'Revenue Projection'!G32</f>
        <v>12760</v>
      </c>
      <c r="H9" s="56">
        <f>'Revenue Projection'!H32</f>
        <v>14175</v>
      </c>
      <c r="I9" s="56">
        <f>'Revenue Projection'!I32</f>
        <v>15837</v>
      </c>
      <c r="J9" s="57">
        <f>'Revenue Projection'!J32</f>
        <v>16163.744708407094</v>
      </c>
      <c r="K9" s="57">
        <f>'Revenue Projection'!K32</f>
        <v>16501.533724884117</v>
      </c>
      <c r="L9" s="57">
        <f>'Revenue Projection'!L32</f>
        <v>16852.820971766541</v>
      </c>
      <c r="M9" s="57">
        <f>'Revenue Projection'!M32</f>
        <v>17221.026840047976</v>
      </c>
      <c r="N9" s="57">
        <f>'Revenue Projection'!N32</f>
        <v>17610.900116416895</v>
      </c>
    </row>
    <row r="10" spans="2:15" x14ac:dyDescent="0.25">
      <c r="B10" s="46" t="s">
        <v>15</v>
      </c>
      <c r="C10" s="58"/>
      <c r="D10" s="59">
        <f t="shared" ref="D10:N10" si="0">SUM(D8:D9)</f>
        <v>137237</v>
      </c>
      <c r="E10" s="59">
        <f t="shared" si="0"/>
        <v>122485</v>
      </c>
      <c r="F10" s="59">
        <f t="shared" si="0"/>
        <v>127004</v>
      </c>
      <c r="G10" s="59">
        <f t="shared" si="0"/>
        <v>156735</v>
      </c>
      <c r="H10" s="59">
        <f t="shared" si="0"/>
        <v>171842</v>
      </c>
      <c r="I10" s="59">
        <f t="shared" si="0"/>
        <v>187442</v>
      </c>
      <c r="J10" s="60">
        <f t="shared" si="0"/>
        <v>201481.97548463868</v>
      </c>
      <c r="K10" s="60">
        <f t="shared" si="0"/>
        <v>216757.18585922458</v>
      </c>
      <c r="L10" s="60">
        <f t="shared" si="0"/>
        <v>233378.03313855489</v>
      </c>
      <c r="M10" s="60">
        <f t="shared" si="0"/>
        <v>251465.47506219978</v>
      </c>
      <c r="N10" s="60">
        <f t="shared" si="0"/>
        <v>271152.24775136285</v>
      </c>
    </row>
    <row r="11" spans="2:15" x14ac:dyDescent="0.25">
      <c r="B11" s="8"/>
      <c r="C11" s="55"/>
      <c r="D11" s="56"/>
      <c r="E11" s="56"/>
      <c r="F11" s="56"/>
      <c r="G11" s="56"/>
      <c r="H11" s="56"/>
      <c r="I11" s="56"/>
      <c r="J11" s="57"/>
      <c r="K11" s="57"/>
      <c r="L11" s="57"/>
      <c r="M11" s="57"/>
      <c r="N11" s="57"/>
    </row>
    <row r="12" spans="2:15" x14ac:dyDescent="0.25">
      <c r="B12" s="4" t="s">
        <v>18</v>
      </c>
      <c r="C12" s="55"/>
      <c r="D12" s="219">
        <v>110651</v>
      </c>
      <c r="E12" s="219">
        <v>97539</v>
      </c>
      <c r="F12" s="219">
        <v>100544</v>
      </c>
      <c r="G12" s="219">
        <v>126892</v>
      </c>
      <c r="H12" s="219">
        <v>141330</v>
      </c>
      <c r="I12" s="219">
        <v>151065</v>
      </c>
      <c r="J12" s="57">
        <f>J10*$J$39</f>
        <v>162268.13443478115</v>
      </c>
      <c r="K12" s="57">
        <f t="shared" ref="K12:N12" si="1">K10*$J$39</f>
        <v>174570.37578724322</v>
      </c>
      <c r="L12" s="57">
        <f t="shared" si="1"/>
        <v>187956.35671310508</v>
      </c>
      <c r="M12" s="57">
        <f t="shared" si="1"/>
        <v>202523.49330479029</v>
      </c>
      <c r="N12" s="57">
        <f t="shared" si="1"/>
        <v>218378.6876447706</v>
      </c>
    </row>
    <row r="13" spans="2:15" x14ac:dyDescent="0.25">
      <c r="B13" s="6" t="s">
        <v>19</v>
      </c>
      <c r="C13" s="58"/>
      <c r="D13" s="59">
        <f>D10-D12</f>
        <v>26586</v>
      </c>
      <c r="E13" s="59">
        <f t="shared" ref="E13:N13" si="2">E10-E12</f>
        <v>24946</v>
      </c>
      <c r="F13" s="59">
        <f t="shared" si="2"/>
        <v>26460</v>
      </c>
      <c r="G13" s="59">
        <f t="shared" si="2"/>
        <v>29843</v>
      </c>
      <c r="H13" s="59">
        <f t="shared" si="2"/>
        <v>30512</v>
      </c>
      <c r="I13" s="59">
        <f t="shared" si="2"/>
        <v>36377</v>
      </c>
      <c r="J13" s="60">
        <f t="shared" si="2"/>
        <v>39213.841049857525</v>
      </c>
      <c r="K13" s="60">
        <f t="shared" si="2"/>
        <v>42186.810071981366</v>
      </c>
      <c r="L13" s="60">
        <f t="shared" si="2"/>
        <v>45421.676425449812</v>
      </c>
      <c r="M13" s="60">
        <f t="shared" si="2"/>
        <v>48941.981757409492</v>
      </c>
      <c r="N13" s="60">
        <f t="shared" si="2"/>
        <v>52773.560106592253</v>
      </c>
    </row>
    <row r="14" spans="2:15" x14ac:dyDescent="0.25">
      <c r="B14" s="8" t="s">
        <v>20</v>
      </c>
      <c r="C14" s="55"/>
      <c r="D14" s="21">
        <f>D13/D$10</f>
        <v>0.19372326704897366</v>
      </c>
      <c r="E14" s="22">
        <f t="shared" ref="E14:N14" si="3">E13/E$10</f>
        <v>0.20366575499040698</v>
      </c>
      <c r="F14" s="22">
        <f t="shared" si="3"/>
        <v>0.20833989480646278</v>
      </c>
      <c r="G14" s="22">
        <f t="shared" si="3"/>
        <v>0.19040418540849205</v>
      </c>
      <c r="H14" s="22">
        <f t="shared" si="3"/>
        <v>0.17755845485969671</v>
      </c>
      <c r="I14" s="22">
        <f t="shared" si="3"/>
        <v>0.19407069920295345</v>
      </c>
      <c r="J14" s="23">
        <f t="shared" si="3"/>
        <v>0.19462704271949752</v>
      </c>
      <c r="K14" s="23">
        <f t="shared" si="3"/>
        <v>0.19462704271949752</v>
      </c>
      <c r="L14" s="23">
        <f t="shared" si="3"/>
        <v>0.19462704271949743</v>
      </c>
      <c r="M14" s="23">
        <f t="shared" si="3"/>
        <v>0.19462704271949752</v>
      </c>
      <c r="N14" s="23">
        <f t="shared" si="3"/>
        <v>0.19462704271949743</v>
      </c>
    </row>
    <row r="15" spans="2:15" x14ac:dyDescent="0.25">
      <c r="B15" s="8"/>
      <c r="C15" s="55"/>
      <c r="D15" s="56"/>
      <c r="E15" s="56"/>
      <c r="F15" s="56"/>
      <c r="G15" s="56"/>
      <c r="H15" s="56"/>
      <c r="I15" s="56"/>
      <c r="J15" s="57"/>
      <c r="K15" s="57"/>
      <c r="L15" s="57"/>
      <c r="M15" s="57"/>
      <c r="N15" s="57"/>
    </row>
    <row r="16" spans="2:15" x14ac:dyDescent="0.25">
      <c r="B16" s="4" t="s">
        <v>16</v>
      </c>
      <c r="C16" s="55"/>
      <c r="D16" s="219">
        <v>12614</v>
      </c>
      <c r="E16" s="219">
        <v>11274</v>
      </c>
      <c r="F16" s="219">
        <v>8582</v>
      </c>
      <c r="G16" s="219">
        <v>8861</v>
      </c>
      <c r="H16" s="219">
        <v>11374</v>
      </c>
      <c r="I16" s="219">
        <v>12972</v>
      </c>
      <c r="J16" s="57">
        <f>J10*$J$40</f>
        <v>14891.519987960002</v>
      </c>
      <c r="K16" s="57">
        <f t="shared" ref="K16:N16" si="4">K10*$J$40</f>
        <v>16020.509814798299</v>
      </c>
      <c r="L16" s="57">
        <f t="shared" si="4"/>
        <v>17248.955579644637</v>
      </c>
      <c r="M16" s="57">
        <f t="shared" si="4"/>
        <v>18585.797261334217</v>
      </c>
      <c r="N16" s="57">
        <f t="shared" si="4"/>
        <v>20040.845378139329</v>
      </c>
    </row>
    <row r="17" spans="2:14" x14ac:dyDescent="0.25">
      <c r="B17" s="4" t="s">
        <v>17</v>
      </c>
      <c r="C17" s="55"/>
      <c r="D17" s="219">
        <v>8491</v>
      </c>
      <c r="E17" s="219">
        <v>7038</v>
      </c>
      <c r="F17" s="219">
        <v>8554</v>
      </c>
      <c r="G17" s="219">
        <v>10667</v>
      </c>
      <c r="H17" s="219">
        <v>9840</v>
      </c>
      <c r="I17" s="219">
        <v>10621</v>
      </c>
      <c r="J17" s="57">
        <f>J10*$J$41</f>
        <v>12379.915255032551</v>
      </c>
      <c r="K17" s="57">
        <f t="shared" ref="K17:N17" si="5">K10*$J$41</f>
        <v>13318.48958400316</v>
      </c>
      <c r="L17" s="57">
        <f t="shared" si="5"/>
        <v>14339.745605987297</v>
      </c>
      <c r="M17" s="57">
        <f t="shared" si="5"/>
        <v>15451.115482406434</v>
      </c>
      <c r="N17" s="57">
        <f t="shared" si="5"/>
        <v>16660.755088880858</v>
      </c>
    </row>
    <row r="18" spans="2:14" x14ac:dyDescent="0.25">
      <c r="B18" s="47" t="s">
        <v>21</v>
      </c>
      <c r="C18" s="61"/>
      <c r="D18" s="62">
        <f>SUM(D16:D17)-D24</f>
        <v>6987</v>
      </c>
      <c r="E18" s="62">
        <f t="shared" ref="E18:N18" si="6">SUM(E16:E17)-E24</f>
        <v>5497</v>
      </c>
      <c r="F18" s="62">
        <f t="shared" si="6"/>
        <v>5085</v>
      </c>
      <c r="G18" s="62">
        <f t="shared" si="6"/>
        <v>8238</v>
      </c>
      <c r="H18" s="62">
        <f t="shared" si="6"/>
        <v>9326</v>
      </c>
      <c r="I18" s="62">
        <f t="shared" si="6"/>
        <v>11204</v>
      </c>
      <c r="J18" s="63">
        <f t="shared" si="6"/>
        <v>13807.715680772206</v>
      </c>
      <c r="K18" s="63">
        <f t="shared" si="6"/>
        <v>14854.537667249824</v>
      </c>
      <c r="L18" s="63">
        <f t="shared" si="6"/>
        <v>15993.577192023724</v>
      </c>
      <c r="M18" s="63">
        <f t="shared" si="6"/>
        <v>17233.123582580174</v>
      </c>
      <c r="N18" s="63">
        <f t="shared" si="6"/>
        <v>18582.273348012568</v>
      </c>
    </row>
    <row r="19" spans="2:14" x14ac:dyDescent="0.25">
      <c r="B19" s="6" t="s">
        <v>22</v>
      </c>
      <c r="C19" s="58"/>
      <c r="D19" s="59">
        <f>D13-D18</f>
        <v>19599</v>
      </c>
      <c r="E19" s="59">
        <f t="shared" ref="E19:N19" si="7">E13-E18</f>
        <v>19449</v>
      </c>
      <c r="F19" s="59">
        <f t="shared" si="7"/>
        <v>21375</v>
      </c>
      <c r="G19" s="59">
        <f t="shared" si="7"/>
        <v>21605</v>
      </c>
      <c r="H19" s="59">
        <f t="shared" si="7"/>
        <v>21186</v>
      </c>
      <c r="I19" s="59">
        <f t="shared" si="7"/>
        <v>25173</v>
      </c>
      <c r="J19" s="60">
        <f t="shared" si="7"/>
        <v>25406.125369085319</v>
      </c>
      <c r="K19" s="60">
        <f t="shared" si="7"/>
        <v>27332.272404731542</v>
      </c>
      <c r="L19" s="60">
        <f t="shared" si="7"/>
        <v>29428.099233426088</v>
      </c>
      <c r="M19" s="60">
        <f t="shared" si="7"/>
        <v>31708.858174829318</v>
      </c>
      <c r="N19" s="60">
        <f t="shared" si="7"/>
        <v>34191.286758579685</v>
      </c>
    </row>
    <row r="20" spans="2:14" x14ac:dyDescent="0.25">
      <c r="B20" s="8" t="s">
        <v>23</v>
      </c>
      <c r="C20" s="55"/>
      <c r="D20" s="22">
        <f t="shared" ref="D20:N20" si="8">D19/D$10</f>
        <v>0.14281134096490014</v>
      </c>
      <c r="E20" s="22">
        <f t="shared" si="8"/>
        <v>0.15878679021921052</v>
      </c>
      <c r="F20" s="22">
        <f t="shared" si="8"/>
        <v>0.1683017857705269</v>
      </c>
      <c r="G20" s="22">
        <f t="shared" si="8"/>
        <v>0.13784413181484673</v>
      </c>
      <c r="H20" s="22">
        <f t="shared" si="8"/>
        <v>0.12328767123287671</v>
      </c>
      <c r="I20" s="22">
        <f t="shared" si="8"/>
        <v>0.1342975427065439</v>
      </c>
      <c r="J20" s="23">
        <f t="shared" si="8"/>
        <v>0.12609626894899253</v>
      </c>
      <c r="K20" s="23">
        <f t="shared" si="8"/>
        <v>0.12609626894899253</v>
      </c>
      <c r="L20" s="23">
        <f t="shared" si="8"/>
        <v>0.12609626894899245</v>
      </c>
      <c r="M20" s="23">
        <f t="shared" si="8"/>
        <v>0.12609626894899253</v>
      </c>
      <c r="N20" s="23">
        <f t="shared" si="8"/>
        <v>0.12609626894899245</v>
      </c>
    </row>
    <row r="21" spans="2:14" x14ac:dyDescent="0.25">
      <c r="B21" s="8"/>
      <c r="C21" s="55"/>
      <c r="D21" s="56"/>
      <c r="E21" s="56"/>
      <c r="F21" s="56"/>
      <c r="G21" s="56"/>
      <c r="H21" s="56"/>
      <c r="I21" s="56"/>
      <c r="J21" s="57"/>
      <c r="K21" s="57"/>
      <c r="L21" s="57"/>
      <c r="M21" s="57"/>
      <c r="N21" s="57"/>
    </row>
    <row r="22" spans="2:14" x14ac:dyDescent="0.25">
      <c r="B22" s="4" t="s">
        <v>24</v>
      </c>
      <c r="C22" s="55"/>
      <c r="D22" s="219">
        <v>7332</v>
      </c>
      <c r="E22" s="219">
        <v>7178</v>
      </c>
      <c r="F22" s="219">
        <v>6076</v>
      </c>
      <c r="G22" s="219">
        <v>4839</v>
      </c>
      <c r="H22" s="219">
        <v>4904</v>
      </c>
      <c r="I22" s="219">
        <v>4844</v>
      </c>
      <c r="J22" s="57">
        <f>'FA Schedule'!J22</f>
        <v>5504.9025774789825</v>
      </c>
      <c r="K22" s="57">
        <f>'FA Schedule'!K22</f>
        <v>5922.2527883865723</v>
      </c>
      <c r="L22" s="57">
        <f>'FA Schedule'!L22</f>
        <v>6376.3685712390479</v>
      </c>
      <c r="M22" s="57">
        <f>'FA Schedule'!M22</f>
        <v>6870.5547406270171</v>
      </c>
      <c r="N22" s="57">
        <f>'FA Schedule'!N22</f>
        <v>7408.4379207881084</v>
      </c>
    </row>
    <row r="23" spans="2:14" x14ac:dyDescent="0.25">
      <c r="B23" s="4" t="s">
        <v>25</v>
      </c>
      <c r="C23" s="55"/>
      <c r="D23" s="219">
        <v>6786</v>
      </c>
      <c r="E23" s="219">
        <v>5637</v>
      </c>
      <c r="F23" s="219">
        <v>5975</v>
      </c>
      <c r="G23" s="219">
        <v>6451</v>
      </c>
      <c r="H23" s="219">
        <v>6984</v>
      </c>
      <c r="I23" s="219">
        <v>7545</v>
      </c>
      <c r="J23" s="57">
        <f>'FA Schedule'!J12</f>
        <v>7958.8169847413637</v>
      </c>
      <c r="K23" s="57">
        <f>'FA Schedule'!K12</f>
        <v>8562.2089431650638</v>
      </c>
      <c r="L23" s="57">
        <f>'FA Schedule'!L12</f>
        <v>9218.7554223691623</v>
      </c>
      <c r="M23" s="57">
        <f>'FA Schedule'!M12</f>
        <v>9933.2344205334575</v>
      </c>
      <c r="N23" s="57">
        <f>'FA Schedule'!N12</f>
        <v>10710.889198219513</v>
      </c>
    </row>
    <row r="24" spans="2:14" x14ac:dyDescent="0.25">
      <c r="B24" s="47" t="s">
        <v>26</v>
      </c>
      <c r="C24" s="61"/>
      <c r="D24" s="62">
        <f>SUM(D22:D23)</f>
        <v>14118</v>
      </c>
      <c r="E24" s="62">
        <f t="shared" ref="E24:I24" si="9">SUM(E22:E23)</f>
        <v>12815</v>
      </c>
      <c r="F24" s="62">
        <f t="shared" si="9"/>
        <v>12051</v>
      </c>
      <c r="G24" s="62">
        <f t="shared" si="9"/>
        <v>11290</v>
      </c>
      <c r="H24" s="62">
        <f t="shared" si="9"/>
        <v>11888</v>
      </c>
      <c r="I24" s="62">
        <f t="shared" si="9"/>
        <v>12389</v>
      </c>
      <c r="J24" s="63">
        <f t="shared" ref="J24" si="10">SUM(J22:J23)</f>
        <v>13463.719562220347</v>
      </c>
      <c r="K24" s="63">
        <f t="shared" ref="K24" si="11">SUM(K22:K23)</f>
        <v>14484.461731551637</v>
      </c>
      <c r="L24" s="63">
        <f t="shared" ref="L24" si="12">SUM(L22:L23)</f>
        <v>15595.123993608209</v>
      </c>
      <c r="M24" s="63">
        <f t="shared" ref="M24" si="13">SUM(M22:M23)</f>
        <v>16803.789161160475</v>
      </c>
      <c r="N24" s="63">
        <f t="shared" ref="N24" si="14">SUM(N22:N23)</f>
        <v>18119.327119007619</v>
      </c>
    </row>
    <row r="25" spans="2:14" x14ac:dyDescent="0.25">
      <c r="B25" s="6" t="s">
        <v>27</v>
      </c>
      <c r="C25" s="58"/>
      <c r="D25" s="59">
        <f>D19-D24</f>
        <v>5481</v>
      </c>
      <c r="E25" s="59">
        <f t="shared" ref="E25:N25" si="15">E19-E24</f>
        <v>6634</v>
      </c>
      <c r="F25" s="59">
        <f t="shared" si="15"/>
        <v>9324</v>
      </c>
      <c r="G25" s="59">
        <f t="shared" si="15"/>
        <v>10315</v>
      </c>
      <c r="H25" s="59">
        <f t="shared" si="15"/>
        <v>9298</v>
      </c>
      <c r="I25" s="59">
        <f t="shared" si="15"/>
        <v>12784</v>
      </c>
      <c r="J25" s="60">
        <f t="shared" si="15"/>
        <v>11942.405806864972</v>
      </c>
      <c r="K25" s="60">
        <f t="shared" si="15"/>
        <v>12847.810673179905</v>
      </c>
      <c r="L25" s="60">
        <f t="shared" si="15"/>
        <v>13832.975239817879</v>
      </c>
      <c r="M25" s="60">
        <f t="shared" si="15"/>
        <v>14905.069013668843</v>
      </c>
      <c r="N25" s="60">
        <f t="shared" si="15"/>
        <v>16071.959639572065</v>
      </c>
    </row>
    <row r="26" spans="2:14" x14ac:dyDescent="0.25">
      <c r="B26" s="8"/>
      <c r="C26" s="55"/>
      <c r="D26" s="56"/>
      <c r="E26" s="56"/>
      <c r="F26" s="56"/>
      <c r="G26" s="56"/>
      <c r="H26" s="56"/>
      <c r="I26" s="56"/>
      <c r="J26" s="57"/>
      <c r="K26" s="57"/>
      <c r="L26" s="57"/>
      <c r="M26" s="57"/>
      <c r="N26" s="57"/>
    </row>
    <row r="27" spans="2:14" x14ac:dyDescent="0.25">
      <c r="B27" s="4" t="s">
        <v>28</v>
      </c>
      <c r="C27" s="55"/>
      <c r="D27" s="219">
        <v>-782</v>
      </c>
      <c r="E27" s="219">
        <v>-1098</v>
      </c>
      <c r="F27" s="219">
        <v>-950</v>
      </c>
      <c r="G27" s="219">
        <v>-987</v>
      </c>
      <c r="H27" s="219">
        <v>-911</v>
      </c>
      <c r="I27" s="219">
        <v>-846</v>
      </c>
      <c r="J27" s="57">
        <f>-'Debt Schedule'!D17</f>
        <v>-718.21750000000009</v>
      </c>
      <c r="K27" s="57">
        <f>-'Debt Schedule'!E17</f>
        <v>-712.8814000000001</v>
      </c>
      <c r="L27" s="57">
        <f>-'Debt Schedule'!F17</f>
        <v>-614.24440000000004</v>
      </c>
      <c r="M27" s="57">
        <f>-'Debt Schedule'!G17</f>
        <v>-569.34570000000008</v>
      </c>
      <c r="N27" s="57">
        <f>-'Debt Schedule'!H17</f>
        <v>-512.69680000000005</v>
      </c>
    </row>
    <row r="28" spans="2:14" x14ac:dyDescent="0.25">
      <c r="B28" s="4" t="s">
        <v>29</v>
      </c>
      <c r="C28" s="55"/>
      <c r="D28" s="219">
        <v>1469</v>
      </c>
      <c r="E28" s="219">
        <v>1885</v>
      </c>
      <c r="F28" s="219">
        <v>3041</v>
      </c>
      <c r="G28" s="219">
        <v>1432</v>
      </c>
      <c r="H28" s="219">
        <v>1536</v>
      </c>
      <c r="I28" s="219">
        <v>1257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</row>
    <row r="29" spans="2:14" x14ac:dyDescent="0.25">
      <c r="B29" s="4" t="s">
        <v>30</v>
      </c>
      <c r="C29" s="55"/>
      <c r="D29" s="219">
        <v>1268</v>
      </c>
      <c r="E29" s="219">
        <v>674</v>
      </c>
      <c r="F29" s="219">
        <v>1301</v>
      </c>
      <c r="G29" s="219">
        <v>837</v>
      </c>
      <c r="H29" s="219">
        <v>480</v>
      </c>
      <c r="I29" s="219">
        <v>-4676</v>
      </c>
      <c r="J29" s="57">
        <v>0</v>
      </c>
      <c r="K29" s="57">
        <v>0</v>
      </c>
      <c r="L29" s="57">
        <v>0</v>
      </c>
      <c r="M29" s="57">
        <v>0</v>
      </c>
      <c r="N29" s="57">
        <v>0</v>
      </c>
    </row>
    <row r="30" spans="2:14" x14ac:dyDescent="0.25">
      <c r="B30" s="6" t="s">
        <v>31</v>
      </c>
      <c r="C30" s="58"/>
      <c r="D30" s="59">
        <f>D25+SUM(D27:D29)</f>
        <v>7436</v>
      </c>
      <c r="E30" s="59">
        <f t="shared" ref="E30:N30" si="16">E25+SUM(E27:E29)</f>
        <v>8095</v>
      </c>
      <c r="F30" s="59">
        <f t="shared" si="16"/>
        <v>12716</v>
      </c>
      <c r="G30" s="59">
        <f t="shared" si="16"/>
        <v>11597</v>
      </c>
      <c r="H30" s="59">
        <f t="shared" si="16"/>
        <v>10403</v>
      </c>
      <c r="I30" s="59">
        <f t="shared" si="16"/>
        <v>8519</v>
      </c>
      <c r="J30" s="60">
        <f t="shared" si="16"/>
        <v>11224.188306864971</v>
      </c>
      <c r="K30" s="60">
        <f t="shared" si="16"/>
        <v>12134.929273179905</v>
      </c>
      <c r="L30" s="60">
        <f t="shared" si="16"/>
        <v>13218.730839817879</v>
      </c>
      <c r="M30" s="60">
        <f t="shared" si="16"/>
        <v>14335.723313668843</v>
      </c>
      <c r="N30" s="60">
        <f t="shared" si="16"/>
        <v>15559.262839572066</v>
      </c>
    </row>
    <row r="31" spans="2:14" x14ac:dyDescent="0.25">
      <c r="B31" s="8"/>
      <c r="C31" s="55"/>
      <c r="D31" s="56"/>
      <c r="E31" s="56"/>
      <c r="F31" s="56"/>
      <c r="G31" s="56"/>
      <c r="H31" s="56"/>
      <c r="I31" s="56"/>
      <c r="J31" s="57"/>
      <c r="K31" s="57"/>
      <c r="L31" s="57"/>
      <c r="M31" s="57"/>
      <c r="N31" s="57"/>
    </row>
    <row r="32" spans="2:14" x14ac:dyDescent="0.25">
      <c r="B32" s="4" t="s">
        <v>32</v>
      </c>
      <c r="C32" s="55"/>
      <c r="D32" s="219">
        <v>-769</v>
      </c>
      <c r="E32" s="219">
        <v>-1774</v>
      </c>
      <c r="F32" s="219">
        <v>-2771</v>
      </c>
      <c r="G32" s="219">
        <v>-1889</v>
      </c>
      <c r="H32" s="219">
        <v>-563</v>
      </c>
      <c r="I32" s="219">
        <v>-2556</v>
      </c>
      <c r="J32" s="57">
        <f>J30*$J$42</f>
        <v>-1978.2988230816175</v>
      </c>
      <c r="K32" s="57">
        <f t="shared" ref="K32:N32" si="17">K30*$J$42</f>
        <v>-2138.8198097699001</v>
      </c>
      <c r="L32" s="57">
        <f t="shared" si="17"/>
        <v>-2329.8432766893338</v>
      </c>
      <c r="M32" s="57">
        <f t="shared" si="17"/>
        <v>-2526.7167463779042</v>
      </c>
      <c r="N32" s="57">
        <f t="shared" si="17"/>
        <v>-2742.3694722509845</v>
      </c>
    </row>
    <row r="33" spans="2:14" x14ac:dyDescent="0.25">
      <c r="B33" s="6" t="s">
        <v>33</v>
      </c>
      <c r="C33" s="59"/>
      <c r="D33" s="59">
        <f>D30+D32</f>
        <v>6667</v>
      </c>
      <c r="E33" s="59">
        <f t="shared" ref="E33:N33" si="18">E30+E32</f>
        <v>6321</v>
      </c>
      <c r="F33" s="59">
        <f t="shared" si="18"/>
        <v>9945</v>
      </c>
      <c r="G33" s="59">
        <f t="shared" si="18"/>
        <v>9708</v>
      </c>
      <c r="H33" s="59">
        <f t="shared" si="18"/>
        <v>9840</v>
      </c>
      <c r="I33" s="59">
        <f t="shared" si="18"/>
        <v>5963</v>
      </c>
      <c r="J33" s="60">
        <f t="shared" si="18"/>
        <v>9245.8894837833541</v>
      </c>
      <c r="K33" s="60">
        <f t="shared" si="18"/>
        <v>9996.1094634100045</v>
      </c>
      <c r="L33" s="60">
        <f t="shared" si="18"/>
        <v>10888.887563128545</v>
      </c>
      <c r="M33" s="60">
        <f t="shared" si="18"/>
        <v>11809.006567290939</v>
      </c>
      <c r="N33" s="60">
        <f t="shared" si="18"/>
        <v>12816.893367321081</v>
      </c>
    </row>
    <row r="34" spans="2:14" x14ac:dyDescent="0.25">
      <c r="B34" s="4" t="s">
        <v>34</v>
      </c>
      <c r="C34" s="55"/>
      <c r="D34" s="219">
        <v>65</v>
      </c>
      <c r="E34" s="219">
        <v>106</v>
      </c>
      <c r="F34" s="219">
        <v>74</v>
      </c>
      <c r="G34" s="219">
        <v>226</v>
      </c>
      <c r="H34" s="219">
        <v>287</v>
      </c>
      <c r="I34" s="219">
        <v>45</v>
      </c>
      <c r="J34" s="57">
        <f>J33*$J$43</f>
        <v>144.77970224122816</v>
      </c>
      <c r="K34" s="57">
        <f t="shared" ref="K34:N34" si="19">K33*$J$43</f>
        <v>156.52726048927696</v>
      </c>
      <c r="L34" s="57">
        <f t="shared" si="19"/>
        <v>170.50711041842072</v>
      </c>
      <c r="M34" s="57">
        <f t="shared" si="19"/>
        <v>184.9150865988386</v>
      </c>
      <c r="N34" s="57">
        <f t="shared" si="19"/>
        <v>200.69740273588141</v>
      </c>
    </row>
    <row r="35" spans="2:14" ht="15.75" thickBot="1" x14ac:dyDescent="0.3">
      <c r="B35" s="7" t="s">
        <v>35</v>
      </c>
      <c r="C35" s="64"/>
      <c r="D35" s="65">
        <f>SUM(D33:D34)</f>
        <v>6732</v>
      </c>
      <c r="E35" s="65">
        <f t="shared" ref="E35:I35" si="20">SUM(E33:E34)</f>
        <v>6427</v>
      </c>
      <c r="F35" s="65">
        <f t="shared" si="20"/>
        <v>10019</v>
      </c>
      <c r="G35" s="65">
        <f t="shared" si="20"/>
        <v>9934</v>
      </c>
      <c r="H35" s="65">
        <f t="shared" si="20"/>
        <v>10127</v>
      </c>
      <c r="I35" s="65">
        <f t="shared" si="20"/>
        <v>6008</v>
      </c>
      <c r="J35" s="66">
        <f>J33-J34</f>
        <v>9101.1097815421253</v>
      </c>
      <c r="K35" s="66">
        <f t="shared" ref="K35:N35" si="21">K33-K34</f>
        <v>9839.5822029207284</v>
      </c>
      <c r="L35" s="66">
        <f t="shared" si="21"/>
        <v>10718.380452710124</v>
      </c>
      <c r="M35" s="66">
        <f t="shared" si="21"/>
        <v>11624.091480692099</v>
      </c>
      <c r="N35" s="66">
        <f t="shared" si="21"/>
        <v>12616.1959645852</v>
      </c>
    </row>
    <row r="36" spans="2:14" ht="15.75" thickTop="1" x14ac:dyDescent="0.25">
      <c r="B36" s="34" t="s">
        <v>143</v>
      </c>
      <c r="C36" s="34"/>
      <c r="D36" s="36">
        <f t="shared" ref="D36" si="22">D35/D$10</f>
        <v>4.9053826591954064E-2</v>
      </c>
      <c r="E36" s="36">
        <f t="shared" ref="E36" si="23">E35/E$10</f>
        <v>5.2471731232395805E-2</v>
      </c>
      <c r="F36" s="36">
        <f t="shared" ref="F36" si="24">F35/F$10</f>
        <v>7.8887279140814462E-2</v>
      </c>
      <c r="G36" s="36">
        <f t="shared" ref="G36" si="25">G35/G$10</f>
        <v>6.338086579257983E-2</v>
      </c>
      <c r="H36" s="36">
        <f t="shared" ref="H36" si="26">H35/H$10</f>
        <v>5.893204222483444E-2</v>
      </c>
      <c r="I36" s="36">
        <f t="shared" ref="I36" si="27">I35/I$10</f>
        <v>3.2052581598574492E-2</v>
      </c>
      <c r="J36" s="37">
        <f t="shared" ref="J36" si="28">J35/J$10</f>
        <v>4.5170838531092369E-2</v>
      </c>
      <c r="K36" s="37">
        <f t="shared" ref="K36" si="29">K35/K$10</f>
        <v>4.5394491370224548E-2</v>
      </c>
      <c r="L36" s="37">
        <f t="shared" ref="L36" si="30">L35/L$10</f>
        <v>4.5927117940644809E-2</v>
      </c>
      <c r="M36" s="37">
        <f t="shared" ref="M36" si="31">M35/M$10</f>
        <v>4.6225397255097903E-2</v>
      </c>
      <c r="N36" s="37">
        <f t="shared" ref="N36" si="32">N35/N$10</f>
        <v>4.6528089179455417E-2</v>
      </c>
    </row>
    <row r="37" spans="2:14" x14ac:dyDescent="0.25">
      <c r="D37" s="53"/>
      <c r="E37" s="53"/>
      <c r="F37" s="53"/>
      <c r="G37" s="53"/>
      <c r="H37" s="53"/>
      <c r="I37" s="53"/>
      <c r="J37" s="86"/>
      <c r="K37" s="86"/>
      <c r="L37" s="86"/>
      <c r="M37" s="86"/>
      <c r="N37" s="86"/>
    </row>
    <row r="38" spans="2:14" x14ac:dyDescent="0.25">
      <c r="B38" s="38" t="s">
        <v>36</v>
      </c>
      <c r="J38" s="85"/>
      <c r="K38" s="85"/>
      <c r="L38" s="85"/>
      <c r="M38" s="85"/>
      <c r="N38" s="85"/>
    </row>
    <row r="39" spans="2:14" x14ac:dyDescent="0.25">
      <c r="B39" s="39" t="str">
        <f>B12</f>
        <v>Automotive and other cost of sales (COGS)</v>
      </c>
      <c r="C39" s="2"/>
      <c r="D39" s="52">
        <f>D12/D10</f>
        <v>0.80627673295102631</v>
      </c>
      <c r="E39" s="53">
        <f t="shared" ref="E39:I39" si="33">E12/E10</f>
        <v>0.79633424500959304</v>
      </c>
      <c r="F39" s="53">
        <f t="shared" si="33"/>
        <v>0.79166010519353724</v>
      </c>
      <c r="G39" s="53">
        <f t="shared" si="33"/>
        <v>0.80959581459150798</v>
      </c>
      <c r="H39" s="53">
        <f t="shared" si="33"/>
        <v>0.82244154514030332</v>
      </c>
      <c r="I39" s="53">
        <f t="shared" si="33"/>
        <v>0.8059293007970465</v>
      </c>
      <c r="J39" s="54">
        <f>AVERAGE(D39:I39)</f>
        <v>0.80537295728050251</v>
      </c>
      <c r="K39" s="87"/>
      <c r="L39" s="87"/>
      <c r="M39" s="87"/>
      <c r="N39" s="87"/>
    </row>
    <row r="40" spans="2:14" x14ac:dyDescent="0.25">
      <c r="B40" s="39" t="str">
        <f>B16</f>
        <v>GM Financial interest, operating and other expenses</v>
      </c>
      <c r="C40" s="2"/>
      <c r="D40" s="52">
        <f>D16/D10</f>
        <v>9.1913988210176559E-2</v>
      </c>
      <c r="E40" s="53">
        <f t="shared" ref="E40:I40" si="34">E16/E10</f>
        <v>9.2043923745764783E-2</v>
      </c>
      <c r="F40" s="53">
        <f t="shared" si="34"/>
        <v>6.7572674876381841E-2</v>
      </c>
      <c r="G40" s="53">
        <f t="shared" si="34"/>
        <v>5.6534915621909591E-2</v>
      </c>
      <c r="H40" s="53">
        <f t="shared" si="34"/>
        <v>6.6188708231980545E-2</v>
      </c>
      <c r="I40" s="53">
        <f t="shared" si="34"/>
        <v>6.9205407539398855E-2</v>
      </c>
      <c r="J40" s="54">
        <f t="shared" ref="J40:J43" si="35">AVERAGE(D40:I40)</f>
        <v>7.3909936370935361E-2</v>
      </c>
      <c r="K40" s="87"/>
      <c r="L40" s="87"/>
      <c r="M40" s="87"/>
      <c r="N40" s="87"/>
    </row>
    <row r="41" spans="2:14" x14ac:dyDescent="0.25">
      <c r="B41" s="39" t="str">
        <f>B17</f>
        <v>Automotive and other selling, general and administrative expense</v>
      </c>
      <c r="C41" s="2"/>
      <c r="D41" s="52">
        <f>D17/D10</f>
        <v>6.1871069755240933E-2</v>
      </c>
      <c r="E41" s="53">
        <f t="shared" ref="E41:I41" si="36">E17/E10</f>
        <v>5.7460097154753642E-2</v>
      </c>
      <c r="F41" s="53">
        <f t="shared" si="36"/>
        <v>6.7352209379232156E-2</v>
      </c>
      <c r="G41" s="53">
        <f t="shared" si="36"/>
        <v>6.8057549366765557E-2</v>
      </c>
      <c r="H41" s="53">
        <f t="shared" si="36"/>
        <v>5.7261903376357351E-2</v>
      </c>
      <c r="I41" s="53">
        <f t="shared" si="36"/>
        <v>5.666286104501659E-2</v>
      </c>
      <c r="J41" s="54">
        <f t="shared" si="35"/>
        <v>6.1444281679561036E-2</v>
      </c>
      <c r="K41" s="87"/>
      <c r="L41" s="87"/>
      <c r="M41" s="87"/>
      <c r="N41" s="87"/>
    </row>
    <row r="42" spans="2:14" x14ac:dyDescent="0.25">
      <c r="B42" s="39" t="str">
        <f>B32</f>
        <v>Income tax expense (benefit) (Note 17)</v>
      </c>
      <c r="C42" s="2"/>
      <c r="D42" s="52">
        <f>D32/D30</f>
        <v>-0.10341581495427649</v>
      </c>
      <c r="E42" s="53">
        <f t="shared" ref="E42:I42" si="37">E32/E30</f>
        <v>-0.21914762198888202</v>
      </c>
      <c r="F42" s="53">
        <f t="shared" si="37"/>
        <v>-0.21791443850267381</v>
      </c>
      <c r="G42" s="53">
        <f t="shared" si="37"/>
        <v>-0.16288695352246271</v>
      </c>
      <c r="H42" s="53">
        <f t="shared" si="37"/>
        <v>-5.4119004133423049E-2</v>
      </c>
      <c r="I42" s="53">
        <f t="shared" si="37"/>
        <v>-0.30003521540086864</v>
      </c>
      <c r="J42" s="54">
        <f t="shared" si="35"/>
        <v>-0.17625317475043112</v>
      </c>
      <c r="K42" s="87"/>
      <c r="L42" s="87"/>
      <c r="M42" s="87"/>
      <c r="N42" s="87"/>
    </row>
    <row r="43" spans="2:14" x14ac:dyDescent="0.25">
      <c r="B43" s="39" t="str">
        <f>B34</f>
        <v>Net loss (income) attributable to noncontrolling interests (Minority Interest)</v>
      </c>
      <c r="C43" s="2"/>
      <c r="D43" s="52">
        <f>D34/D33</f>
        <v>9.7495125243737806E-3</v>
      </c>
      <c r="E43" s="53">
        <f t="shared" ref="E43:I43" si="38">E34/E33</f>
        <v>1.6769498497073248E-2</v>
      </c>
      <c r="F43" s="53">
        <f t="shared" si="38"/>
        <v>7.4409250879839111E-3</v>
      </c>
      <c r="G43" s="53">
        <f t="shared" si="38"/>
        <v>2.3279769262463949E-2</v>
      </c>
      <c r="H43" s="53">
        <f t="shared" si="38"/>
        <v>2.9166666666666667E-2</v>
      </c>
      <c r="I43" s="53">
        <f t="shared" si="38"/>
        <v>7.546536978031192E-3</v>
      </c>
      <c r="J43" s="54">
        <f t="shared" si="35"/>
        <v>1.5658818169432123E-2</v>
      </c>
      <c r="K43" s="87"/>
      <c r="L43" s="87"/>
      <c r="M43" s="87"/>
      <c r="N43" s="87"/>
    </row>
    <row r="44" spans="2:14" x14ac:dyDescent="0.25">
      <c r="J44" s="85"/>
      <c r="K44" s="85"/>
      <c r="L44" s="85"/>
      <c r="M44" s="85"/>
      <c r="N44" s="85"/>
    </row>
    <row r="45" spans="2:14" x14ac:dyDescent="0.25">
      <c r="B45" s="38" t="s">
        <v>134</v>
      </c>
      <c r="D45" s="2">
        <v>1439</v>
      </c>
      <c r="E45" s="2">
        <v>1442</v>
      </c>
      <c r="F45" s="2">
        <v>1468</v>
      </c>
      <c r="G45" s="2">
        <v>1454</v>
      </c>
      <c r="H45" s="2">
        <v>1369</v>
      </c>
      <c r="I45" s="2">
        <v>1129</v>
      </c>
      <c r="J45" s="87">
        <f>I45</f>
        <v>1129</v>
      </c>
      <c r="K45" s="87">
        <f t="shared" ref="K45:N45" si="39">J45</f>
        <v>1129</v>
      </c>
      <c r="L45" s="87">
        <f t="shared" si="39"/>
        <v>1129</v>
      </c>
      <c r="M45" s="87">
        <f t="shared" si="39"/>
        <v>1129</v>
      </c>
      <c r="N45" s="87">
        <f t="shared" si="39"/>
        <v>1129</v>
      </c>
    </row>
    <row r="46" spans="2:14" x14ac:dyDescent="0.25">
      <c r="B46" s="38" t="s">
        <v>135</v>
      </c>
      <c r="D46" s="76">
        <f>D35/D45</f>
        <v>4.6782487838776925</v>
      </c>
      <c r="E46" s="76">
        <f t="shared" ref="E46:N46" si="40">E35/E45</f>
        <v>4.4570041608876556</v>
      </c>
      <c r="F46" s="76">
        <f t="shared" si="40"/>
        <v>6.8249318801089922</v>
      </c>
      <c r="G46" s="76">
        <f t="shared" si="40"/>
        <v>6.8321870701513063</v>
      </c>
      <c r="H46" s="76">
        <f t="shared" si="40"/>
        <v>7.3973703433162896</v>
      </c>
      <c r="I46" s="76">
        <f t="shared" si="40"/>
        <v>5.3215234720992024</v>
      </c>
      <c r="J46" s="88">
        <f t="shared" si="40"/>
        <v>8.0612132697450178</v>
      </c>
      <c r="K46" s="88">
        <f t="shared" si="40"/>
        <v>8.7153075313735417</v>
      </c>
      <c r="L46" s="88">
        <f t="shared" si="40"/>
        <v>9.4936939350842557</v>
      </c>
      <c r="M46" s="88">
        <f t="shared" si="40"/>
        <v>10.295918051985916</v>
      </c>
      <c r="N46" s="88">
        <f t="shared" si="40"/>
        <v>11.17466427332613</v>
      </c>
    </row>
    <row r="47" spans="2:14" x14ac:dyDescent="0.25">
      <c r="B47" s="38" t="s">
        <v>138</v>
      </c>
      <c r="D47" s="70">
        <v>2350</v>
      </c>
      <c r="E47" s="70">
        <v>669</v>
      </c>
      <c r="F47" s="70">
        <v>186</v>
      </c>
      <c r="G47" s="70">
        <v>397</v>
      </c>
      <c r="H47" s="70">
        <v>597</v>
      </c>
      <c r="I47" s="70">
        <v>653</v>
      </c>
      <c r="J47" s="134">
        <f>J48*J45</f>
        <v>726.26856056706151</v>
      </c>
      <c r="K47" s="134">
        <f t="shared" ref="K47:N47" si="41">K48*K45</f>
        <v>785.19865979307406</v>
      </c>
      <c r="L47" s="134">
        <f t="shared" si="41"/>
        <v>855.32676012626791</v>
      </c>
      <c r="M47" s="134">
        <f t="shared" si="41"/>
        <v>927.60250015922952</v>
      </c>
      <c r="N47" s="134">
        <f t="shared" si="41"/>
        <v>1006.7724379738989</v>
      </c>
    </row>
    <row r="48" spans="2:14" x14ac:dyDescent="0.25">
      <c r="B48" s="38" t="s">
        <v>136</v>
      </c>
      <c r="D48" s="70">
        <f>D47/D45</f>
        <v>1.6330785267546908</v>
      </c>
      <c r="E48" s="70">
        <f t="shared" ref="E48:I48" si="42">E47/E45</f>
        <v>0.46393897364771153</v>
      </c>
      <c r="F48" s="70">
        <f t="shared" si="42"/>
        <v>0.12670299727520437</v>
      </c>
      <c r="G48" s="70">
        <f t="shared" si="42"/>
        <v>0.27303988995873452</v>
      </c>
      <c r="H48" s="70">
        <f t="shared" si="42"/>
        <v>0.43608473338203069</v>
      </c>
      <c r="I48" s="70">
        <f t="shared" si="42"/>
        <v>0.57838795394154119</v>
      </c>
      <c r="J48" s="88">
        <f>$J$49*J46</f>
        <v>0.64328481892565237</v>
      </c>
      <c r="K48" s="88">
        <f t="shared" ref="K48:N48" si="43">$J$49*K46</f>
        <v>0.69548154100360859</v>
      </c>
      <c r="L48" s="88">
        <f t="shared" si="43"/>
        <v>0.75759677601972353</v>
      </c>
      <c r="M48" s="88">
        <f t="shared" si="43"/>
        <v>0.82161426054847608</v>
      </c>
      <c r="N48" s="88">
        <f t="shared" si="43"/>
        <v>0.89173820901142509</v>
      </c>
    </row>
    <row r="49" spans="2:14" x14ac:dyDescent="0.25">
      <c r="B49" s="38" t="s">
        <v>137</v>
      </c>
      <c r="D49" s="52">
        <f>D48/D46</f>
        <v>0.34907902554961384</v>
      </c>
      <c r="E49" s="53">
        <f t="shared" ref="E49:I49" si="44">E48/E46</f>
        <v>0.10409211140501012</v>
      </c>
      <c r="F49" s="53">
        <f t="shared" si="44"/>
        <v>1.8564727018664538E-2</v>
      </c>
      <c r="G49" s="53">
        <f t="shared" si="44"/>
        <v>3.9963760821421383E-2</v>
      </c>
      <c r="H49" s="53">
        <f t="shared" si="44"/>
        <v>5.8951318258121853E-2</v>
      </c>
      <c r="I49" s="53">
        <f t="shared" si="44"/>
        <v>0.10868841544607191</v>
      </c>
      <c r="J49" s="54">
        <v>7.9799999999999996E-2</v>
      </c>
      <c r="K49" s="87"/>
      <c r="L49" s="87"/>
      <c r="M49" s="87"/>
      <c r="N49" s="87"/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E5B8-51C7-4F12-8436-6AEE8D1EDE3B}">
  <dimension ref="B2:N79"/>
  <sheetViews>
    <sheetView showGridLines="0" zoomScale="80" zoomScaleNormal="80"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B5" sqref="B5"/>
    </sheetView>
  </sheetViews>
  <sheetFormatPr defaultRowHeight="15" x14ac:dyDescent="0.25"/>
  <cols>
    <col min="1" max="1" width="2.28515625" bestFit="1" customWidth="1"/>
    <col min="2" max="2" width="89.85546875" bestFit="1" customWidth="1"/>
    <col min="3" max="3" width="2.28515625" bestFit="1" customWidth="1"/>
    <col min="4" max="14" width="12.7109375" bestFit="1" customWidth="1"/>
  </cols>
  <sheetData>
    <row r="2" spans="2:14" x14ac:dyDescent="0.25">
      <c r="B2" s="325"/>
    </row>
    <row r="3" spans="2:14" x14ac:dyDescent="0.25">
      <c r="B3" s="325"/>
    </row>
    <row r="5" spans="2:14" x14ac:dyDescent="0.25">
      <c r="B5" s="27" t="s">
        <v>37</v>
      </c>
      <c r="C5" s="16"/>
      <c r="D5" s="16">
        <f>'GM-I.S.'!D5</f>
        <v>12</v>
      </c>
      <c r="E5" s="16">
        <f>'GM-I.S.'!E5</f>
        <v>12</v>
      </c>
      <c r="F5" s="16">
        <f>'GM-I.S.'!F5</f>
        <v>12</v>
      </c>
      <c r="G5" s="16">
        <f>'GM-I.S.'!G5</f>
        <v>12</v>
      </c>
      <c r="H5" s="16">
        <f>'GM-I.S.'!H5</f>
        <v>12</v>
      </c>
      <c r="I5" s="16">
        <f>'GM-I.S.'!I5</f>
        <v>12</v>
      </c>
      <c r="J5" s="17">
        <f>'GM-I.S.'!J5</f>
        <v>12</v>
      </c>
      <c r="K5" s="265">
        <f>'GM-I.S.'!K5</f>
        <v>12</v>
      </c>
      <c r="L5" s="265">
        <f>'GM-I.S.'!L5</f>
        <v>12</v>
      </c>
      <c r="M5" s="265">
        <f>'GM-I.S.'!M5</f>
        <v>12</v>
      </c>
      <c r="N5" s="17">
        <f>'GM-I.S.'!N5</f>
        <v>12</v>
      </c>
    </row>
    <row r="6" spans="2:14" x14ac:dyDescent="0.25">
      <c r="B6" s="31"/>
      <c r="C6" s="32"/>
      <c r="D6" s="71">
        <f>'GM-I.S.'!D6</f>
        <v>43830</v>
      </c>
      <c r="E6" s="71">
        <f>'GM-I.S.'!E6</f>
        <v>44196</v>
      </c>
      <c r="F6" s="71">
        <f>'GM-I.S.'!F6</f>
        <v>44561</v>
      </c>
      <c r="G6" s="71">
        <f>'GM-I.S.'!G6</f>
        <v>44926</v>
      </c>
      <c r="H6" s="71">
        <f>'GM-I.S.'!H6</f>
        <v>45291</v>
      </c>
      <c r="I6" s="71">
        <f>'GM-I.S.'!I6</f>
        <v>45657</v>
      </c>
      <c r="J6" s="72">
        <f>'GM-I.S.'!J6</f>
        <v>46022</v>
      </c>
      <c r="K6" s="72">
        <f>'GM-I.S.'!K6</f>
        <v>46387</v>
      </c>
      <c r="L6" s="72">
        <f>'GM-I.S.'!L6</f>
        <v>46752</v>
      </c>
      <c r="M6" s="72">
        <f>'GM-I.S.'!M6</f>
        <v>47118</v>
      </c>
      <c r="N6" s="72">
        <f>'GM-I.S.'!N6</f>
        <v>47483</v>
      </c>
    </row>
    <row r="7" spans="2:14" x14ac:dyDescent="0.25">
      <c r="B7" s="29"/>
      <c r="C7" s="49"/>
      <c r="D7" s="49" t="str">
        <f>'GM-I.S.'!D7</f>
        <v>Raw</v>
      </c>
      <c r="E7" s="49" t="str">
        <f>'GM-I.S.'!E7</f>
        <v>Raw</v>
      </c>
      <c r="F7" s="49" t="str">
        <f>'GM-I.S.'!F7</f>
        <v>Raw</v>
      </c>
      <c r="G7" s="49" t="str">
        <f>'GM-I.S.'!G7</f>
        <v>Raw</v>
      </c>
      <c r="H7" s="49" t="str">
        <f>'GM-I.S.'!H7</f>
        <v>Raw</v>
      </c>
      <c r="I7" s="49" t="str">
        <f>'GM-I.S.'!I7</f>
        <v>Raw</v>
      </c>
      <c r="J7" s="50" t="str">
        <f>'GM-I.S.'!J7</f>
        <v>Projections</v>
      </c>
      <c r="K7" s="72" t="str">
        <f>'GM-I.S.'!K7</f>
        <v>Projections</v>
      </c>
      <c r="L7" s="72" t="str">
        <f>'GM-I.S.'!L7</f>
        <v>Projections</v>
      </c>
      <c r="M7" s="72" t="str">
        <f>'GM-I.S.'!M7</f>
        <v>Projections</v>
      </c>
      <c r="N7" s="50" t="str">
        <f>'GM-I.S.'!N7</f>
        <v>Projections</v>
      </c>
    </row>
    <row r="8" spans="2:14" ht="15.75" thickBot="1" x14ac:dyDescent="0.3">
      <c r="B8" s="67" t="s">
        <v>38</v>
      </c>
      <c r="C8" s="68"/>
      <c r="D8" s="68"/>
      <c r="E8" s="68"/>
      <c r="F8" s="68"/>
      <c r="G8" s="68"/>
      <c r="H8" s="68"/>
      <c r="I8" s="68"/>
      <c r="J8" s="69"/>
      <c r="K8" s="69"/>
      <c r="L8" s="69"/>
      <c r="M8" s="69"/>
      <c r="N8" s="69"/>
    </row>
    <row r="9" spans="2:14" x14ac:dyDescent="0.25">
      <c r="B9" s="45" t="s">
        <v>39</v>
      </c>
      <c r="C9" s="56"/>
      <c r="D9" s="56"/>
      <c r="E9" s="56"/>
      <c r="F9" s="56"/>
      <c r="G9" s="56"/>
      <c r="H9" s="56"/>
      <c r="I9" s="56"/>
      <c r="J9" s="57"/>
      <c r="K9" s="57"/>
      <c r="L9" s="57"/>
      <c r="M9" s="57"/>
      <c r="N9" s="57"/>
    </row>
    <row r="10" spans="2:14" x14ac:dyDescent="0.25">
      <c r="B10" s="4" t="s">
        <v>40</v>
      </c>
      <c r="C10" s="56"/>
      <c r="D10" s="219">
        <v>19069</v>
      </c>
      <c r="E10" s="219">
        <v>19992</v>
      </c>
      <c r="F10" s="219">
        <v>20067</v>
      </c>
      <c r="G10" s="219">
        <v>19153</v>
      </c>
      <c r="H10" s="219">
        <v>18853</v>
      </c>
      <c r="I10" s="219">
        <v>19872</v>
      </c>
      <c r="J10" s="57">
        <f>'GM-C.F.S.'!D37</f>
        <v>34365.437594210533</v>
      </c>
      <c r="K10" s="57">
        <f>'GM-C.F.S.'!E37</f>
        <v>39414.750631685849</v>
      </c>
      <c r="L10" s="57">
        <f>'GM-C.F.S.'!F37</f>
        <v>43197.827829386639</v>
      </c>
      <c r="M10" s="57">
        <f>'GM-C.F.S.'!G37</f>
        <v>48435.692509350803</v>
      </c>
      <c r="N10" s="57">
        <f>'GM-C.F.S.'!H37</f>
        <v>53958.915746408449</v>
      </c>
    </row>
    <row r="11" spans="2:14" x14ac:dyDescent="0.25">
      <c r="B11" s="4" t="s">
        <v>41</v>
      </c>
      <c r="C11" s="56"/>
      <c r="D11" s="219">
        <v>4174</v>
      </c>
      <c r="E11" s="219">
        <v>9046</v>
      </c>
      <c r="F11" s="219">
        <v>8609</v>
      </c>
      <c r="G11" s="219">
        <v>12151</v>
      </c>
      <c r="H11" s="219">
        <v>7612</v>
      </c>
      <c r="I11" s="219">
        <v>7265</v>
      </c>
      <c r="J11" s="57">
        <f>I11</f>
        <v>7265</v>
      </c>
      <c r="K11" s="57">
        <f t="shared" ref="K11:N11" si="0">J11</f>
        <v>7265</v>
      </c>
      <c r="L11" s="57">
        <f t="shared" si="0"/>
        <v>7265</v>
      </c>
      <c r="M11" s="57">
        <f t="shared" si="0"/>
        <v>7265</v>
      </c>
      <c r="N11" s="57">
        <f t="shared" si="0"/>
        <v>7265</v>
      </c>
    </row>
    <row r="12" spans="2:14" x14ac:dyDescent="0.25">
      <c r="B12" s="4" t="s">
        <v>42</v>
      </c>
      <c r="C12" s="56"/>
      <c r="D12" s="219">
        <v>6797</v>
      </c>
      <c r="E12" s="219">
        <v>8035</v>
      </c>
      <c r="F12" s="219">
        <v>7394</v>
      </c>
      <c r="G12" s="219">
        <v>13333</v>
      </c>
      <c r="H12" s="219">
        <v>12378</v>
      </c>
      <c r="I12" s="219">
        <v>12827</v>
      </c>
      <c r="J12" s="57">
        <f>($J$67*'GM-I.S.'!J12)/365</f>
        <v>13384.712711136786</v>
      </c>
      <c r="K12" s="57">
        <f>($J$67*'GM-I.S.'!K12)/365</f>
        <v>14399.465033145842</v>
      </c>
      <c r="L12" s="57">
        <f>($J$67*'GM-I.S.'!L12)/365</f>
        <v>15503.609785123803</v>
      </c>
      <c r="M12" s="57">
        <f>($J$67*'GM-I.S.'!M12)/365</f>
        <v>16705.182348848321</v>
      </c>
      <c r="N12" s="57">
        <f>($J$67*'GM-I.S.'!N12)/365</f>
        <v>18013.00055948519</v>
      </c>
    </row>
    <row r="13" spans="2:14" x14ac:dyDescent="0.25">
      <c r="B13" s="4" t="s">
        <v>43</v>
      </c>
      <c r="C13" s="56"/>
      <c r="D13" s="219">
        <v>26601</v>
      </c>
      <c r="E13" s="219">
        <v>26209</v>
      </c>
      <c r="F13" s="219">
        <v>26649</v>
      </c>
      <c r="G13" s="219">
        <v>33623</v>
      </c>
      <c r="H13" s="219">
        <v>39076</v>
      </c>
      <c r="I13" s="219">
        <v>46362</v>
      </c>
      <c r="J13" s="57">
        <f>I13</f>
        <v>46362</v>
      </c>
      <c r="K13" s="57">
        <f t="shared" ref="K13:N13" si="1">J13</f>
        <v>46362</v>
      </c>
      <c r="L13" s="57">
        <f t="shared" si="1"/>
        <v>46362</v>
      </c>
      <c r="M13" s="57">
        <f t="shared" si="1"/>
        <v>46362</v>
      </c>
      <c r="N13" s="57">
        <f t="shared" si="1"/>
        <v>46362</v>
      </c>
    </row>
    <row r="14" spans="2:14" x14ac:dyDescent="0.25">
      <c r="B14" s="4" t="s">
        <v>44</v>
      </c>
      <c r="C14" s="56"/>
      <c r="D14" s="219">
        <v>10398</v>
      </c>
      <c r="E14" s="219">
        <v>10235</v>
      </c>
      <c r="F14" s="219">
        <v>12988</v>
      </c>
      <c r="G14" s="219">
        <v>15366</v>
      </c>
      <c r="H14" s="219">
        <v>16461</v>
      </c>
      <c r="I14" s="219">
        <v>14564</v>
      </c>
      <c r="J14" s="57">
        <f>($J$71*'GM-I.S.'!J12)/365</f>
        <v>17905.120787013377</v>
      </c>
      <c r="K14" s="57">
        <f>($J$71*'GM-I.S.'!K12)/365</f>
        <v>19262.584580715622</v>
      </c>
      <c r="L14" s="57">
        <f>($J$71*'GM-I.S.'!L12)/365</f>
        <v>20739.631236641431</v>
      </c>
      <c r="M14" s="57">
        <f>($J$71*'GM-I.S.'!M12)/365</f>
        <v>22347.009919483673</v>
      </c>
      <c r="N14" s="57">
        <f>($J$71*'GM-I.S.'!N12)/365</f>
        <v>24096.516504666106</v>
      </c>
    </row>
    <row r="15" spans="2:14" x14ac:dyDescent="0.25">
      <c r="B15" s="4" t="s">
        <v>45</v>
      </c>
      <c r="C15" s="56"/>
      <c r="D15" s="219">
        <v>7953</v>
      </c>
      <c r="E15" s="219">
        <v>7407</v>
      </c>
      <c r="F15" s="219">
        <v>6396</v>
      </c>
      <c r="G15" s="219">
        <v>6825</v>
      </c>
      <c r="H15" s="219">
        <v>7238</v>
      </c>
      <c r="I15" s="219">
        <v>7655</v>
      </c>
      <c r="J15" s="57">
        <f>$J$77*'GM-I.S.'!J12</f>
        <v>9928.11477144735</v>
      </c>
      <c r="K15" s="57">
        <f>$J$77*'GM-I.S.'!K12</f>
        <v>10680.807618497851</v>
      </c>
      <c r="L15" s="57">
        <f>$J$77*'GM-I.S.'!L12</f>
        <v>11499.807327980405</v>
      </c>
      <c r="M15" s="57">
        <f>$J$77*'GM-I.S.'!M12</f>
        <v>12391.07414680076</v>
      </c>
      <c r="N15" s="57">
        <f>$J$77*'GM-I.S.'!N12</f>
        <v>13361.148706906053</v>
      </c>
    </row>
    <row r="16" spans="2:14" x14ac:dyDescent="0.25">
      <c r="B16" s="47" t="s">
        <v>46</v>
      </c>
      <c r="C16" s="59"/>
      <c r="D16" s="59">
        <f t="shared" ref="D16:N16" si="2">SUM(D10:D15)</f>
        <v>74992</v>
      </c>
      <c r="E16" s="59">
        <f t="shared" si="2"/>
        <v>80924</v>
      </c>
      <c r="F16" s="59">
        <f t="shared" si="2"/>
        <v>82103</v>
      </c>
      <c r="G16" s="59">
        <f t="shared" si="2"/>
        <v>100451</v>
      </c>
      <c r="H16" s="59">
        <f t="shared" si="2"/>
        <v>101618</v>
      </c>
      <c r="I16" s="59">
        <f t="shared" si="2"/>
        <v>108545</v>
      </c>
      <c r="J16" s="60">
        <f t="shared" si="2"/>
        <v>129210.38586380804</v>
      </c>
      <c r="K16" s="60">
        <f t="shared" si="2"/>
        <v>137384.60786404516</v>
      </c>
      <c r="L16" s="60">
        <f t="shared" si="2"/>
        <v>144567.87617913229</v>
      </c>
      <c r="M16" s="60">
        <f t="shared" si="2"/>
        <v>153505.95892448357</v>
      </c>
      <c r="N16" s="60">
        <f t="shared" si="2"/>
        <v>163056.58151746582</v>
      </c>
    </row>
    <row r="17" spans="2:14" x14ac:dyDescent="0.25">
      <c r="B17" s="8"/>
      <c r="C17" s="56"/>
      <c r="D17" s="56"/>
      <c r="E17" s="56"/>
      <c r="F17" s="56"/>
      <c r="G17" s="56"/>
      <c r="H17" s="56"/>
      <c r="I17" s="56"/>
      <c r="J17" s="57"/>
      <c r="K17" s="57"/>
      <c r="L17" s="57"/>
      <c r="M17" s="57"/>
      <c r="N17" s="57"/>
    </row>
    <row r="18" spans="2:14" x14ac:dyDescent="0.25">
      <c r="B18" s="45" t="s">
        <v>47</v>
      </c>
      <c r="C18" s="56"/>
      <c r="D18" s="56"/>
      <c r="E18" s="56"/>
      <c r="F18" s="56"/>
      <c r="G18" s="56"/>
      <c r="H18" s="56"/>
      <c r="I18" s="56"/>
      <c r="J18" s="57"/>
      <c r="K18" s="57"/>
      <c r="L18" s="57"/>
      <c r="M18" s="57"/>
      <c r="N18" s="57"/>
    </row>
    <row r="19" spans="2:14" x14ac:dyDescent="0.25">
      <c r="B19" s="4" t="s">
        <v>48</v>
      </c>
      <c r="C19" s="56"/>
      <c r="D19" s="219">
        <v>26355</v>
      </c>
      <c r="E19" s="219">
        <v>31783</v>
      </c>
      <c r="F19" s="219">
        <v>36167</v>
      </c>
      <c r="G19" s="219">
        <v>40591</v>
      </c>
      <c r="H19" s="219">
        <v>45043</v>
      </c>
      <c r="I19" s="219">
        <v>46474</v>
      </c>
      <c r="J19" s="57">
        <f>I19</f>
        <v>46474</v>
      </c>
      <c r="K19" s="57">
        <f t="shared" ref="K19:N19" si="3">J19</f>
        <v>46474</v>
      </c>
      <c r="L19" s="57">
        <f t="shared" si="3"/>
        <v>46474</v>
      </c>
      <c r="M19" s="57">
        <f t="shared" si="3"/>
        <v>46474</v>
      </c>
      <c r="N19" s="57">
        <f t="shared" si="3"/>
        <v>46474</v>
      </c>
    </row>
    <row r="20" spans="2:14" x14ac:dyDescent="0.25">
      <c r="B20" s="4" t="s">
        <v>49</v>
      </c>
      <c r="C20" s="56"/>
      <c r="D20" s="219">
        <v>8562</v>
      </c>
      <c r="E20" s="219">
        <v>8406</v>
      </c>
      <c r="F20" s="219">
        <v>9677</v>
      </c>
      <c r="G20" s="219">
        <v>10176</v>
      </c>
      <c r="H20" s="219">
        <v>10613</v>
      </c>
      <c r="I20" s="219">
        <v>7102</v>
      </c>
      <c r="J20" s="57">
        <f>I20</f>
        <v>7102</v>
      </c>
      <c r="K20" s="57">
        <f t="shared" ref="K20:N20" si="4">J20</f>
        <v>7102</v>
      </c>
      <c r="L20" s="57">
        <f t="shared" si="4"/>
        <v>7102</v>
      </c>
      <c r="M20" s="57">
        <f t="shared" si="4"/>
        <v>7102</v>
      </c>
      <c r="N20" s="57">
        <f t="shared" si="4"/>
        <v>7102</v>
      </c>
    </row>
    <row r="21" spans="2:14" x14ac:dyDescent="0.25">
      <c r="B21" s="4" t="s">
        <v>50</v>
      </c>
      <c r="C21" s="56"/>
      <c r="D21" s="219">
        <v>38750</v>
      </c>
      <c r="E21" s="219">
        <v>37632</v>
      </c>
      <c r="F21" s="219">
        <v>41115</v>
      </c>
      <c r="G21" s="219">
        <v>45248</v>
      </c>
      <c r="H21" s="219">
        <v>50321</v>
      </c>
      <c r="I21" s="219">
        <v>51904</v>
      </c>
      <c r="J21" s="57">
        <f>'FA Schedule'!J13</f>
        <v>53281.905047063701</v>
      </c>
      <c r="K21" s="57">
        <f>'FA Schedule'!K13</f>
        <v>57321.434175140283</v>
      </c>
      <c r="L21" s="57">
        <f>'FA Schedule'!L13</f>
        <v>61716.816960170319</v>
      </c>
      <c r="M21" s="57">
        <f>'FA Schedule'!M13</f>
        <v>66500.040674360091</v>
      </c>
      <c r="N21" s="57">
        <f>'FA Schedule'!N13</f>
        <v>71706.20738274185</v>
      </c>
    </row>
    <row r="22" spans="2:14" x14ac:dyDescent="0.25">
      <c r="B22" s="4" t="s">
        <v>51</v>
      </c>
      <c r="C22" s="56"/>
      <c r="D22" s="219">
        <v>5337</v>
      </c>
      <c r="E22" s="219">
        <v>5230</v>
      </c>
      <c r="F22" s="219">
        <v>5087</v>
      </c>
      <c r="G22" s="219">
        <v>4945</v>
      </c>
      <c r="H22" s="219">
        <v>4862</v>
      </c>
      <c r="I22" s="219">
        <v>4551</v>
      </c>
      <c r="J22" s="57">
        <f>I22</f>
        <v>4551</v>
      </c>
      <c r="K22" s="57">
        <f t="shared" ref="K22:N22" si="5">J22</f>
        <v>4551</v>
      </c>
      <c r="L22" s="57">
        <f t="shared" si="5"/>
        <v>4551</v>
      </c>
      <c r="M22" s="57">
        <f t="shared" si="5"/>
        <v>4551</v>
      </c>
      <c r="N22" s="57">
        <f t="shared" si="5"/>
        <v>4551</v>
      </c>
    </row>
    <row r="23" spans="2:14" x14ac:dyDescent="0.25">
      <c r="B23" s="4" t="s">
        <v>52</v>
      </c>
      <c r="C23" s="56"/>
      <c r="D23" s="219">
        <v>42055</v>
      </c>
      <c r="E23" s="219">
        <v>39819</v>
      </c>
      <c r="F23" s="219">
        <v>37929</v>
      </c>
      <c r="G23" s="219">
        <v>32701</v>
      </c>
      <c r="H23" s="219">
        <v>30582</v>
      </c>
      <c r="I23" s="219">
        <v>31586</v>
      </c>
      <c r="J23" s="57">
        <f>'FA Schedule'!J23</f>
        <v>33847.045759364504</v>
      </c>
      <c r="K23" s="57">
        <f>'FA Schedule'!K23</f>
        <v>36413.13507474323</v>
      </c>
      <c r="L23" s="57">
        <f>'FA Schedule'!L23</f>
        <v>39205.278526134949</v>
      </c>
      <c r="M23" s="57">
        <f>'FA Schedule'!M23</f>
        <v>42243.795857458877</v>
      </c>
      <c r="N23" s="57">
        <f>'FA Schedule'!N23</f>
        <v>45550.985468149949</v>
      </c>
    </row>
    <row r="24" spans="2:14" x14ac:dyDescent="0.25">
      <c r="B24" s="4" t="s">
        <v>53</v>
      </c>
      <c r="C24" s="56"/>
      <c r="D24" s="219">
        <v>24640</v>
      </c>
      <c r="E24" s="219">
        <v>24136</v>
      </c>
      <c r="F24" s="219">
        <v>21152</v>
      </c>
      <c r="G24" s="219">
        <v>20539</v>
      </c>
      <c r="H24" s="219">
        <v>22339</v>
      </c>
      <c r="I24" s="219">
        <v>21254</v>
      </c>
      <c r="J24" s="57">
        <f>I24</f>
        <v>21254</v>
      </c>
      <c r="K24" s="57">
        <f t="shared" ref="K24:N24" si="6">J24</f>
        <v>21254</v>
      </c>
      <c r="L24" s="57">
        <f t="shared" si="6"/>
        <v>21254</v>
      </c>
      <c r="M24" s="57">
        <f t="shared" si="6"/>
        <v>21254</v>
      </c>
      <c r="N24" s="57">
        <f t="shared" si="6"/>
        <v>21254</v>
      </c>
    </row>
    <row r="25" spans="2:14" x14ac:dyDescent="0.25">
      <c r="B25" s="4" t="s">
        <v>54</v>
      </c>
      <c r="C25" s="56"/>
      <c r="D25" s="219">
        <v>7346</v>
      </c>
      <c r="E25" s="219">
        <v>7264</v>
      </c>
      <c r="F25" s="219">
        <v>11488</v>
      </c>
      <c r="G25" s="219">
        <v>9386</v>
      </c>
      <c r="H25" s="219">
        <v>7686</v>
      </c>
      <c r="I25" s="219">
        <v>8345</v>
      </c>
      <c r="J25" s="57">
        <f>I25</f>
        <v>8345</v>
      </c>
      <c r="K25" s="57">
        <f t="shared" ref="K25:N25" si="7">J25</f>
        <v>8345</v>
      </c>
      <c r="L25" s="57">
        <f t="shared" si="7"/>
        <v>8345</v>
      </c>
      <c r="M25" s="57">
        <f t="shared" si="7"/>
        <v>8345</v>
      </c>
      <c r="N25" s="57">
        <f t="shared" si="7"/>
        <v>8345</v>
      </c>
    </row>
    <row r="26" spans="2:14" x14ac:dyDescent="0.25">
      <c r="B26" s="47" t="s">
        <v>55</v>
      </c>
      <c r="C26" s="59"/>
      <c r="D26" s="59">
        <f t="shared" ref="D26:N26" si="8">SUM(D19:D25)</f>
        <v>153045</v>
      </c>
      <c r="E26" s="59">
        <f t="shared" si="8"/>
        <v>154270</v>
      </c>
      <c r="F26" s="59">
        <f t="shared" si="8"/>
        <v>162615</v>
      </c>
      <c r="G26" s="59">
        <f t="shared" si="8"/>
        <v>163586</v>
      </c>
      <c r="H26" s="59">
        <f t="shared" si="8"/>
        <v>171446</v>
      </c>
      <c r="I26" s="59">
        <f t="shared" si="8"/>
        <v>171216</v>
      </c>
      <c r="J26" s="60">
        <f t="shared" si="8"/>
        <v>174854.95080642821</v>
      </c>
      <c r="K26" s="60">
        <f t="shared" si="8"/>
        <v>181460.56924988353</v>
      </c>
      <c r="L26" s="60">
        <f t="shared" si="8"/>
        <v>188648.09548630525</v>
      </c>
      <c r="M26" s="60">
        <f t="shared" si="8"/>
        <v>196469.83653181896</v>
      </c>
      <c r="N26" s="60">
        <f t="shared" si="8"/>
        <v>204983.19285089179</v>
      </c>
    </row>
    <row r="27" spans="2:14" ht="15.75" thickBot="1" x14ac:dyDescent="0.3">
      <c r="B27" s="7" t="s">
        <v>56</v>
      </c>
      <c r="C27" s="65">
        <v>227339</v>
      </c>
      <c r="D27" s="65">
        <f>D16+D26</f>
        <v>228037</v>
      </c>
      <c r="E27" s="65">
        <f t="shared" ref="E27:N27" si="9">E16+E26</f>
        <v>235194</v>
      </c>
      <c r="F27" s="65">
        <f t="shared" si="9"/>
        <v>244718</v>
      </c>
      <c r="G27" s="65">
        <f t="shared" si="9"/>
        <v>264037</v>
      </c>
      <c r="H27" s="65">
        <f t="shared" si="9"/>
        <v>273064</v>
      </c>
      <c r="I27" s="65">
        <f t="shared" si="9"/>
        <v>279761</v>
      </c>
      <c r="J27" s="66">
        <f t="shared" si="9"/>
        <v>304065.33667023625</v>
      </c>
      <c r="K27" s="66">
        <f t="shared" si="9"/>
        <v>318845.17711392872</v>
      </c>
      <c r="L27" s="66">
        <f t="shared" si="9"/>
        <v>333215.97166543757</v>
      </c>
      <c r="M27" s="66">
        <f t="shared" si="9"/>
        <v>349975.79545630253</v>
      </c>
      <c r="N27" s="66">
        <f t="shared" si="9"/>
        <v>368039.77436835761</v>
      </c>
    </row>
    <row r="28" spans="2:14" ht="15.75" thickTop="1" x14ac:dyDescent="0.25">
      <c r="B28" s="8"/>
      <c r="C28" s="56"/>
      <c r="D28" s="56"/>
      <c r="E28" s="56"/>
      <c r="F28" s="56"/>
      <c r="G28" s="56"/>
      <c r="H28" s="56"/>
      <c r="I28" s="56"/>
      <c r="J28" s="57"/>
      <c r="K28" s="57"/>
      <c r="L28" s="57"/>
      <c r="M28" s="57"/>
      <c r="N28" s="57"/>
    </row>
    <row r="29" spans="2:14" ht="15.75" thickBot="1" x14ac:dyDescent="0.3">
      <c r="B29" s="67" t="s">
        <v>57</v>
      </c>
      <c r="C29" s="68"/>
      <c r="D29" s="68"/>
      <c r="E29" s="68"/>
      <c r="F29" s="68"/>
      <c r="G29" s="68"/>
      <c r="H29" s="68"/>
      <c r="I29" s="68"/>
      <c r="J29" s="69"/>
      <c r="K29" s="69"/>
      <c r="L29" s="69"/>
      <c r="M29" s="69"/>
      <c r="N29" s="69"/>
    </row>
    <row r="30" spans="2:14" x14ac:dyDescent="0.25">
      <c r="B30" s="45" t="s">
        <v>58</v>
      </c>
      <c r="C30" s="56"/>
      <c r="D30" s="56"/>
      <c r="E30" s="56"/>
      <c r="F30" s="56"/>
      <c r="G30" s="56"/>
      <c r="H30" s="56"/>
      <c r="I30" s="56"/>
      <c r="J30" s="57"/>
      <c r="K30" s="57"/>
      <c r="L30" s="57"/>
      <c r="M30" s="57"/>
      <c r="N30" s="57"/>
    </row>
    <row r="31" spans="2:14" x14ac:dyDescent="0.25">
      <c r="B31" s="4" t="s">
        <v>59</v>
      </c>
      <c r="C31" s="56"/>
      <c r="D31" s="219">
        <v>21018</v>
      </c>
      <c r="E31" s="219">
        <v>19928</v>
      </c>
      <c r="F31" s="219">
        <v>20391</v>
      </c>
      <c r="G31" s="219">
        <v>27486</v>
      </c>
      <c r="H31" s="219">
        <v>28114</v>
      </c>
      <c r="I31" s="219">
        <v>25680</v>
      </c>
      <c r="J31" s="57">
        <f>($J$75*'GM-I.S.'!J12)/365</f>
        <v>31982.786455881585</v>
      </c>
      <c r="K31" s="57">
        <f>($J$75*'GM-I.S.'!K12)/365</f>
        <v>34407.538299335174</v>
      </c>
      <c r="L31" s="57">
        <f>($J$75*'GM-I.S.'!L12)/365</f>
        <v>37045.893457269245</v>
      </c>
      <c r="M31" s="57">
        <f>($J$75*'GM-I.S.'!M12)/365</f>
        <v>39917.05248370632</v>
      </c>
      <c r="N31" s="57">
        <f>($J$75*'GM-I.S.'!N12)/365</f>
        <v>43042.085605942062</v>
      </c>
    </row>
    <row r="32" spans="2:14" x14ac:dyDescent="0.25">
      <c r="B32" s="4" t="s">
        <v>60</v>
      </c>
      <c r="C32" s="56"/>
      <c r="D32" s="56">
        <f>SUM(D34:D35)</f>
        <v>37400</v>
      </c>
      <c r="E32" s="56">
        <f t="shared" ref="E32:N32" si="10">SUM(E34:E35)</f>
        <v>36913</v>
      </c>
      <c r="F32" s="56">
        <f t="shared" si="10"/>
        <v>33720</v>
      </c>
      <c r="G32" s="56">
        <f t="shared" si="10"/>
        <v>38778</v>
      </c>
      <c r="H32" s="56">
        <f t="shared" si="10"/>
        <v>38968</v>
      </c>
      <c r="I32" s="70">
        <f t="shared" si="10"/>
        <v>39432</v>
      </c>
      <c r="J32" s="57">
        <f t="shared" si="10"/>
        <v>37390</v>
      </c>
      <c r="K32" s="57">
        <f t="shared" si="10"/>
        <v>39121</v>
      </c>
      <c r="L32" s="57">
        <f t="shared" si="10"/>
        <v>38124</v>
      </c>
      <c r="M32" s="57">
        <f t="shared" si="10"/>
        <v>38342</v>
      </c>
      <c r="N32" s="57">
        <f t="shared" si="10"/>
        <v>37291</v>
      </c>
    </row>
    <row r="33" spans="2:14" ht="3" customHeight="1" x14ac:dyDescent="0.25">
      <c r="B33" s="4"/>
      <c r="C33" s="56"/>
      <c r="D33" s="56"/>
      <c r="E33" s="56"/>
      <c r="F33" s="56"/>
      <c r="G33" s="56"/>
      <c r="H33" s="56"/>
      <c r="I33" s="70"/>
      <c r="J33" s="57"/>
      <c r="K33" s="57"/>
      <c r="L33" s="57"/>
      <c r="M33" s="57"/>
      <c r="N33" s="57"/>
    </row>
    <row r="34" spans="2:14" x14ac:dyDescent="0.25">
      <c r="B34" s="44" t="s">
        <v>14</v>
      </c>
      <c r="C34" s="56"/>
      <c r="D34" s="219">
        <v>1897</v>
      </c>
      <c r="E34" s="219">
        <v>1276</v>
      </c>
      <c r="F34" s="219">
        <v>463</v>
      </c>
      <c r="G34" s="219">
        <v>1959</v>
      </c>
      <c r="H34" s="219">
        <v>428</v>
      </c>
      <c r="I34" s="219">
        <v>2141</v>
      </c>
      <c r="J34" s="57">
        <f>'Debt Schedule'!D13</f>
        <v>99</v>
      </c>
      <c r="K34" s="57">
        <f>'Debt Schedule'!E13</f>
        <v>1830</v>
      </c>
      <c r="L34" s="57">
        <f>'Debt Schedule'!F13</f>
        <v>833</v>
      </c>
      <c r="M34" s="57">
        <f>'Debt Schedule'!G13</f>
        <v>1051</v>
      </c>
      <c r="N34" s="57">
        <f>'Debt Schedule'!H13</f>
        <v>0</v>
      </c>
    </row>
    <row r="35" spans="2:14" x14ac:dyDescent="0.25">
      <c r="B35" s="44" t="s">
        <v>61</v>
      </c>
      <c r="C35" s="56"/>
      <c r="D35" s="219">
        <v>35503</v>
      </c>
      <c r="E35" s="219">
        <v>35637</v>
      </c>
      <c r="F35" s="219">
        <v>33257</v>
      </c>
      <c r="G35" s="219">
        <v>36819</v>
      </c>
      <c r="H35" s="219">
        <v>38540</v>
      </c>
      <c r="I35" s="219">
        <v>37291</v>
      </c>
      <c r="J35" s="57">
        <f>I35</f>
        <v>37291</v>
      </c>
      <c r="K35" s="57">
        <f t="shared" ref="K35:N35" si="11">J35</f>
        <v>37291</v>
      </c>
      <c r="L35" s="57">
        <f t="shared" si="11"/>
        <v>37291</v>
      </c>
      <c r="M35" s="57">
        <f t="shared" si="11"/>
        <v>37291</v>
      </c>
      <c r="N35" s="57">
        <f t="shared" si="11"/>
        <v>37291</v>
      </c>
    </row>
    <row r="36" spans="2:14" x14ac:dyDescent="0.25">
      <c r="B36" s="4" t="s">
        <v>62</v>
      </c>
      <c r="C36" s="56"/>
      <c r="D36" s="219">
        <v>26487</v>
      </c>
      <c r="E36" s="219">
        <v>23069</v>
      </c>
      <c r="F36" s="219">
        <v>20297</v>
      </c>
      <c r="G36" s="219">
        <v>24910</v>
      </c>
      <c r="H36" s="219">
        <v>27363</v>
      </c>
      <c r="I36" s="219">
        <v>31153</v>
      </c>
      <c r="J36" s="57">
        <f>$J$79*'GM-I.S.'!J10</f>
        <v>42777.929291138382</v>
      </c>
      <c r="K36" s="57">
        <f>$J$79*'GM-I.S.'!K10</f>
        <v>46021.107087760291</v>
      </c>
      <c r="L36" s="57">
        <f>$J$79*'GM-I.S.'!L10</f>
        <v>49549.985678332821</v>
      </c>
      <c r="M36" s="57">
        <f>$J$79*'GM-I.S.'!M10</f>
        <v>53390.246375629016</v>
      </c>
      <c r="N36" s="57">
        <f>$J$79*'GM-I.S.'!N10</f>
        <v>57570.071236101161</v>
      </c>
    </row>
    <row r="37" spans="2:14" x14ac:dyDescent="0.25">
      <c r="B37" s="47" t="s">
        <v>63</v>
      </c>
      <c r="C37" s="59"/>
      <c r="D37" s="59">
        <f>SUM(D31,D32,D36)</f>
        <v>84905</v>
      </c>
      <c r="E37" s="59">
        <f t="shared" ref="E37:N37" si="12">SUM(E31,E32,E36)</f>
        <v>79910</v>
      </c>
      <c r="F37" s="59">
        <f t="shared" si="12"/>
        <v>74408</v>
      </c>
      <c r="G37" s="59">
        <f t="shared" si="12"/>
        <v>91174</v>
      </c>
      <c r="H37" s="59">
        <f t="shared" si="12"/>
        <v>94445</v>
      </c>
      <c r="I37" s="59">
        <f t="shared" si="12"/>
        <v>96265</v>
      </c>
      <c r="J37" s="60">
        <f t="shared" si="12"/>
        <v>112150.71574701996</v>
      </c>
      <c r="K37" s="60">
        <f t="shared" si="12"/>
        <v>119549.64538709546</v>
      </c>
      <c r="L37" s="60">
        <f t="shared" si="12"/>
        <v>124719.87913560207</v>
      </c>
      <c r="M37" s="60">
        <f t="shared" si="12"/>
        <v>131649.29885933534</v>
      </c>
      <c r="N37" s="60">
        <f t="shared" si="12"/>
        <v>137903.15684204322</v>
      </c>
    </row>
    <row r="38" spans="2:14" x14ac:dyDescent="0.25">
      <c r="B38" s="8"/>
      <c r="C38" s="56"/>
      <c r="D38" s="56"/>
      <c r="E38" s="56"/>
      <c r="F38" s="56"/>
      <c r="G38" s="56"/>
      <c r="H38" s="56"/>
      <c r="I38" s="56"/>
      <c r="J38" s="57"/>
      <c r="K38" s="57"/>
      <c r="L38" s="57"/>
      <c r="M38" s="57"/>
      <c r="N38" s="57"/>
    </row>
    <row r="39" spans="2:14" x14ac:dyDescent="0.25">
      <c r="B39" s="45" t="s">
        <v>64</v>
      </c>
      <c r="C39" s="56"/>
      <c r="D39" s="56"/>
      <c r="E39" s="56"/>
      <c r="F39" s="56"/>
      <c r="G39" s="56"/>
      <c r="H39" s="56"/>
      <c r="I39" s="56"/>
      <c r="J39" s="57"/>
      <c r="K39" s="57"/>
      <c r="L39" s="57"/>
      <c r="M39" s="57"/>
      <c r="N39" s="57"/>
    </row>
    <row r="40" spans="2:14" x14ac:dyDescent="0.25">
      <c r="B40" s="4" t="s">
        <v>65</v>
      </c>
      <c r="C40" s="56"/>
      <c r="D40" s="56">
        <f>SUM(D42:D43)</f>
        <v>65924</v>
      </c>
      <c r="E40" s="56">
        <f t="shared" ref="E40:N40" si="13">SUM(E42:E43)</f>
        <v>72981</v>
      </c>
      <c r="F40" s="56">
        <f t="shared" si="13"/>
        <v>75659</v>
      </c>
      <c r="G40" s="56">
        <f t="shared" si="13"/>
        <v>75921</v>
      </c>
      <c r="H40" s="56">
        <f t="shared" si="13"/>
        <v>82773</v>
      </c>
      <c r="I40" s="56">
        <f t="shared" si="13"/>
        <v>90300</v>
      </c>
      <c r="J40" s="57">
        <f t="shared" si="13"/>
        <v>90199</v>
      </c>
      <c r="K40" s="57">
        <f t="shared" si="13"/>
        <v>88369</v>
      </c>
      <c r="L40" s="57">
        <f t="shared" si="13"/>
        <v>87536</v>
      </c>
      <c r="M40" s="57">
        <f t="shared" si="13"/>
        <v>86485</v>
      </c>
      <c r="N40" s="57">
        <f t="shared" si="13"/>
        <v>86485</v>
      </c>
    </row>
    <row r="41" spans="2:14" ht="3" customHeight="1" x14ac:dyDescent="0.25">
      <c r="B41" s="4"/>
      <c r="C41" s="56"/>
      <c r="D41" s="56"/>
      <c r="E41" s="56"/>
      <c r="F41" s="56"/>
      <c r="G41" s="56"/>
      <c r="H41" s="56"/>
      <c r="I41" s="56"/>
      <c r="J41" s="57"/>
      <c r="K41" s="57"/>
      <c r="L41" s="57"/>
      <c r="M41" s="57"/>
      <c r="N41" s="57"/>
    </row>
    <row r="42" spans="2:14" x14ac:dyDescent="0.25">
      <c r="B42" s="44" t="s">
        <v>14</v>
      </c>
      <c r="C42" s="56"/>
      <c r="D42" s="219">
        <v>12489</v>
      </c>
      <c r="E42" s="219">
        <v>16193</v>
      </c>
      <c r="F42" s="219">
        <v>16355</v>
      </c>
      <c r="G42" s="219">
        <v>15885</v>
      </c>
      <c r="H42" s="219">
        <v>15985</v>
      </c>
      <c r="I42" s="219">
        <v>13327</v>
      </c>
      <c r="J42" s="57">
        <f>'Debt Schedule'!D14</f>
        <v>13226</v>
      </c>
      <c r="K42" s="57">
        <f>'Debt Schedule'!E14</f>
        <v>11396</v>
      </c>
      <c r="L42" s="57">
        <f>'Debt Schedule'!F14</f>
        <v>10563</v>
      </c>
      <c r="M42" s="57">
        <f>'Debt Schedule'!G14</f>
        <v>9512</v>
      </c>
      <c r="N42" s="57">
        <f>'Debt Schedule'!H14</f>
        <v>9512</v>
      </c>
    </row>
    <row r="43" spans="2:14" x14ac:dyDescent="0.25">
      <c r="B43" s="44" t="s">
        <v>61</v>
      </c>
      <c r="C43" s="56"/>
      <c r="D43" s="219">
        <v>53435</v>
      </c>
      <c r="E43" s="219">
        <v>56788</v>
      </c>
      <c r="F43" s="219">
        <v>59304</v>
      </c>
      <c r="G43" s="219">
        <v>60036</v>
      </c>
      <c r="H43" s="219">
        <v>66788</v>
      </c>
      <c r="I43" s="219">
        <v>76973</v>
      </c>
      <c r="J43" s="57">
        <f>I43</f>
        <v>76973</v>
      </c>
      <c r="K43" s="57">
        <f t="shared" ref="K43:N43" si="14">J43</f>
        <v>76973</v>
      </c>
      <c r="L43" s="57">
        <f t="shared" si="14"/>
        <v>76973</v>
      </c>
      <c r="M43" s="57">
        <f t="shared" si="14"/>
        <v>76973</v>
      </c>
      <c r="N43" s="57">
        <f t="shared" si="14"/>
        <v>76973</v>
      </c>
    </row>
    <row r="44" spans="2:14" x14ac:dyDescent="0.25">
      <c r="B44" s="4" t="s">
        <v>66</v>
      </c>
      <c r="C44" s="56"/>
      <c r="D44" s="219">
        <v>5935</v>
      </c>
      <c r="E44" s="219">
        <v>6277</v>
      </c>
      <c r="F44" s="219">
        <v>5743</v>
      </c>
      <c r="G44" s="219">
        <v>4193</v>
      </c>
      <c r="H44" s="219">
        <v>4345</v>
      </c>
      <c r="I44" s="219">
        <v>3990</v>
      </c>
      <c r="J44" s="57">
        <f>I44</f>
        <v>3990</v>
      </c>
      <c r="K44" s="57">
        <f t="shared" ref="K44:N44" si="15">J44</f>
        <v>3990</v>
      </c>
      <c r="L44" s="57">
        <f t="shared" si="15"/>
        <v>3990</v>
      </c>
      <c r="M44" s="57">
        <f t="shared" si="15"/>
        <v>3990</v>
      </c>
      <c r="N44" s="57">
        <f t="shared" si="15"/>
        <v>3990</v>
      </c>
    </row>
    <row r="45" spans="2:14" x14ac:dyDescent="0.25">
      <c r="B45" s="4" t="s">
        <v>67</v>
      </c>
      <c r="C45" s="56"/>
      <c r="D45" s="219">
        <v>12170</v>
      </c>
      <c r="E45" s="219">
        <v>12902</v>
      </c>
      <c r="F45" s="219">
        <v>8008</v>
      </c>
      <c r="G45" s="219">
        <v>5698</v>
      </c>
      <c r="H45" s="219">
        <v>6679</v>
      </c>
      <c r="I45" s="219">
        <v>5780</v>
      </c>
      <c r="J45" s="57">
        <f>I45</f>
        <v>5780</v>
      </c>
      <c r="K45" s="57">
        <f t="shared" ref="K45:N45" si="16">J45</f>
        <v>5780</v>
      </c>
      <c r="L45" s="57">
        <f t="shared" si="16"/>
        <v>5780</v>
      </c>
      <c r="M45" s="57">
        <f t="shared" si="16"/>
        <v>5780</v>
      </c>
      <c r="N45" s="57">
        <f t="shared" si="16"/>
        <v>5780</v>
      </c>
    </row>
    <row r="46" spans="2:14" x14ac:dyDescent="0.25">
      <c r="B46" s="4" t="s">
        <v>68</v>
      </c>
      <c r="C46" s="56"/>
      <c r="D46" s="219">
        <v>13146</v>
      </c>
      <c r="E46" s="219">
        <v>13447</v>
      </c>
      <c r="F46" s="219">
        <v>15085</v>
      </c>
      <c r="G46" s="219">
        <v>14767</v>
      </c>
      <c r="H46" s="219">
        <v>16515</v>
      </c>
      <c r="I46" s="219">
        <v>17836</v>
      </c>
      <c r="J46" s="57">
        <f>I46</f>
        <v>17836</v>
      </c>
      <c r="K46" s="57">
        <f t="shared" ref="K46:N46" si="17">J46</f>
        <v>17836</v>
      </c>
      <c r="L46" s="57">
        <f t="shared" si="17"/>
        <v>17836</v>
      </c>
      <c r="M46" s="57">
        <f t="shared" si="17"/>
        <v>17836</v>
      </c>
      <c r="N46" s="57">
        <f t="shared" si="17"/>
        <v>17836</v>
      </c>
    </row>
    <row r="47" spans="2:14" x14ac:dyDescent="0.25">
      <c r="B47" s="47" t="s">
        <v>69</v>
      </c>
      <c r="C47" s="59"/>
      <c r="D47" s="59">
        <f>SUM(D40,D44:D46)</f>
        <v>97175</v>
      </c>
      <c r="E47" s="59">
        <f t="shared" ref="E47:N47" si="18">SUM(E40,E44:E46)</f>
        <v>105607</v>
      </c>
      <c r="F47" s="59">
        <f t="shared" si="18"/>
        <v>104495</v>
      </c>
      <c r="G47" s="59">
        <f t="shared" si="18"/>
        <v>100579</v>
      </c>
      <c r="H47" s="59">
        <f t="shared" si="18"/>
        <v>110312</v>
      </c>
      <c r="I47" s="59">
        <f t="shared" si="18"/>
        <v>117906</v>
      </c>
      <c r="J47" s="60">
        <f t="shared" si="18"/>
        <v>117805</v>
      </c>
      <c r="K47" s="60">
        <f t="shared" si="18"/>
        <v>115975</v>
      </c>
      <c r="L47" s="60">
        <f t="shared" si="18"/>
        <v>115142</v>
      </c>
      <c r="M47" s="60">
        <f t="shared" si="18"/>
        <v>114091</v>
      </c>
      <c r="N47" s="60">
        <f t="shared" si="18"/>
        <v>114091</v>
      </c>
    </row>
    <row r="48" spans="2:14" x14ac:dyDescent="0.25">
      <c r="B48" s="6" t="s">
        <v>70</v>
      </c>
      <c r="C48" s="59"/>
      <c r="D48" s="59">
        <f>SUM(D37,D47)</f>
        <v>182080</v>
      </c>
      <c r="E48" s="59">
        <f t="shared" ref="E48:N48" si="19">SUM(E37,E47)</f>
        <v>185517</v>
      </c>
      <c r="F48" s="59">
        <f t="shared" si="19"/>
        <v>178903</v>
      </c>
      <c r="G48" s="59">
        <f t="shared" si="19"/>
        <v>191753</v>
      </c>
      <c r="H48" s="59">
        <f t="shared" si="19"/>
        <v>204757</v>
      </c>
      <c r="I48" s="59">
        <f t="shared" si="19"/>
        <v>214171</v>
      </c>
      <c r="J48" s="60">
        <f t="shared" si="19"/>
        <v>229955.71574701997</v>
      </c>
      <c r="K48" s="60">
        <f t="shared" si="19"/>
        <v>235524.64538709546</v>
      </c>
      <c r="L48" s="60">
        <f t="shared" si="19"/>
        <v>239861.87913560207</v>
      </c>
      <c r="M48" s="60">
        <f t="shared" si="19"/>
        <v>245740.29885933534</v>
      </c>
      <c r="N48" s="60">
        <f t="shared" si="19"/>
        <v>251994.15684204322</v>
      </c>
    </row>
    <row r="49" spans="2:14" x14ac:dyDescent="0.25">
      <c r="B49" s="3" t="s">
        <v>71</v>
      </c>
      <c r="C49" s="56"/>
      <c r="D49" s="56"/>
      <c r="E49" s="56"/>
      <c r="F49" s="56"/>
      <c r="G49" s="56"/>
      <c r="H49" s="56"/>
      <c r="I49" s="56"/>
      <c r="J49" s="57"/>
      <c r="K49" s="57"/>
      <c r="L49" s="57"/>
      <c r="M49" s="57"/>
      <c r="N49" s="57"/>
    </row>
    <row r="50" spans="2:14" x14ac:dyDescent="0.25">
      <c r="B50" s="4" t="s">
        <v>72</v>
      </c>
      <c r="C50" s="56"/>
      <c r="D50" s="219">
        <v>0</v>
      </c>
      <c r="E50" s="219">
        <v>0</v>
      </c>
      <c r="F50" s="219">
        <v>0</v>
      </c>
      <c r="G50" s="219">
        <v>357</v>
      </c>
      <c r="H50" s="219">
        <v>118</v>
      </c>
      <c r="I50" s="219">
        <v>0</v>
      </c>
      <c r="J50" s="57">
        <f>I50</f>
        <v>0</v>
      </c>
      <c r="K50" s="57">
        <f t="shared" ref="K50:N50" si="20">J50</f>
        <v>0</v>
      </c>
      <c r="L50" s="57">
        <f t="shared" si="20"/>
        <v>0</v>
      </c>
      <c r="M50" s="57">
        <f t="shared" si="20"/>
        <v>0</v>
      </c>
      <c r="N50" s="57">
        <f t="shared" si="20"/>
        <v>0</v>
      </c>
    </row>
    <row r="51" spans="2:14" x14ac:dyDescent="0.25">
      <c r="B51" s="3" t="s">
        <v>73</v>
      </c>
      <c r="C51" s="56"/>
      <c r="D51" s="56"/>
      <c r="E51" s="56"/>
      <c r="F51" s="56"/>
      <c r="G51" s="56"/>
      <c r="H51" s="56"/>
      <c r="I51" s="56"/>
      <c r="J51" s="57"/>
      <c r="K51" s="57"/>
      <c r="L51" s="57"/>
      <c r="M51" s="57"/>
      <c r="N51" s="57"/>
    </row>
    <row r="52" spans="2:14" x14ac:dyDescent="0.25">
      <c r="B52" s="4" t="s">
        <v>74</v>
      </c>
      <c r="C52" s="56"/>
      <c r="D52" s="219">
        <v>14</v>
      </c>
      <c r="E52" s="219">
        <v>14</v>
      </c>
      <c r="F52" s="219">
        <v>15</v>
      </c>
      <c r="G52" s="219">
        <v>14</v>
      </c>
      <c r="H52" s="219">
        <v>12</v>
      </c>
      <c r="I52" s="219">
        <v>10</v>
      </c>
      <c r="J52" s="57">
        <f>I52</f>
        <v>10</v>
      </c>
      <c r="K52" s="57">
        <f t="shared" ref="K52:N52" si="21">J52</f>
        <v>10</v>
      </c>
      <c r="L52" s="57">
        <f t="shared" si="21"/>
        <v>10</v>
      </c>
      <c r="M52" s="57">
        <f t="shared" si="21"/>
        <v>10</v>
      </c>
      <c r="N52" s="57">
        <f t="shared" si="21"/>
        <v>10</v>
      </c>
    </row>
    <row r="53" spans="2:14" x14ac:dyDescent="0.25">
      <c r="B53" s="4" t="s">
        <v>75</v>
      </c>
      <c r="C53" s="56"/>
      <c r="D53" s="219">
        <v>26074</v>
      </c>
      <c r="E53" s="219">
        <v>26542</v>
      </c>
      <c r="F53" s="219">
        <v>27061</v>
      </c>
      <c r="G53" s="219">
        <v>26428</v>
      </c>
      <c r="H53" s="219">
        <v>19130</v>
      </c>
      <c r="I53" s="219">
        <v>20843</v>
      </c>
      <c r="J53" s="57">
        <f>I53</f>
        <v>20843</v>
      </c>
      <c r="K53" s="57">
        <f t="shared" ref="K53:N53" si="22">J53</f>
        <v>20843</v>
      </c>
      <c r="L53" s="57">
        <f t="shared" si="22"/>
        <v>20843</v>
      </c>
      <c r="M53" s="57">
        <f t="shared" si="22"/>
        <v>20843</v>
      </c>
      <c r="N53" s="57">
        <f t="shared" si="22"/>
        <v>20843</v>
      </c>
    </row>
    <row r="54" spans="2:14" x14ac:dyDescent="0.25">
      <c r="B54" s="4" t="s">
        <v>76</v>
      </c>
      <c r="C54" s="56"/>
      <c r="D54" s="219">
        <v>26860</v>
      </c>
      <c r="E54" s="219">
        <v>31962</v>
      </c>
      <c r="F54" s="219">
        <v>41937</v>
      </c>
      <c r="G54" s="219">
        <v>49251</v>
      </c>
      <c r="H54" s="219">
        <v>55391</v>
      </c>
      <c r="I54" s="219">
        <v>53472</v>
      </c>
      <c r="J54" s="57">
        <f>I54+'GM-I.S.'!J35-'GM-I.S.'!J47</f>
        <v>61846.84122097506</v>
      </c>
      <c r="K54" s="57">
        <f>J54+'GM-I.S.'!K35-'GM-I.S.'!K47</f>
        <v>70901.224764102706</v>
      </c>
      <c r="L54" s="57">
        <f>K54+'GM-I.S.'!L35-'GM-I.S.'!L47</f>
        <v>80764.278456686574</v>
      </c>
      <c r="M54" s="57">
        <f>L54+'GM-I.S.'!M35-'GM-I.S.'!M47</f>
        <v>91460.767437219445</v>
      </c>
      <c r="N54" s="57">
        <f>M54+'GM-I.S.'!N35-'GM-I.S.'!N47</f>
        <v>103070.19096383076</v>
      </c>
    </row>
    <row r="55" spans="2:14" x14ac:dyDescent="0.25">
      <c r="B55" s="4" t="s">
        <v>77</v>
      </c>
      <c r="C55" s="56"/>
      <c r="D55" s="219">
        <v>-11156</v>
      </c>
      <c r="E55" s="219">
        <v>-13488</v>
      </c>
      <c r="F55" s="219">
        <v>-9269</v>
      </c>
      <c r="G55" s="219">
        <v>-7901</v>
      </c>
      <c r="H55" s="219">
        <v>-10247</v>
      </c>
      <c r="I55" s="219">
        <v>-11253</v>
      </c>
      <c r="J55" s="57">
        <f>I55</f>
        <v>-11253</v>
      </c>
      <c r="K55" s="57">
        <f t="shared" ref="K55:N55" si="23">J55</f>
        <v>-11253</v>
      </c>
      <c r="L55" s="57">
        <f t="shared" si="23"/>
        <v>-11253</v>
      </c>
      <c r="M55" s="57">
        <f t="shared" si="23"/>
        <v>-11253</v>
      </c>
      <c r="N55" s="57">
        <f t="shared" si="23"/>
        <v>-11253</v>
      </c>
    </row>
    <row r="56" spans="2:14" x14ac:dyDescent="0.25">
      <c r="B56" s="47" t="s">
        <v>78</v>
      </c>
      <c r="C56" s="59"/>
      <c r="D56" s="59">
        <f>SUM(D52:D55)</f>
        <v>41792</v>
      </c>
      <c r="E56" s="59">
        <f t="shared" ref="E56:N56" si="24">SUM(E52:E55)</f>
        <v>45030</v>
      </c>
      <c r="F56" s="59">
        <f t="shared" si="24"/>
        <v>59744</v>
      </c>
      <c r="G56" s="59">
        <f t="shared" si="24"/>
        <v>67792</v>
      </c>
      <c r="H56" s="59">
        <f t="shared" si="24"/>
        <v>64286</v>
      </c>
      <c r="I56" s="59">
        <f t="shared" si="24"/>
        <v>63072</v>
      </c>
      <c r="J56" s="60">
        <f t="shared" si="24"/>
        <v>71446.841220975068</v>
      </c>
      <c r="K56" s="60">
        <f t="shared" si="24"/>
        <v>80501.224764102706</v>
      </c>
      <c r="L56" s="60">
        <f t="shared" si="24"/>
        <v>90364.278456686574</v>
      </c>
      <c r="M56" s="60">
        <f t="shared" si="24"/>
        <v>101060.76743721945</v>
      </c>
      <c r="N56" s="60">
        <f t="shared" si="24"/>
        <v>112670.19096383076</v>
      </c>
    </row>
    <row r="57" spans="2:14" x14ac:dyDescent="0.25">
      <c r="B57" s="4" t="s">
        <v>104</v>
      </c>
      <c r="C57" s="56"/>
      <c r="D57" s="219">
        <f>4165+D50</f>
        <v>4165</v>
      </c>
      <c r="E57" s="219">
        <f>4647+E50</f>
        <v>4647</v>
      </c>
      <c r="F57" s="219">
        <f>6071+F50</f>
        <v>6071</v>
      </c>
      <c r="G57" s="219">
        <f>4135+G50</f>
        <v>4492</v>
      </c>
      <c r="H57" s="219">
        <f>3903+H50</f>
        <v>4021</v>
      </c>
      <c r="I57" s="219">
        <f>2518+I50</f>
        <v>2518</v>
      </c>
      <c r="J57" s="57">
        <f>I57+J50+'GM-I.S.'!J34</f>
        <v>2662.7797022412283</v>
      </c>
      <c r="K57" s="57">
        <f>J57+K50+'GM-I.S.'!K34</f>
        <v>2819.3069627305053</v>
      </c>
      <c r="L57" s="57">
        <f>K57+L50+'GM-I.S.'!L34</f>
        <v>2989.8140731489261</v>
      </c>
      <c r="M57" s="57">
        <f>L57+M50+'GM-I.S.'!M34</f>
        <v>3174.7291597477647</v>
      </c>
      <c r="N57" s="57">
        <f>M57+N50+'GM-I.S.'!N34</f>
        <v>3375.4265624836462</v>
      </c>
    </row>
    <row r="58" spans="2:14" x14ac:dyDescent="0.25">
      <c r="B58" s="6" t="s">
        <v>79</v>
      </c>
      <c r="C58" s="59"/>
      <c r="D58" s="59">
        <f>SUM(D56:D57)</f>
        <v>45957</v>
      </c>
      <c r="E58" s="59">
        <f t="shared" ref="E58:N58" si="25">SUM(E56:E57)</f>
        <v>49677</v>
      </c>
      <c r="F58" s="59">
        <f t="shared" si="25"/>
        <v>65815</v>
      </c>
      <c r="G58" s="59">
        <f t="shared" si="25"/>
        <v>72284</v>
      </c>
      <c r="H58" s="59">
        <f t="shared" si="25"/>
        <v>68307</v>
      </c>
      <c r="I58" s="59">
        <f t="shared" si="25"/>
        <v>65590</v>
      </c>
      <c r="J58" s="60">
        <f t="shared" si="25"/>
        <v>74109.620923216295</v>
      </c>
      <c r="K58" s="60">
        <f t="shared" si="25"/>
        <v>83320.531726833215</v>
      </c>
      <c r="L58" s="60">
        <f t="shared" si="25"/>
        <v>93354.0925298355</v>
      </c>
      <c r="M58" s="60">
        <f t="shared" si="25"/>
        <v>104235.4965969672</v>
      </c>
      <c r="N58" s="60">
        <f t="shared" si="25"/>
        <v>116045.6175263144</v>
      </c>
    </row>
    <row r="59" spans="2:14" ht="15.75" thickBot="1" x14ac:dyDescent="0.3">
      <c r="B59" s="7" t="s">
        <v>80</v>
      </c>
      <c r="C59" s="65"/>
      <c r="D59" s="65">
        <f>D48+D58</f>
        <v>228037</v>
      </c>
      <c r="E59" s="65">
        <f t="shared" ref="E59:N59" si="26">E48+E58</f>
        <v>235194</v>
      </c>
      <c r="F59" s="65">
        <f t="shared" si="26"/>
        <v>244718</v>
      </c>
      <c r="G59" s="65">
        <f t="shared" si="26"/>
        <v>264037</v>
      </c>
      <c r="H59" s="65">
        <f t="shared" si="26"/>
        <v>273064</v>
      </c>
      <c r="I59" s="65">
        <f t="shared" si="26"/>
        <v>279761</v>
      </c>
      <c r="J59" s="66">
        <f t="shared" si="26"/>
        <v>304065.33667023625</v>
      </c>
      <c r="K59" s="66">
        <f t="shared" si="26"/>
        <v>318845.17711392866</v>
      </c>
      <c r="L59" s="66">
        <f t="shared" si="26"/>
        <v>333215.97166543757</v>
      </c>
      <c r="M59" s="66">
        <f t="shared" si="26"/>
        <v>349975.79545630253</v>
      </c>
      <c r="N59" s="66">
        <f t="shared" si="26"/>
        <v>368039.77436835761</v>
      </c>
    </row>
    <row r="60" spans="2:14" ht="15.75" thickTop="1" x14ac:dyDescent="0.25"/>
    <row r="61" spans="2:14" x14ac:dyDescent="0.25">
      <c r="B61" s="286" t="s">
        <v>103</v>
      </c>
      <c r="C61" s="245"/>
      <c r="D61" s="287">
        <f t="shared" ref="D61:N61" si="27">D27-D59</f>
        <v>0</v>
      </c>
      <c r="E61" s="287">
        <f t="shared" si="27"/>
        <v>0</v>
      </c>
      <c r="F61" s="287">
        <f t="shared" si="27"/>
        <v>0</v>
      </c>
      <c r="G61" s="287">
        <f t="shared" si="27"/>
        <v>0</v>
      </c>
      <c r="H61" s="287">
        <f t="shared" si="27"/>
        <v>0</v>
      </c>
      <c r="I61" s="287">
        <f t="shared" si="27"/>
        <v>0</v>
      </c>
      <c r="J61" s="287">
        <f t="shared" si="27"/>
        <v>0</v>
      </c>
      <c r="K61" s="287">
        <f t="shared" si="27"/>
        <v>0</v>
      </c>
      <c r="L61" s="287">
        <f t="shared" si="27"/>
        <v>0</v>
      </c>
      <c r="M61" s="287">
        <f t="shared" si="27"/>
        <v>0</v>
      </c>
      <c r="N61" s="288">
        <f t="shared" si="27"/>
        <v>0</v>
      </c>
    </row>
    <row r="62" spans="2:14" x14ac:dyDescent="0.25">
      <c r="B62" s="285"/>
      <c r="C62" s="143"/>
    </row>
    <row r="64" spans="2:14" x14ac:dyDescent="0.25">
      <c r="B64" s="38" t="s">
        <v>131</v>
      </c>
      <c r="I64" s="73"/>
    </row>
    <row r="65" spans="2:13" x14ac:dyDescent="0.25">
      <c r="B65" s="41" t="s">
        <v>124</v>
      </c>
    </row>
    <row r="66" spans="2:13" x14ac:dyDescent="0.25">
      <c r="B66" s="40" t="s">
        <v>125</v>
      </c>
      <c r="D66" s="305">
        <f>'GM-I.S.'!D12/D12</f>
        <v>16.279387965278801</v>
      </c>
      <c r="E66" s="305">
        <f>'GM-I.S.'!E12/E12</f>
        <v>12.139265712507779</v>
      </c>
      <c r="F66" s="305">
        <f>'GM-I.S.'!F12/F12</f>
        <v>13.598052474979713</v>
      </c>
      <c r="G66" s="305">
        <f>'GM-I.S.'!G12/G12</f>
        <v>9.5171379284482107</v>
      </c>
      <c r="H66" s="305">
        <f>'GM-I.S.'!H12/H12</f>
        <v>11.417838099854581</v>
      </c>
      <c r="I66" s="305">
        <f>'GM-I.S.'!I12/I12</f>
        <v>11.777110781944335</v>
      </c>
      <c r="J66" s="43" t="s">
        <v>127</v>
      </c>
    </row>
    <row r="67" spans="2:13" x14ac:dyDescent="0.25">
      <c r="B67" s="40" t="s">
        <v>126</v>
      </c>
      <c r="D67" s="80">
        <f>365/D66</f>
        <v>22.420990320918925</v>
      </c>
      <c r="E67" s="80">
        <f t="shared" ref="E67:I67" si="28">365/E66</f>
        <v>30.067716503142332</v>
      </c>
      <c r="F67" s="80">
        <f t="shared" si="28"/>
        <v>26.842079089751749</v>
      </c>
      <c r="G67" s="80">
        <f t="shared" si="28"/>
        <v>38.351866153894655</v>
      </c>
      <c r="H67" s="80">
        <f t="shared" si="28"/>
        <v>31.967522818934409</v>
      </c>
      <c r="I67" s="80">
        <f t="shared" si="28"/>
        <v>30.992321186244332</v>
      </c>
      <c r="J67" s="136">
        <f>AVERAGE(D67:I67)</f>
        <v>30.107082678814404</v>
      </c>
    </row>
    <row r="68" spans="2:13" x14ac:dyDescent="0.25">
      <c r="L68" s="70"/>
      <c r="M68" s="70"/>
    </row>
    <row r="69" spans="2:13" x14ac:dyDescent="0.25">
      <c r="B69" s="41" t="s">
        <v>88</v>
      </c>
      <c r="L69" s="70"/>
      <c r="M69" s="70"/>
    </row>
    <row r="70" spans="2:13" x14ac:dyDescent="0.25">
      <c r="B70" s="40" t="s">
        <v>128</v>
      </c>
      <c r="D70" s="305">
        <f>'GM-I.S.'!D12/D14</f>
        <v>10.641565685708791</v>
      </c>
      <c r="E70" s="305">
        <f>'GM-I.S.'!E12/E14</f>
        <v>9.5299462628236444</v>
      </c>
      <c r="F70" s="305">
        <f>'GM-I.S.'!F12/F14</f>
        <v>7.7412996612257468</v>
      </c>
      <c r="G70" s="305">
        <f>'GM-I.S.'!G12/G14</f>
        <v>8.2579721462970195</v>
      </c>
      <c r="H70" s="305">
        <f>'GM-I.S.'!H12/H14</f>
        <v>8.5857481319482414</v>
      </c>
      <c r="I70" s="305">
        <f>'GM-I.S.'!I12/I14</f>
        <v>10.372493820379017</v>
      </c>
      <c r="J70" s="43" t="s">
        <v>435</v>
      </c>
      <c r="L70" s="70"/>
      <c r="M70" s="70"/>
    </row>
    <row r="71" spans="2:13" x14ac:dyDescent="0.25">
      <c r="B71" s="40" t="s">
        <v>129</v>
      </c>
      <c r="D71" s="80">
        <f>365/D70</f>
        <v>34.299464080758419</v>
      </c>
      <c r="E71" s="80">
        <f t="shared" ref="E71:I71" si="29">365/E70</f>
        <v>38.300320897282113</v>
      </c>
      <c r="F71" s="80">
        <f t="shared" si="29"/>
        <v>47.149705601527693</v>
      </c>
      <c r="G71" s="80">
        <f t="shared" si="29"/>
        <v>44.199713141884438</v>
      </c>
      <c r="H71" s="80">
        <f t="shared" si="29"/>
        <v>42.512311611122904</v>
      </c>
      <c r="I71" s="80">
        <f t="shared" si="29"/>
        <v>35.189223182073945</v>
      </c>
      <c r="J71" s="136">
        <f>AVERAGE(D71:I71)</f>
        <v>40.275123085774915</v>
      </c>
    </row>
    <row r="73" spans="2:13" x14ac:dyDescent="0.25">
      <c r="B73" s="41" t="s">
        <v>130</v>
      </c>
    </row>
    <row r="74" spans="2:13" x14ac:dyDescent="0.25">
      <c r="B74" s="40" t="s">
        <v>132</v>
      </c>
      <c r="D74" s="305">
        <f>'GM-I.S.'!D12/D31</f>
        <v>5.2645827386050055</v>
      </c>
      <c r="E74" s="305">
        <f>'GM-I.S.'!E12/E31</f>
        <v>4.8945704536330794</v>
      </c>
      <c r="F74" s="305">
        <f>'GM-I.S.'!F12/F31</f>
        <v>4.9308028051591393</v>
      </c>
      <c r="G74" s="305">
        <f>'GM-I.S.'!G12/G31</f>
        <v>4.6166048169977447</v>
      </c>
      <c r="H74" s="305">
        <f>'GM-I.S.'!H12/H31</f>
        <v>5.0270327950487301</v>
      </c>
      <c r="I74" s="305">
        <f>'GM-I.S.'!I12/I31</f>
        <v>5.8825934579439254</v>
      </c>
      <c r="J74" s="43" t="s">
        <v>436</v>
      </c>
    </row>
    <row r="75" spans="2:13" x14ac:dyDescent="0.25">
      <c r="B75" s="40" t="s">
        <v>133</v>
      </c>
      <c r="D75" s="80">
        <f>365/D74</f>
        <v>69.331230626022361</v>
      </c>
      <c r="E75" s="80">
        <f t="shared" ref="E75:I75" si="30">365/E74</f>
        <v>74.572427439280688</v>
      </c>
      <c r="F75" s="80">
        <f t="shared" si="30"/>
        <v>74.02445695416931</v>
      </c>
      <c r="G75" s="80">
        <f t="shared" si="30"/>
        <v>79.062431043722214</v>
      </c>
      <c r="H75" s="80">
        <f t="shared" si="30"/>
        <v>72.607443571782355</v>
      </c>
      <c r="I75" s="80">
        <f t="shared" si="30"/>
        <v>62.047463012610464</v>
      </c>
      <c r="J75" s="136">
        <f>AVERAGE(D75:I75)</f>
        <v>71.940908774597901</v>
      </c>
    </row>
    <row r="77" spans="2:13" x14ac:dyDescent="0.25">
      <c r="B77" s="38" t="s">
        <v>140</v>
      </c>
      <c r="D77" s="52">
        <f>D15/'GM-I.S.'!D12</f>
        <v>7.1874632854651108E-2</v>
      </c>
      <c r="E77" s="53">
        <f>E15/'GM-I.S.'!E12</f>
        <v>7.5938855227139918E-2</v>
      </c>
      <c r="F77" s="53">
        <f>F15/'GM-I.S.'!F12</f>
        <v>6.3613940165499677E-2</v>
      </c>
      <c r="G77" s="53">
        <f>G15/'GM-I.S.'!G12</f>
        <v>5.3785896668032657E-2</v>
      </c>
      <c r="H77" s="53">
        <f>H15/'GM-I.S.'!H12</f>
        <v>5.1213472015849429E-2</v>
      </c>
      <c r="I77" s="53">
        <f>I15/'GM-I.S.'!I12</f>
        <v>5.0673551120378642E-2</v>
      </c>
      <c r="J77" s="137">
        <f>AVERAGE(D77:I77)</f>
        <v>6.1183391341925235E-2</v>
      </c>
    </row>
    <row r="79" spans="2:13" x14ac:dyDescent="0.25">
      <c r="B79" s="38" t="s">
        <v>139</v>
      </c>
      <c r="D79" s="52">
        <f>D36/'GM-I.S.'!D12</f>
        <v>0.23937424876413227</v>
      </c>
      <c r="E79" s="53">
        <f>E36/'GM-I.S.'!E12</f>
        <v>0.23651052399552999</v>
      </c>
      <c r="F79" s="53">
        <f>F36/'GM-I.S.'!F12</f>
        <v>0.20187181731381285</v>
      </c>
      <c r="G79" s="53">
        <f>G36/'GM-I.S.'!G12</f>
        <v>0.19630867194149354</v>
      </c>
      <c r="H79" s="53">
        <f>H36/'GM-I.S.'!H12</f>
        <v>0.19361069836552749</v>
      </c>
      <c r="I79" s="53">
        <f>I36/'GM-I.S.'!I12</f>
        <v>0.20622248700890344</v>
      </c>
      <c r="J79" s="137">
        <f>AVERAGE(D79:I79)</f>
        <v>0.21231640789823328</v>
      </c>
    </row>
  </sheetData>
  <mergeCells count="1">
    <mergeCell ref="B2:B3"/>
  </mergeCells>
  <conditionalFormatting sqref="D61:N61">
    <cfRule type="cellIs" dxfId="12" priority="1" operator="notEqual">
      <formula>0</formula>
    </cfRule>
    <cfRule type="cellIs" dxfId="11" priority="2" operator="equal">
      <formula>0</formula>
    </cfRule>
  </conditionalFormatting>
  <pageMargins left="0.7" right="0.7" top="0.75" bottom="0.75" header="0.3" footer="0.3"/>
  <pageSetup orientation="portrait" r:id="rId1"/>
  <ignoredErrors>
    <ignoredError sqref="D32:I32 D40:I40 D47:N47 D58:N58" formulaRange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230B-E883-4325-A763-D649AD66A84A}">
  <dimension ref="B2:H38"/>
  <sheetViews>
    <sheetView showGridLines="0"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5" sqref="B5"/>
    </sheetView>
  </sheetViews>
  <sheetFormatPr defaultRowHeight="15" x14ac:dyDescent="0.25"/>
  <cols>
    <col min="1" max="1" width="2.28515625" bestFit="1" customWidth="1"/>
    <col min="2" max="2" width="55.85546875" bestFit="1" customWidth="1"/>
    <col min="3" max="3" width="2.28515625" bestFit="1" customWidth="1"/>
    <col min="4" max="8" width="12.7109375" bestFit="1" customWidth="1"/>
  </cols>
  <sheetData>
    <row r="2" spans="2:8" x14ac:dyDescent="0.25">
      <c r="B2" s="325"/>
    </row>
    <row r="3" spans="2:8" x14ac:dyDescent="0.25">
      <c r="B3" s="325"/>
    </row>
    <row r="5" spans="2:8" x14ac:dyDescent="0.25">
      <c r="B5" s="27" t="s">
        <v>81</v>
      </c>
      <c r="C5" s="16"/>
      <c r="D5" s="17">
        <f>'GM-B.S.'!J5</f>
        <v>12</v>
      </c>
      <c r="E5" s="17">
        <f>'GM-B.S.'!K5</f>
        <v>12</v>
      </c>
      <c r="F5" s="17">
        <f>'GM-B.S.'!L5</f>
        <v>12</v>
      </c>
      <c r="G5" s="17">
        <f>'GM-B.S.'!M5</f>
        <v>12</v>
      </c>
      <c r="H5" s="17">
        <f>'GM-B.S.'!N5</f>
        <v>12</v>
      </c>
    </row>
    <row r="6" spans="2:8" x14ac:dyDescent="0.25">
      <c r="B6" s="31"/>
      <c r="C6" s="32"/>
      <c r="D6" s="72">
        <f>'GM-B.S.'!J6</f>
        <v>46022</v>
      </c>
      <c r="E6" s="72">
        <f>'GM-B.S.'!K6</f>
        <v>46387</v>
      </c>
      <c r="F6" s="72">
        <f>'GM-B.S.'!L6</f>
        <v>46752</v>
      </c>
      <c r="G6" s="72">
        <f>'GM-B.S.'!M6</f>
        <v>47118</v>
      </c>
      <c r="H6" s="72">
        <f>'GM-B.S.'!N6</f>
        <v>47483</v>
      </c>
    </row>
    <row r="7" spans="2:8" x14ac:dyDescent="0.25">
      <c r="B7" s="29"/>
      <c r="C7" s="49"/>
      <c r="D7" s="50" t="str">
        <f>'GM-B.S.'!J7</f>
        <v>Projections</v>
      </c>
      <c r="E7" s="50" t="str">
        <f>'GM-B.S.'!K7</f>
        <v>Projections</v>
      </c>
      <c r="F7" s="50" t="str">
        <f>'GM-B.S.'!L7</f>
        <v>Projections</v>
      </c>
      <c r="G7" s="50" t="str">
        <f>'GM-B.S.'!M7</f>
        <v>Projections</v>
      </c>
      <c r="H7" s="50" t="str">
        <f>'GM-B.S.'!N7</f>
        <v>Projections</v>
      </c>
    </row>
    <row r="8" spans="2:8" x14ac:dyDescent="0.25">
      <c r="B8" s="45" t="s">
        <v>82</v>
      </c>
      <c r="C8" s="56"/>
      <c r="D8" s="57"/>
      <c r="E8" s="57"/>
      <c r="F8" s="57"/>
      <c r="G8" s="57"/>
      <c r="H8" s="57"/>
    </row>
    <row r="9" spans="2:8" x14ac:dyDescent="0.25">
      <c r="B9" s="44" t="s">
        <v>83</v>
      </c>
      <c r="C9" s="56"/>
      <c r="D9" s="57">
        <f>'GM-I.S.'!J33</f>
        <v>9245.8894837833541</v>
      </c>
      <c r="E9" s="57">
        <f>'GM-I.S.'!K33</f>
        <v>9996.1094634100045</v>
      </c>
      <c r="F9" s="57">
        <f>'GM-I.S.'!L33</f>
        <v>10888.887563128545</v>
      </c>
      <c r="G9" s="57">
        <f>'GM-I.S.'!M33</f>
        <v>11809.006567290939</v>
      </c>
      <c r="H9" s="57">
        <f>'GM-I.S.'!N33</f>
        <v>12816.893367321081</v>
      </c>
    </row>
    <row r="10" spans="2:8" x14ac:dyDescent="0.25">
      <c r="B10" s="44" t="s">
        <v>84</v>
      </c>
      <c r="C10" s="56"/>
      <c r="D10" s="57">
        <f>'GM-I.S.'!J24</f>
        <v>13463.719562220347</v>
      </c>
      <c r="E10" s="57">
        <f>'GM-I.S.'!K24</f>
        <v>14484.461731551637</v>
      </c>
      <c r="F10" s="57">
        <f>'GM-I.S.'!L24</f>
        <v>15595.123993608209</v>
      </c>
      <c r="G10" s="57">
        <f>'GM-I.S.'!M24</f>
        <v>16803.789161160475</v>
      </c>
      <c r="H10" s="57">
        <f>'GM-I.S.'!N24</f>
        <v>18119.327119007619</v>
      </c>
    </row>
    <row r="11" spans="2:8" x14ac:dyDescent="0.25">
      <c r="B11" s="44" t="s">
        <v>85</v>
      </c>
      <c r="C11" s="56"/>
      <c r="D11" s="57"/>
      <c r="E11" s="57"/>
      <c r="F11" s="57"/>
      <c r="G11" s="57"/>
      <c r="H11" s="57"/>
    </row>
    <row r="12" spans="2:8" x14ac:dyDescent="0.25">
      <c r="B12" s="83" t="s">
        <v>86</v>
      </c>
      <c r="C12" s="56"/>
      <c r="D12" s="57"/>
      <c r="E12" s="57"/>
      <c r="F12" s="57"/>
      <c r="G12" s="57"/>
      <c r="H12" s="57"/>
    </row>
    <row r="13" spans="2:8" x14ac:dyDescent="0.25">
      <c r="B13" s="44" t="s">
        <v>87</v>
      </c>
      <c r="C13" s="56"/>
      <c r="D13" s="57">
        <f>-('GM-B.S.'!J12-'GM-B.S.'!I12)</f>
        <v>-557.71271113678631</v>
      </c>
      <c r="E13" s="57">
        <f>-('GM-B.S.'!K12-'GM-B.S.'!J12)</f>
        <v>-1014.7523220090552</v>
      </c>
      <c r="F13" s="57">
        <f>-('GM-B.S.'!L12-'GM-B.S.'!K12)</f>
        <v>-1104.1447519779613</v>
      </c>
      <c r="G13" s="57">
        <f>-('GM-B.S.'!M12-'GM-B.S.'!L12)</f>
        <v>-1201.5725637245177</v>
      </c>
      <c r="H13" s="57">
        <f>-('GM-B.S.'!N12-'GM-B.S.'!M12)</f>
        <v>-1307.8182106368695</v>
      </c>
    </row>
    <row r="14" spans="2:8" x14ac:dyDescent="0.25">
      <c r="B14" s="44" t="s">
        <v>88</v>
      </c>
      <c r="C14" s="56"/>
      <c r="D14" s="57">
        <f>-('GM-B.S.'!J14-'GM-B.S.'!I14)</f>
        <v>-3341.1207870133767</v>
      </c>
      <c r="E14" s="57">
        <f>-('GM-B.S.'!K14-'GM-B.S.'!J14)</f>
        <v>-1357.4637937022453</v>
      </c>
      <c r="F14" s="57">
        <f>-('GM-B.S.'!L14-'GM-B.S.'!K14)</f>
        <v>-1477.0466559258093</v>
      </c>
      <c r="G14" s="57">
        <f>-('GM-B.S.'!M14-'GM-B.S.'!L14)</f>
        <v>-1607.3786828422417</v>
      </c>
      <c r="H14" s="57">
        <f>-('GM-B.S.'!N14-'GM-B.S.'!M14)</f>
        <v>-1749.5065851824329</v>
      </c>
    </row>
    <row r="15" spans="2:8" x14ac:dyDescent="0.25">
      <c r="B15" s="44" t="s">
        <v>89</v>
      </c>
      <c r="C15" s="56"/>
      <c r="D15" s="57">
        <f>-('GM-B.S.'!J15-'GM-B.S.'!I15)</f>
        <v>-2273.11477144735</v>
      </c>
      <c r="E15" s="57">
        <f>-('GM-B.S.'!K15-'GM-B.S.'!J15)</f>
        <v>-752.69284705050086</v>
      </c>
      <c r="F15" s="57">
        <f>-('GM-B.S.'!L15-'GM-B.S.'!K15)</f>
        <v>-818.99970948255395</v>
      </c>
      <c r="G15" s="57">
        <f>-('GM-B.S.'!M15-'GM-B.S.'!L15)</f>
        <v>-891.26681882035518</v>
      </c>
      <c r="H15" s="57">
        <f>-('GM-B.S.'!N15-'GM-B.S.'!M15)</f>
        <v>-970.07456010529313</v>
      </c>
    </row>
    <row r="16" spans="2:8" x14ac:dyDescent="0.25">
      <c r="B16" s="44" t="s">
        <v>141</v>
      </c>
      <c r="C16" s="56"/>
      <c r="D16" s="57">
        <f>'GM-B.S.'!J31-'GM-B.S.'!I31</f>
        <v>6302.7864558815854</v>
      </c>
      <c r="E16" s="57">
        <f>'GM-B.S.'!K31-'GM-B.S.'!J31</f>
        <v>2424.7518434535887</v>
      </c>
      <c r="F16" s="57">
        <f>'GM-B.S.'!L31-'GM-B.S.'!K31</f>
        <v>2638.355157934071</v>
      </c>
      <c r="G16" s="57">
        <f>'GM-B.S.'!M31-'GM-B.S.'!L31</f>
        <v>2871.1590264370752</v>
      </c>
      <c r="H16" s="57">
        <f>'GM-B.S.'!N31-'GM-B.S.'!M31</f>
        <v>3125.0331222357418</v>
      </c>
    </row>
    <row r="17" spans="2:8" x14ac:dyDescent="0.25">
      <c r="B17" s="44" t="s">
        <v>142</v>
      </c>
      <c r="C17" s="56"/>
      <c r="D17" s="57">
        <f>'GM-B.S.'!J36-'GM-B.S.'!I36</f>
        <v>11624.929291138382</v>
      </c>
      <c r="E17" s="57">
        <f>'GM-B.S.'!K36-'GM-B.S.'!J36</f>
        <v>3243.1777966219088</v>
      </c>
      <c r="F17" s="57">
        <f>'GM-B.S.'!L36-'GM-B.S.'!K36</f>
        <v>3528.8785905725308</v>
      </c>
      <c r="G17" s="57">
        <f>'GM-B.S.'!M36-'GM-B.S.'!L36</f>
        <v>3840.2606972961948</v>
      </c>
      <c r="H17" s="57">
        <f>'GM-B.S.'!N36-'GM-B.S.'!M36</f>
        <v>4179.8248604721448</v>
      </c>
    </row>
    <row r="18" spans="2:8" x14ac:dyDescent="0.25">
      <c r="B18" s="8"/>
      <c r="C18" s="56"/>
      <c r="D18" s="57"/>
      <c r="E18" s="57"/>
      <c r="F18" s="57"/>
      <c r="G18" s="57"/>
      <c r="H18" s="57"/>
    </row>
    <row r="19" spans="2:8" x14ac:dyDescent="0.25">
      <c r="B19" s="47" t="s">
        <v>90</v>
      </c>
      <c r="C19" s="59"/>
      <c r="D19" s="60">
        <f>SUM(D9:D17)</f>
        <v>34465.376523426152</v>
      </c>
      <c r="E19" s="60">
        <f t="shared" ref="E19:H19" si="0">SUM(E9:E17)</f>
        <v>27023.591872275338</v>
      </c>
      <c r="F19" s="60">
        <f t="shared" si="0"/>
        <v>29251.054187857029</v>
      </c>
      <c r="G19" s="60">
        <f t="shared" si="0"/>
        <v>31623.997386797564</v>
      </c>
      <c r="H19" s="60">
        <f t="shared" si="0"/>
        <v>34213.67911311199</v>
      </c>
    </row>
    <row r="20" spans="2:8" x14ac:dyDescent="0.25">
      <c r="B20" s="8"/>
      <c r="C20" s="56"/>
      <c r="D20" s="57"/>
      <c r="E20" s="57"/>
      <c r="F20" s="57"/>
      <c r="G20" s="57"/>
      <c r="H20" s="57"/>
    </row>
    <row r="21" spans="2:8" x14ac:dyDescent="0.25">
      <c r="B21" s="45" t="s">
        <v>91</v>
      </c>
      <c r="C21" s="56"/>
      <c r="D21" s="57"/>
      <c r="E21" s="57"/>
      <c r="F21" s="57"/>
      <c r="G21" s="57"/>
      <c r="H21" s="57"/>
    </row>
    <row r="22" spans="2:8" x14ac:dyDescent="0.25">
      <c r="B22" s="44" t="s">
        <v>92</v>
      </c>
      <c r="C22" s="56"/>
      <c r="D22" s="57">
        <f>-('FA Schedule'!J10+'FA Schedule'!J20)</f>
        <v>-17102.670368648556</v>
      </c>
      <c r="E22" s="57">
        <f>-('FA Schedule'!K10+'FA Schedule'!K20)</f>
        <v>-21090.080175006944</v>
      </c>
      <c r="F22" s="57">
        <f>-('FA Schedule'!L10+'FA Schedule'!L20)</f>
        <v>-22782.650230029969</v>
      </c>
      <c r="G22" s="57">
        <f>-('FA Schedule'!M10+'FA Schedule'!M20)</f>
        <v>-24625.530206674171</v>
      </c>
      <c r="H22" s="57">
        <f>-('FA Schedule'!N10+'FA Schedule'!N20)</f>
        <v>-26632.683438080443</v>
      </c>
    </row>
    <row r="23" spans="2:8" x14ac:dyDescent="0.25">
      <c r="B23" s="8"/>
      <c r="C23" s="56"/>
      <c r="D23" s="57"/>
      <c r="E23" s="57"/>
      <c r="F23" s="57"/>
      <c r="G23" s="57"/>
      <c r="H23" s="57"/>
    </row>
    <row r="24" spans="2:8" x14ac:dyDescent="0.25">
      <c r="B24" s="47" t="s">
        <v>93</v>
      </c>
      <c r="C24" s="59"/>
      <c r="D24" s="60">
        <f>D22</f>
        <v>-17102.670368648556</v>
      </c>
      <c r="E24" s="60">
        <f t="shared" ref="E24:H24" si="1">E22</f>
        <v>-21090.080175006944</v>
      </c>
      <c r="F24" s="60">
        <f t="shared" si="1"/>
        <v>-22782.650230029969</v>
      </c>
      <c r="G24" s="60">
        <f t="shared" si="1"/>
        <v>-24625.530206674171</v>
      </c>
      <c r="H24" s="60">
        <f t="shared" si="1"/>
        <v>-26632.683438080443</v>
      </c>
    </row>
    <row r="25" spans="2:8" x14ac:dyDescent="0.25">
      <c r="B25" s="8"/>
      <c r="C25" s="56"/>
      <c r="D25" s="57"/>
      <c r="E25" s="57"/>
      <c r="F25" s="57"/>
      <c r="G25" s="57"/>
      <c r="H25" s="57"/>
    </row>
    <row r="26" spans="2:8" x14ac:dyDescent="0.25">
      <c r="B26" s="45" t="s">
        <v>94</v>
      </c>
      <c r="C26" s="56"/>
      <c r="D26" s="57"/>
      <c r="E26" s="57"/>
      <c r="F26" s="57"/>
      <c r="G26" s="57"/>
      <c r="H26" s="57"/>
    </row>
    <row r="27" spans="2:8" x14ac:dyDescent="0.25">
      <c r="B27" s="44" t="s">
        <v>95</v>
      </c>
      <c r="C27" s="56"/>
      <c r="D27" s="57">
        <f>-'GM-I.S.'!J47</f>
        <v>-726.26856056706151</v>
      </c>
      <c r="E27" s="57">
        <f>-'GM-I.S.'!K47</f>
        <v>-785.19865979307406</v>
      </c>
      <c r="F27" s="57">
        <f>-'GM-I.S.'!L47</f>
        <v>-855.32676012626791</v>
      </c>
      <c r="G27" s="57">
        <f>-'GM-I.S.'!M47</f>
        <v>-927.60250015922952</v>
      </c>
      <c r="H27" s="57">
        <f>-'GM-I.S.'!N47</f>
        <v>-1006.7724379738989</v>
      </c>
    </row>
    <row r="28" spans="2:8" x14ac:dyDescent="0.25">
      <c r="B28" s="44" t="s">
        <v>96</v>
      </c>
      <c r="C28" s="56"/>
      <c r="D28" s="57"/>
      <c r="E28" s="57"/>
      <c r="F28" s="57"/>
      <c r="G28" s="57"/>
      <c r="H28" s="57"/>
    </row>
    <row r="29" spans="2:8" x14ac:dyDescent="0.25">
      <c r="B29" s="44"/>
      <c r="C29" s="56"/>
      <c r="D29" s="57"/>
      <c r="E29" s="57"/>
      <c r="F29" s="57"/>
      <c r="G29" s="57"/>
      <c r="H29" s="57"/>
    </row>
    <row r="30" spans="2:8" x14ac:dyDescent="0.25">
      <c r="B30" s="44" t="s">
        <v>97</v>
      </c>
      <c r="C30" s="56"/>
      <c r="D30" s="57">
        <f>'Debt Schedule'!D9</f>
        <v>0</v>
      </c>
      <c r="E30" s="57">
        <f>'Debt Schedule'!E9</f>
        <v>0</v>
      </c>
      <c r="F30" s="57">
        <f>'Debt Schedule'!F9</f>
        <v>0</v>
      </c>
      <c r="G30" s="57">
        <f>'Debt Schedule'!G9</f>
        <v>0</v>
      </c>
      <c r="H30" s="57">
        <f>'Debt Schedule'!H9</f>
        <v>0</v>
      </c>
    </row>
    <row r="31" spans="2:8" x14ac:dyDescent="0.25">
      <c r="B31" s="44" t="s">
        <v>98</v>
      </c>
      <c r="C31" s="56"/>
      <c r="D31" s="57">
        <f>-'Debt Schedule'!D10</f>
        <v>-2143</v>
      </c>
      <c r="E31" s="57">
        <f>-'Debt Schedule'!E10</f>
        <v>-99</v>
      </c>
      <c r="F31" s="57">
        <f>-'Debt Schedule'!F10</f>
        <v>-1830</v>
      </c>
      <c r="G31" s="57">
        <f>-'Debt Schedule'!G10</f>
        <v>-833</v>
      </c>
      <c r="H31" s="57">
        <f>-'Debt Schedule'!H10</f>
        <v>-1051</v>
      </c>
    </row>
    <row r="32" spans="2:8" x14ac:dyDescent="0.25">
      <c r="B32" s="4"/>
      <c r="C32" s="56"/>
      <c r="D32" s="57"/>
      <c r="E32" s="57"/>
      <c r="F32" s="57"/>
      <c r="G32" s="57"/>
      <c r="H32" s="57"/>
    </row>
    <row r="33" spans="2:8" x14ac:dyDescent="0.25">
      <c r="B33" s="47" t="s">
        <v>99</v>
      </c>
      <c r="C33" s="59"/>
      <c r="D33" s="60">
        <f>SUM(D27:D31)</f>
        <v>-2869.2685605670613</v>
      </c>
      <c r="E33" s="60">
        <f t="shared" ref="E33:H33" si="2">SUM(E27:E31)</f>
        <v>-884.19865979307406</v>
      </c>
      <c r="F33" s="60">
        <f t="shared" si="2"/>
        <v>-2685.3267601262678</v>
      </c>
      <c r="G33" s="60">
        <f t="shared" si="2"/>
        <v>-1760.6025001592295</v>
      </c>
      <c r="H33" s="60">
        <f t="shared" si="2"/>
        <v>-2057.7724379738988</v>
      </c>
    </row>
    <row r="34" spans="2:8" x14ac:dyDescent="0.25">
      <c r="B34" s="8"/>
      <c r="C34" s="56"/>
      <c r="D34" s="57"/>
      <c r="E34" s="57"/>
      <c r="F34" s="57"/>
      <c r="G34" s="57"/>
      <c r="H34" s="57"/>
    </row>
    <row r="35" spans="2:8" x14ac:dyDescent="0.25">
      <c r="B35" s="45" t="s">
        <v>100</v>
      </c>
      <c r="C35" s="56"/>
      <c r="D35" s="57">
        <f>D19+D24+D33</f>
        <v>14493.437594210534</v>
      </c>
      <c r="E35" s="57">
        <f t="shared" ref="E35:H35" si="3">E19+E24+E33</f>
        <v>5049.31303747532</v>
      </c>
      <c r="F35" s="57">
        <f t="shared" si="3"/>
        <v>3783.0771977007926</v>
      </c>
      <c r="G35" s="57">
        <f t="shared" si="3"/>
        <v>5237.8646799641629</v>
      </c>
      <c r="H35" s="57">
        <f t="shared" si="3"/>
        <v>5523.2232370576476</v>
      </c>
    </row>
    <row r="36" spans="2:8" x14ac:dyDescent="0.25">
      <c r="B36" s="84" t="s">
        <v>101</v>
      </c>
      <c r="C36" s="56"/>
      <c r="D36" s="57">
        <f>C37</f>
        <v>19872</v>
      </c>
      <c r="E36" s="57">
        <f t="shared" ref="E36:H36" si="4">D37</f>
        <v>34365.437594210533</v>
      </c>
      <c r="F36" s="57">
        <f t="shared" si="4"/>
        <v>39414.750631685849</v>
      </c>
      <c r="G36" s="57">
        <f t="shared" si="4"/>
        <v>43197.827829386639</v>
      </c>
      <c r="H36" s="57">
        <f t="shared" si="4"/>
        <v>48435.692509350803</v>
      </c>
    </row>
    <row r="37" spans="2:8" ht="15.75" thickBot="1" x14ac:dyDescent="0.3">
      <c r="B37" s="14" t="s">
        <v>102</v>
      </c>
      <c r="C37" s="65">
        <f>'GM-B.S.'!I10</f>
        <v>19872</v>
      </c>
      <c r="D37" s="66">
        <f>SUM(D35:D36)</f>
        <v>34365.437594210533</v>
      </c>
      <c r="E37" s="66">
        <f t="shared" ref="E37:H37" si="5">SUM(E35:E36)</f>
        <v>39414.750631685849</v>
      </c>
      <c r="F37" s="66">
        <f t="shared" si="5"/>
        <v>43197.827829386639</v>
      </c>
      <c r="G37" s="66">
        <f t="shared" si="5"/>
        <v>48435.692509350803</v>
      </c>
      <c r="H37" s="66">
        <f t="shared" si="5"/>
        <v>53958.915746408449</v>
      </c>
    </row>
    <row r="38" spans="2:8" ht="15.75" thickTop="1" x14ac:dyDescent="0.25"/>
  </sheetData>
  <mergeCells count="1">
    <mergeCell ref="B2:B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6A85-0203-450D-8A36-1BE387A73B56}">
  <dimension ref="B2:H17"/>
  <sheetViews>
    <sheetView showGridLines="0" zoomScale="80" zoomScaleNormal="80"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B5" sqref="B5"/>
    </sheetView>
  </sheetViews>
  <sheetFormatPr defaultRowHeight="15" x14ac:dyDescent="0.25"/>
  <cols>
    <col min="1" max="1" width="2" bestFit="1" customWidth="1"/>
    <col min="2" max="2" width="38.85546875" customWidth="1"/>
    <col min="3" max="3" width="2.28515625" bestFit="1" customWidth="1"/>
    <col min="4" max="8" width="11" bestFit="1" customWidth="1"/>
  </cols>
  <sheetData>
    <row r="2" spans="2:8" x14ac:dyDescent="0.25">
      <c r="B2" s="324"/>
      <c r="C2" s="2"/>
    </row>
    <row r="3" spans="2:8" x14ac:dyDescent="0.25">
      <c r="B3" s="324"/>
      <c r="C3" s="2"/>
    </row>
    <row r="5" spans="2:8" x14ac:dyDescent="0.25">
      <c r="B5" s="27" t="s">
        <v>105</v>
      </c>
      <c r="C5" s="16"/>
      <c r="D5" s="17">
        <f>'GM-C.F.S.'!D5</f>
        <v>12</v>
      </c>
      <c r="E5" s="17">
        <f>'GM-C.F.S.'!E5</f>
        <v>12</v>
      </c>
      <c r="F5" s="17">
        <f>'GM-C.F.S.'!F5</f>
        <v>12</v>
      </c>
      <c r="G5" s="17">
        <f>'GM-C.F.S.'!G5</f>
        <v>12</v>
      </c>
      <c r="H5" s="17">
        <f>'GM-C.F.S.'!H5</f>
        <v>12</v>
      </c>
    </row>
    <row r="6" spans="2:8" x14ac:dyDescent="0.25">
      <c r="B6" s="31"/>
      <c r="C6" s="32"/>
      <c r="D6" s="72">
        <f>'GM-C.F.S.'!D6</f>
        <v>46022</v>
      </c>
      <c r="E6" s="72">
        <f>'GM-C.F.S.'!E6</f>
        <v>46387</v>
      </c>
      <c r="F6" s="72">
        <f>'GM-C.F.S.'!F6</f>
        <v>46752</v>
      </c>
      <c r="G6" s="72">
        <f>'GM-C.F.S.'!G6</f>
        <v>47118</v>
      </c>
      <c r="H6" s="72">
        <f>'GM-C.F.S.'!H6</f>
        <v>47483</v>
      </c>
    </row>
    <row r="7" spans="2:8" x14ac:dyDescent="0.25">
      <c r="B7" s="29"/>
      <c r="C7" s="49"/>
      <c r="D7" s="50" t="str">
        <f>'GM-C.F.S.'!D7</f>
        <v>Projections</v>
      </c>
      <c r="E7" s="50" t="str">
        <f>'GM-C.F.S.'!E7</f>
        <v>Projections</v>
      </c>
      <c r="F7" s="50" t="str">
        <f>'GM-C.F.S.'!F7</f>
        <v>Projections</v>
      </c>
      <c r="G7" s="50" t="str">
        <f>'GM-C.F.S.'!G7</f>
        <v>Projections</v>
      </c>
      <c r="H7" s="50" t="str">
        <f>'GM-C.F.S.'!H7</f>
        <v>Projections</v>
      </c>
    </row>
    <row r="8" spans="2:8" x14ac:dyDescent="0.25">
      <c r="B8" s="4" t="s">
        <v>106</v>
      </c>
      <c r="C8" s="20"/>
      <c r="D8" s="57">
        <f>C11</f>
        <v>15468</v>
      </c>
      <c r="E8" s="57">
        <f t="shared" ref="E8:H8" si="0">D11</f>
        <v>13325</v>
      </c>
      <c r="F8" s="57">
        <f t="shared" si="0"/>
        <v>13226</v>
      </c>
      <c r="G8" s="57">
        <f t="shared" si="0"/>
        <v>11396</v>
      </c>
      <c r="H8" s="57">
        <f t="shared" si="0"/>
        <v>10563</v>
      </c>
    </row>
    <row r="9" spans="2:8" x14ac:dyDescent="0.25">
      <c r="B9" s="4" t="s">
        <v>107</v>
      </c>
      <c r="C9" s="20"/>
      <c r="D9" s="220">
        <v>0</v>
      </c>
      <c r="E9" s="220">
        <v>0</v>
      </c>
      <c r="F9" s="220">
        <v>0</v>
      </c>
      <c r="G9" s="220">
        <v>0</v>
      </c>
      <c r="H9" s="220">
        <v>0</v>
      </c>
    </row>
    <row r="10" spans="2:8" x14ac:dyDescent="0.25">
      <c r="B10" s="4" t="s">
        <v>108</v>
      </c>
      <c r="C10" s="20"/>
      <c r="D10" s="220">
        <v>2143</v>
      </c>
      <c r="E10" s="220">
        <v>99</v>
      </c>
      <c r="F10" s="220">
        <v>1830</v>
      </c>
      <c r="G10" s="220">
        <v>833</v>
      </c>
      <c r="H10" s="220">
        <v>1051</v>
      </c>
    </row>
    <row r="11" spans="2:8" ht="15.75" thickBot="1" x14ac:dyDescent="0.3">
      <c r="B11" s="14" t="s">
        <v>109</v>
      </c>
      <c r="C11" s="74">
        <f>'GM-B.S.'!I34+'GM-B.S.'!I42</f>
        <v>15468</v>
      </c>
      <c r="D11" s="66">
        <f>D8-D10</f>
        <v>13325</v>
      </c>
      <c r="E11" s="66">
        <f t="shared" ref="E11:H11" si="1">E8-E10</f>
        <v>13226</v>
      </c>
      <c r="F11" s="66">
        <f t="shared" si="1"/>
        <v>11396</v>
      </c>
      <c r="G11" s="66">
        <f t="shared" si="1"/>
        <v>10563</v>
      </c>
      <c r="H11" s="66">
        <f t="shared" si="1"/>
        <v>9512</v>
      </c>
    </row>
    <row r="12" spans="2:8" ht="15.75" thickTop="1" x14ac:dyDescent="0.25"/>
    <row r="13" spans="2:8" x14ac:dyDescent="0.25">
      <c r="B13" s="75" t="s">
        <v>110</v>
      </c>
      <c r="D13" s="70">
        <f>E10</f>
        <v>99</v>
      </c>
      <c r="E13" s="70">
        <f t="shared" ref="E13:H13" si="2">F10</f>
        <v>1830</v>
      </c>
      <c r="F13" s="70">
        <f t="shared" si="2"/>
        <v>833</v>
      </c>
      <c r="G13" s="70">
        <f t="shared" si="2"/>
        <v>1051</v>
      </c>
      <c r="H13" s="70">
        <f t="shared" si="2"/>
        <v>0</v>
      </c>
    </row>
    <row r="14" spans="2:8" x14ac:dyDescent="0.25">
      <c r="B14" s="75" t="s">
        <v>111</v>
      </c>
      <c r="D14" s="70">
        <f>D11-D13</f>
        <v>13226</v>
      </c>
      <c r="E14" s="70">
        <f t="shared" ref="E14:H14" si="3">E11-E13</f>
        <v>11396</v>
      </c>
      <c r="F14" s="70">
        <f t="shared" si="3"/>
        <v>10563</v>
      </c>
      <c r="G14" s="70">
        <f t="shared" si="3"/>
        <v>9512</v>
      </c>
      <c r="H14" s="70">
        <f t="shared" si="3"/>
        <v>9512</v>
      </c>
    </row>
    <row r="15" spans="2:8" x14ac:dyDescent="0.25">
      <c r="B15" s="75" t="s">
        <v>112</v>
      </c>
      <c r="D15" s="221">
        <v>5.3900000000000003E-2</v>
      </c>
    </row>
    <row r="17" spans="2:8" x14ac:dyDescent="0.25">
      <c r="B17" s="75" t="s">
        <v>113</v>
      </c>
      <c r="D17" s="76">
        <f>$D$15*D11</f>
        <v>718.21750000000009</v>
      </c>
      <c r="E17" s="76">
        <f t="shared" ref="E17:H17" si="4">$D$15*E11</f>
        <v>712.8814000000001</v>
      </c>
      <c r="F17" s="76">
        <f t="shared" si="4"/>
        <v>614.24440000000004</v>
      </c>
      <c r="G17" s="76">
        <f t="shared" si="4"/>
        <v>569.34570000000008</v>
      </c>
      <c r="H17" s="76">
        <f t="shared" si="4"/>
        <v>512.69680000000005</v>
      </c>
    </row>
  </sheetData>
  <mergeCells count="1">
    <mergeCell ref="B2:B3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032F-C51F-4EF8-AE2D-028CE03E05B0}">
  <dimension ref="B2:P26"/>
  <sheetViews>
    <sheetView showGridLines="0" zoomScale="80" zoomScaleNormal="80"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B5" sqref="B5"/>
    </sheetView>
  </sheetViews>
  <sheetFormatPr defaultRowHeight="15" x14ac:dyDescent="0.25"/>
  <cols>
    <col min="1" max="1" width="2" bestFit="1" customWidth="1"/>
    <col min="2" max="2" width="42.42578125" bestFit="1" customWidth="1"/>
    <col min="3" max="3" width="2.28515625" bestFit="1" customWidth="1"/>
    <col min="4" max="9" width="10.5703125" bestFit="1" customWidth="1"/>
    <col min="10" max="10" width="12.7109375" bestFit="1" customWidth="1"/>
    <col min="11" max="14" width="11.28515625" bestFit="1" customWidth="1"/>
    <col min="16" max="16" width="15.85546875" bestFit="1" customWidth="1"/>
  </cols>
  <sheetData>
    <row r="2" spans="2:16" x14ac:dyDescent="0.25">
      <c r="B2" s="325"/>
    </row>
    <row r="3" spans="2:16" x14ac:dyDescent="0.25">
      <c r="B3" s="325"/>
    </row>
    <row r="5" spans="2:16" x14ac:dyDescent="0.25">
      <c r="B5" s="306" t="s">
        <v>114</v>
      </c>
      <c r="C5" s="77"/>
      <c r="D5" s="16">
        <f>'GM-B.S.'!D5</f>
        <v>12</v>
      </c>
      <c r="E5" s="16">
        <f>'GM-B.S.'!E5</f>
        <v>12</v>
      </c>
      <c r="F5" s="16">
        <f>'GM-B.S.'!F5</f>
        <v>12</v>
      </c>
      <c r="G5" s="16">
        <f>'GM-B.S.'!G5</f>
        <v>12</v>
      </c>
      <c r="H5" s="16">
        <f>'GM-B.S.'!H5</f>
        <v>12</v>
      </c>
      <c r="I5" s="16">
        <f>'GM-B.S.'!I5</f>
        <v>12</v>
      </c>
      <c r="J5" s="17">
        <f>'GM-B.S.'!J5</f>
        <v>12</v>
      </c>
      <c r="K5" s="17">
        <f>'GM-B.S.'!K5</f>
        <v>12</v>
      </c>
      <c r="L5" s="17">
        <f>'GM-B.S.'!L5</f>
        <v>12</v>
      </c>
      <c r="M5" s="17">
        <f>'GM-B.S.'!M5</f>
        <v>12</v>
      </c>
      <c r="N5" s="17">
        <f>'GM-B.S.'!N5</f>
        <v>12</v>
      </c>
    </row>
    <row r="6" spans="2:16" x14ac:dyDescent="0.25">
      <c r="B6" s="78"/>
      <c r="C6" s="78"/>
      <c r="D6" s="71">
        <f>'GM-B.S.'!D6</f>
        <v>43830</v>
      </c>
      <c r="E6" s="71">
        <f>'GM-B.S.'!E6</f>
        <v>44196</v>
      </c>
      <c r="F6" s="71">
        <f>'GM-B.S.'!F6</f>
        <v>44561</v>
      </c>
      <c r="G6" s="71">
        <f>'GM-B.S.'!G6</f>
        <v>44926</v>
      </c>
      <c r="H6" s="71">
        <f>'GM-B.S.'!H6</f>
        <v>45291</v>
      </c>
      <c r="I6" s="71">
        <f>'GM-B.S.'!I6</f>
        <v>45657</v>
      </c>
      <c r="J6" s="72">
        <f>'GM-B.S.'!J6</f>
        <v>46022</v>
      </c>
      <c r="K6" s="72">
        <f>'GM-B.S.'!K6</f>
        <v>46387</v>
      </c>
      <c r="L6" s="72">
        <f>'GM-B.S.'!L6</f>
        <v>46752</v>
      </c>
      <c r="M6" s="72">
        <f>'GM-B.S.'!M6</f>
        <v>47118</v>
      </c>
      <c r="N6" s="72">
        <f>'GM-B.S.'!N6</f>
        <v>47483</v>
      </c>
    </row>
    <row r="7" spans="2:16" x14ac:dyDescent="0.25">
      <c r="B7" s="79"/>
      <c r="C7" s="79"/>
      <c r="D7" s="49" t="str">
        <f>'GM-B.S.'!D7</f>
        <v>Raw</v>
      </c>
      <c r="E7" s="49" t="str">
        <f>'GM-B.S.'!E7</f>
        <v>Raw</v>
      </c>
      <c r="F7" s="49" t="str">
        <f>'GM-B.S.'!F7</f>
        <v>Raw</v>
      </c>
      <c r="G7" s="49" t="str">
        <f>'GM-B.S.'!G7</f>
        <v>Raw</v>
      </c>
      <c r="H7" s="49" t="str">
        <f>'GM-B.S.'!H7</f>
        <v>Raw</v>
      </c>
      <c r="I7" s="49" t="str">
        <f>'GM-B.S.'!I7</f>
        <v>Raw</v>
      </c>
      <c r="J7" s="50" t="str">
        <f>'GM-B.S.'!J7</f>
        <v>Projections</v>
      </c>
      <c r="K7" s="50" t="str">
        <f>'GM-B.S.'!K7</f>
        <v>Projections</v>
      </c>
      <c r="L7" s="50" t="str">
        <f>'GM-B.S.'!L7</f>
        <v>Projections</v>
      </c>
      <c r="M7" s="50" t="str">
        <f>'GM-B.S.'!M7</f>
        <v>Projections</v>
      </c>
      <c r="N7" s="50" t="str">
        <f>'GM-B.S.'!N7</f>
        <v>Projections</v>
      </c>
    </row>
    <row r="8" spans="2:16" x14ac:dyDescent="0.25">
      <c r="B8" s="45" t="s">
        <v>122</v>
      </c>
      <c r="C8" s="8"/>
      <c r="D8" s="20"/>
      <c r="E8" s="20"/>
      <c r="F8" s="20"/>
      <c r="G8" s="20"/>
      <c r="H8" s="20"/>
      <c r="I8" s="20"/>
      <c r="J8" s="24"/>
      <c r="K8" s="24"/>
      <c r="L8" s="24"/>
      <c r="M8" s="24"/>
      <c r="N8" s="24"/>
    </row>
    <row r="9" spans="2:16" x14ac:dyDescent="0.25">
      <c r="B9" s="4" t="s">
        <v>115</v>
      </c>
      <c r="C9" s="55"/>
      <c r="D9" s="56">
        <f>C13</f>
        <v>38758</v>
      </c>
      <c r="E9" s="56">
        <f t="shared" ref="E9:N9" si="0">D13</f>
        <v>38750</v>
      </c>
      <c r="F9" s="56">
        <f t="shared" si="0"/>
        <v>37632</v>
      </c>
      <c r="G9" s="56">
        <f t="shared" si="0"/>
        <v>41115</v>
      </c>
      <c r="H9" s="56">
        <f t="shared" si="0"/>
        <v>45248</v>
      </c>
      <c r="I9" s="56">
        <f t="shared" si="0"/>
        <v>50321</v>
      </c>
      <c r="J9" s="57">
        <f t="shared" si="0"/>
        <v>51904</v>
      </c>
      <c r="K9" s="57">
        <f t="shared" si="0"/>
        <v>53281.905047063701</v>
      </c>
      <c r="L9" s="57">
        <f t="shared" si="0"/>
        <v>57321.434175140283</v>
      </c>
      <c r="M9" s="57">
        <f t="shared" si="0"/>
        <v>61716.816960170319</v>
      </c>
      <c r="N9" s="57">
        <f t="shared" si="0"/>
        <v>66500.040674360091</v>
      </c>
      <c r="P9" s="73"/>
    </row>
    <row r="10" spans="2:16" x14ac:dyDescent="0.25">
      <c r="B10" s="4" t="s">
        <v>116</v>
      </c>
      <c r="C10" s="55"/>
      <c r="D10" s="56">
        <f>D11-D9</f>
        <v>6778</v>
      </c>
      <c r="E10" s="56">
        <f t="shared" ref="E10:I10" si="1">E11-E9</f>
        <v>4519</v>
      </c>
      <c r="F10" s="56">
        <f t="shared" si="1"/>
        <v>9458</v>
      </c>
      <c r="G10" s="56">
        <f t="shared" si="1"/>
        <v>10584</v>
      </c>
      <c r="H10" s="56">
        <f t="shared" si="1"/>
        <v>12057</v>
      </c>
      <c r="I10" s="56">
        <f t="shared" si="1"/>
        <v>9128</v>
      </c>
      <c r="J10" s="57">
        <f>J11-J9</f>
        <v>9336.7220318050677</v>
      </c>
      <c r="K10" s="57">
        <f t="shared" ref="K10:N10" si="2">K11-K9</f>
        <v>12601.738071241649</v>
      </c>
      <c r="L10" s="57">
        <f t="shared" si="2"/>
        <v>13614.138207399199</v>
      </c>
      <c r="M10" s="57">
        <f t="shared" si="2"/>
        <v>14716.458134723223</v>
      </c>
      <c r="N10" s="57">
        <f t="shared" si="2"/>
        <v>15917.055906601265</v>
      </c>
    </row>
    <row r="11" spans="2:16" x14ac:dyDescent="0.25">
      <c r="B11" s="4" t="s">
        <v>117</v>
      </c>
      <c r="C11" s="55"/>
      <c r="D11" s="56">
        <f>D12+D13</f>
        <v>45536</v>
      </c>
      <c r="E11" s="56">
        <f t="shared" ref="E11:I11" si="3">E12+E13</f>
        <v>43269</v>
      </c>
      <c r="F11" s="56">
        <f t="shared" si="3"/>
        <v>47090</v>
      </c>
      <c r="G11" s="56">
        <f t="shared" si="3"/>
        <v>51699</v>
      </c>
      <c r="H11" s="56">
        <f t="shared" si="3"/>
        <v>57305</v>
      </c>
      <c r="I11" s="56">
        <f t="shared" si="3"/>
        <v>59449</v>
      </c>
      <c r="J11" s="57">
        <f>'GM-I.S.'!J10/$J$15</f>
        <v>61240.722031805068</v>
      </c>
      <c r="K11" s="57">
        <f>'GM-I.S.'!K10/$J$15</f>
        <v>65883.64311830535</v>
      </c>
      <c r="L11" s="57">
        <f>'GM-I.S.'!L10/$J$15</f>
        <v>70935.572382539482</v>
      </c>
      <c r="M11" s="57">
        <f>'GM-I.S.'!M10/$J$15</f>
        <v>76433.275094893543</v>
      </c>
      <c r="N11" s="57">
        <f>'GM-I.S.'!N10/$J$15</f>
        <v>82417.096580961355</v>
      </c>
    </row>
    <row r="12" spans="2:16" x14ac:dyDescent="0.25">
      <c r="B12" s="4" t="s">
        <v>118</v>
      </c>
      <c r="C12" s="55"/>
      <c r="D12" s="56">
        <f>'GM-I.S.'!D23</f>
        <v>6786</v>
      </c>
      <c r="E12" s="56">
        <f>'GM-I.S.'!E23</f>
        <v>5637</v>
      </c>
      <c r="F12" s="56">
        <f>'GM-I.S.'!F23</f>
        <v>5975</v>
      </c>
      <c r="G12" s="56">
        <f>'GM-I.S.'!G23</f>
        <v>6451</v>
      </c>
      <c r="H12" s="56">
        <f>'GM-I.S.'!H23</f>
        <v>6984</v>
      </c>
      <c r="I12" s="56">
        <f>'GM-I.S.'!I23</f>
        <v>7545</v>
      </c>
      <c r="J12" s="57">
        <f>J11*$J$16</f>
        <v>7958.8169847413637</v>
      </c>
      <c r="K12" s="57">
        <f t="shared" ref="K12:N12" si="4">K11*$J$16</f>
        <v>8562.2089431650638</v>
      </c>
      <c r="L12" s="57">
        <f t="shared" si="4"/>
        <v>9218.7554223691623</v>
      </c>
      <c r="M12" s="57">
        <f t="shared" si="4"/>
        <v>9933.2344205334575</v>
      </c>
      <c r="N12" s="57">
        <f t="shared" si="4"/>
        <v>10710.889198219513</v>
      </c>
    </row>
    <row r="13" spans="2:16" ht="15.75" thickBot="1" x14ac:dyDescent="0.3">
      <c r="B13" s="14" t="s">
        <v>119</v>
      </c>
      <c r="C13" s="222">
        <v>38758</v>
      </c>
      <c r="D13" s="65">
        <f>'GM-B.S.'!D21</f>
        <v>38750</v>
      </c>
      <c r="E13" s="65">
        <f>'GM-B.S.'!E21</f>
        <v>37632</v>
      </c>
      <c r="F13" s="65">
        <f>'GM-B.S.'!F21</f>
        <v>41115</v>
      </c>
      <c r="G13" s="65">
        <f>'GM-B.S.'!G21</f>
        <v>45248</v>
      </c>
      <c r="H13" s="65">
        <f>'GM-B.S.'!H21</f>
        <v>50321</v>
      </c>
      <c r="I13" s="65">
        <f>'GM-B.S.'!I21</f>
        <v>51904</v>
      </c>
      <c r="J13" s="66">
        <f>J11-J12</f>
        <v>53281.905047063701</v>
      </c>
      <c r="K13" s="66">
        <f t="shared" ref="K13:N13" si="5">K11-K12</f>
        <v>57321.434175140283</v>
      </c>
      <c r="L13" s="66">
        <f t="shared" si="5"/>
        <v>61716.816960170319</v>
      </c>
      <c r="M13" s="66">
        <f t="shared" si="5"/>
        <v>66500.040674360091</v>
      </c>
      <c r="N13" s="66">
        <f t="shared" si="5"/>
        <v>71706.20738274185</v>
      </c>
    </row>
    <row r="14" spans="2:16" ht="15.75" thickTop="1" x14ac:dyDescent="0.25"/>
    <row r="15" spans="2:16" x14ac:dyDescent="0.25">
      <c r="B15" s="39" t="s">
        <v>121</v>
      </c>
      <c r="D15" s="305">
        <f>'GM-I.S.'!D10/D11</f>
        <v>3.0138132466619818</v>
      </c>
      <c r="E15" s="305">
        <f>'GM-I.S.'!E10/E11</f>
        <v>2.830779541935335</v>
      </c>
      <c r="F15" s="305">
        <f>'GM-I.S.'!F10/F11</f>
        <v>2.6970482055638141</v>
      </c>
      <c r="G15" s="305">
        <f>'GM-I.S.'!G10/G11</f>
        <v>3.0316833981314919</v>
      </c>
      <c r="H15" s="305">
        <f>'GM-I.S.'!H10/H11</f>
        <v>2.9987261146496813</v>
      </c>
      <c r="I15" s="305">
        <f>'GM-I.S.'!I10/I11</f>
        <v>3.1529882756648555</v>
      </c>
      <c r="J15" s="307">
        <v>3.29</v>
      </c>
    </row>
    <row r="16" spans="2:16" x14ac:dyDescent="0.25">
      <c r="B16" s="75" t="s">
        <v>120</v>
      </c>
      <c r="D16" s="52">
        <f>D12/D11</f>
        <v>0.14902494729444835</v>
      </c>
      <c r="E16" s="53">
        <f t="shared" ref="E16:I16" si="6">E12/E11</f>
        <v>0.13027802814948347</v>
      </c>
      <c r="F16" s="53">
        <f t="shared" si="6"/>
        <v>0.12688468889360799</v>
      </c>
      <c r="G16" s="53">
        <f t="shared" si="6"/>
        <v>0.12477997640186464</v>
      </c>
      <c r="H16" s="53">
        <f t="shared" si="6"/>
        <v>0.12187418200855074</v>
      </c>
      <c r="I16" s="53">
        <f t="shared" si="6"/>
        <v>0.12691550740971252</v>
      </c>
      <c r="J16" s="81">
        <f t="shared" ref="J16" si="7">AVERAGE(D16:I16)</f>
        <v>0.12995955502627796</v>
      </c>
    </row>
    <row r="18" spans="2:14" x14ac:dyDescent="0.25">
      <c r="B18" s="15" t="s">
        <v>123</v>
      </c>
      <c r="C18" s="10"/>
      <c r="D18" s="11"/>
      <c r="E18" s="11"/>
      <c r="F18" s="11"/>
      <c r="G18" s="11"/>
      <c r="H18" s="11"/>
      <c r="I18" s="11"/>
      <c r="J18" s="82"/>
      <c r="K18" s="82"/>
      <c r="L18" s="82"/>
      <c r="M18" s="82"/>
      <c r="N18" s="82"/>
    </row>
    <row r="19" spans="2:14" x14ac:dyDescent="0.25">
      <c r="B19" s="4" t="s">
        <v>115</v>
      </c>
      <c r="C19" s="55"/>
      <c r="D19" s="56">
        <f>C23</f>
        <v>43559</v>
      </c>
      <c r="E19" s="56">
        <f t="shared" ref="E19:N19" si="8">D23</f>
        <v>42055</v>
      </c>
      <c r="F19" s="56">
        <f t="shared" si="8"/>
        <v>39819</v>
      </c>
      <c r="G19" s="56">
        <f t="shared" si="8"/>
        <v>37929</v>
      </c>
      <c r="H19" s="56">
        <f t="shared" si="8"/>
        <v>32701</v>
      </c>
      <c r="I19" s="56">
        <f t="shared" si="8"/>
        <v>30582</v>
      </c>
      <c r="J19" s="57">
        <f t="shared" si="8"/>
        <v>31586</v>
      </c>
      <c r="K19" s="57">
        <f t="shared" si="8"/>
        <v>33847.045759364504</v>
      </c>
      <c r="L19" s="57">
        <f t="shared" si="8"/>
        <v>36413.13507474323</v>
      </c>
      <c r="M19" s="57">
        <f t="shared" si="8"/>
        <v>39205.278526134949</v>
      </c>
      <c r="N19" s="57">
        <f t="shared" si="8"/>
        <v>42243.795857458877</v>
      </c>
    </row>
    <row r="20" spans="2:14" x14ac:dyDescent="0.25">
      <c r="B20" s="4" t="s">
        <v>116</v>
      </c>
      <c r="C20" s="55"/>
      <c r="D20" s="56">
        <f>D21-D19</f>
        <v>5828</v>
      </c>
      <c r="E20" s="56">
        <f t="shared" ref="E20" si="9">E21-E19</f>
        <v>4942</v>
      </c>
      <c r="F20" s="56">
        <f t="shared" ref="F20" si="10">F21-F19</f>
        <v>4186</v>
      </c>
      <c r="G20" s="56">
        <f t="shared" ref="G20" si="11">G21-G19</f>
        <v>-389</v>
      </c>
      <c r="H20" s="56">
        <f t="shared" ref="H20" si="12">H21-H19</f>
        <v>2785</v>
      </c>
      <c r="I20" s="56">
        <f t="shared" ref="I20" si="13">I21-I19</f>
        <v>5848</v>
      </c>
      <c r="J20" s="57">
        <f>J21-J19</f>
        <v>7765.9483368434885</v>
      </c>
      <c r="K20" s="57">
        <f t="shared" ref="K20" si="14">K21-K19</f>
        <v>8488.3421037652952</v>
      </c>
      <c r="L20" s="57">
        <f t="shared" ref="L20" si="15">L21-L19</f>
        <v>9168.5120226307699</v>
      </c>
      <c r="M20" s="57">
        <f t="shared" ref="M20" si="16">M21-M19</f>
        <v>9909.0720719509482</v>
      </c>
      <c r="N20" s="57">
        <f t="shared" ref="N20" si="17">N21-N19</f>
        <v>10715.627531479178</v>
      </c>
    </row>
    <row r="21" spans="2:14" x14ac:dyDescent="0.25">
      <c r="B21" s="4" t="s">
        <v>117</v>
      </c>
      <c r="C21" s="55"/>
      <c r="D21" s="56">
        <f>D22+D23</f>
        <v>49387</v>
      </c>
      <c r="E21" s="56">
        <f t="shared" ref="E21" si="18">E22+E23</f>
        <v>46997</v>
      </c>
      <c r="F21" s="56">
        <f t="shared" ref="F21" si="19">F22+F23</f>
        <v>44005</v>
      </c>
      <c r="G21" s="56">
        <f t="shared" ref="G21" si="20">G22+G23</f>
        <v>37540</v>
      </c>
      <c r="H21" s="56">
        <f t="shared" ref="H21" si="21">H22+H23</f>
        <v>35486</v>
      </c>
      <c r="I21" s="56">
        <f t="shared" ref="I21" si="22">I22+I23</f>
        <v>36430</v>
      </c>
      <c r="J21" s="57">
        <f>'GM-I.S.'!J10/$J$25</f>
        <v>39351.948336843489</v>
      </c>
      <c r="K21" s="57">
        <f>'GM-I.S.'!K10/$J$25</f>
        <v>42335.387863129799</v>
      </c>
      <c r="L21" s="57">
        <f>'GM-I.S.'!L10/$J$25</f>
        <v>45581.647097374</v>
      </c>
      <c r="M21" s="57">
        <f>'GM-I.S.'!M10/$J$25</f>
        <v>49114.350598085897</v>
      </c>
      <c r="N21" s="57">
        <f>'GM-I.S.'!N10/$J$25</f>
        <v>52959.423388938056</v>
      </c>
    </row>
    <row r="22" spans="2:14" x14ac:dyDescent="0.25">
      <c r="B22" s="4" t="s">
        <v>118</v>
      </c>
      <c r="C22" s="55"/>
      <c r="D22" s="56">
        <f>'GM-I.S.'!D22</f>
        <v>7332</v>
      </c>
      <c r="E22" s="56">
        <f>'GM-I.S.'!E22</f>
        <v>7178</v>
      </c>
      <c r="F22" s="56">
        <f>'GM-I.S.'!F22</f>
        <v>6076</v>
      </c>
      <c r="G22" s="56">
        <f>'GM-I.S.'!G22</f>
        <v>4839</v>
      </c>
      <c r="H22" s="56">
        <f>'GM-I.S.'!H22</f>
        <v>4904</v>
      </c>
      <c r="I22" s="56">
        <f>'GM-I.S.'!I22</f>
        <v>4844</v>
      </c>
      <c r="J22" s="57">
        <f>J21*$J$26</f>
        <v>5504.9025774789825</v>
      </c>
      <c r="K22" s="57">
        <f t="shared" ref="K22:N22" si="23">K21*$J$26</f>
        <v>5922.2527883865723</v>
      </c>
      <c r="L22" s="57">
        <f t="shared" si="23"/>
        <v>6376.3685712390479</v>
      </c>
      <c r="M22" s="57">
        <f t="shared" si="23"/>
        <v>6870.5547406270171</v>
      </c>
      <c r="N22" s="57">
        <f t="shared" si="23"/>
        <v>7408.4379207881084</v>
      </c>
    </row>
    <row r="23" spans="2:14" ht="15.75" thickBot="1" x14ac:dyDescent="0.3">
      <c r="B23" s="14" t="s">
        <v>119</v>
      </c>
      <c r="C23" s="222">
        <v>43559</v>
      </c>
      <c r="D23" s="65">
        <f>'GM-B.S.'!D23</f>
        <v>42055</v>
      </c>
      <c r="E23" s="65">
        <f>'GM-B.S.'!E23</f>
        <v>39819</v>
      </c>
      <c r="F23" s="65">
        <f>'GM-B.S.'!F23</f>
        <v>37929</v>
      </c>
      <c r="G23" s="65">
        <f>'GM-B.S.'!G23</f>
        <v>32701</v>
      </c>
      <c r="H23" s="65">
        <f>'GM-B.S.'!H23</f>
        <v>30582</v>
      </c>
      <c r="I23" s="65">
        <f>'GM-B.S.'!I23</f>
        <v>31586</v>
      </c>
      <c r="J23" s="66">
        <f>J21-J22</f>
        <v>33847.045759364504</v>
      </c>
      <c r="K23" s="66">
        <f t="shared" ref="K23" si="24">K21-K22</f>
        <v>36413.13507474323</v>
      </c>
      <c r="L23" s="66">
        <f t="shared" ref="L23" si="25">L21-L22</f>
        <v>39205.278526134949</v>
      </c>
      <c r="M23" s="66">
        <f t="shared" ref="M23" si="26">M21-M22</f>
        <v>42243.795857458877</v>
      </c>
      <c r="N23" s="66">
        <f t="shared" ref="N23" si="27">N21-N22</f>
        <v>45550.985468149949</v>
      </c>
    </row>
    <row r="24" spans="2:14" ht="15.75" thickTop="1" x14ac:dyDescent="0.25"/>
    <row r="25" spans="2:14" x14ac:dyDescent="0.25">
      <c r="B25" s="39" t="s">
        <v>121</v>
      </c>
      <c r="D25" s="305">
        <f>'GM-I.S.'!D10/D21</f>
        <v>2.7788081883896574</v>
      </c>
      <c r="E25" s="305">
        <f>'GM-I.S.'!E10/E21</f>
        <v>2.6062301849054195</v>
      </c>
      <c r="F25" s="305">
        <f>'GM-I.S.'!F10/F21</f>
        <v>2.8861265765253949</v>
      </c>
      <c r="G25" s="305">
        <f>'GM-I.S.'!G10/G21</f>
        <v>4.1751465103889185</v>
      </c>
      <c r="H25" s="305">
        <f>'GM-I.S.'!H10/H21</f>
        <v>4.8425294482331056</v>
      </c>
      <c r="I25" s="305">
        <f>'GM-I.S.'!I10/I21</f>
        <v>5.1452648915728796</v>
      </c>
      <c r="J25" s="307">
        <v>5.12</v>
      </c>
    </row>
    <row r="26" spans="2:14" x14ac:dyDescent="0.25">
      <c r="B26" s="75" t="s">
        <v>120</v>
      </c>
      <c r="D26" s="52">
        <f>D22/D21</f>
        <v>0.14846012108449591</v>
      </c>
      <c r="E26" s="53">
        <f t="shared" ref="E26:I26" si="28">E22/E21</f>
        <v>0.1527331531799902</v>
      </c>
      <c r="F26" s="53">
        <f t="shared" si="28"/>
        <v>0.13807521872514486</v>
      </c>
      <c r="G26" s="53">
        <f t="shared" si="28"/>
        <v>0.12890250399573788</v>
      </c>
      <c r="H26" s="53">
        <f t="shared" si="28"/>
        <v>0.1381953446429578</v>
      </c>
      <c r="I26" s="53">
        <f t="shared" si="28"/>
        <v>0.13296733461432886</v>
      </c>
      <c r="J26" s="81">
        <f t="shared" ref="J26" si="29">AVERAGE(D26:I26)</f>
        <v>0.13988894604044258</v>
      </c>
    </row>
  </sheetData>
  <mergeCells count="1">
    <mergeCell ref="B2:B3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D379-8545-4628-8BE5-1A7834F2D6F8}">
  <dimension ref="B2:L16"/>
  <sheetViews>
    <sheetView showGridLines="0" zoomScale="80" zoomScaleNormal="80" workbookViewId="0">
      <selection activeCell="B5" sqref="B5"/>
    </sheetView>
  </sheetViews>
  <sheetFormatPr defaultRowHeight="15" x14ac:dyDescent="0.25"/>
  <cols>
    <col min="1" max="1" width="2" bestFit="1" customWidth="1"/>
    <col min="2" max="2" width="35.7109375" customWidth="1"/>
    <col min="3" max="3" width="2" bestFit="1" customWidth="1"/>
    <col min="4" max="4" width="10.140625" bestFit="1" customWidth="1"/>
    <col min="6" max="6" width="23.5703125" bestFit="1" customWidth="1"/>
    <col min="8" max="8" width="7.7109375" bestFit="1" customWidth="1"/>
    <col min="11" max="11" width="10.140625" customWidth="1"/>
    <col min="12" max="12" width="11.7109375" customWidth="1"/>
  </cols>
  <sheetData>
    <row r="2" spans="2:12" x14ac:dyDescent="0.25">
      <c r="B2" s="324"/>
    </row>
    <row r="3" spans="2:12" x14ac:dyDescent="0.25">
      <c r="B3" s="324"/>
    </row>
    <row r="5" spans="2:12" x14ac:dyDescent="0.25">
      <c r="B5" s="246" t="s">
        <v>183</v>
      </c>
      <c r="C5" s="247"/>
      <c r="D5" s="248">
        <f>'Regression Beta'!B16</f>
        <v>45659</v>
      </c>
    </row>
    <row r="6" spans="2:12" x14ac:dyDescent="0.25">
      <c r="F6" s="326" t="s">
        <v>193</v>
      </c>
      <c r="G6" s="326"/>
      <c r="H6" s="326"/>
      <c r="J6" s="326" t="s">
        <v>200</v>
      </c>
      <c r="K6" s="326"/>
      <c r="L6" s="326"/>
    </row>
    <row r="7" spans="2:12" x14ac:dyDescent="0.25">
      <c r="B7" s="43" t="s">
        <v>184</v>
      </c>
      <c r="D7" s="221">
        <v>4.5699999999999998E-2</v>
      </c>
      <c r="F7" s="117" t="s">
        <v>184</v>
      </c>
      <c r="G7" s="117"/>
      <c r="H7" s="126">
        <f>D7</f>
        <v>4.5699999999999998E-2</v>
      </c>
      <c r="J7" s="39" t="s">
        <v>197</v>
      </c>
      <c r="L7" s="52">
        <f>_xlfn.RRI(3,'Regression Beta'!H164,'Regression Beta'!H8)</f>
        <v>8.3092663534763744E-2</v>
      </c>
    </row>
    <row r="8" spans="2:12" x14ac:dyDescent="0.25">
      <c r="B8" s="117" t="s">
        <v>185</v>
      </c>
      <c r="D8" s="223" t="s">
        <v>187</v>
      </c>
      <c r="F8" s="39" t="s">
        <v>194</v>
      </c>
      <c r="H8" s="89">
        <f>'Regression Beta'!E7</f>
        <v>1.4674009106547579</v>
      </c>
      <c r="J8" s="39" t="s">
        <v>198</v>
      </c>
      <c r="L8" s="53">
        <f>H7</f>
        <v>4.5699999999999998E-2</v>
      </c>
    </row>
    <row r="9" spans="2:12" x14ac:dyDescent="0.25">
      <c r="B9" s="117" t="s">
        <v>186</v>
      </c>
      <c r="D9" s="221">
        <v>1.2E-2</v>
      </c>
      <c r="F9" s="39" t="s">
        <v>195</v>
      </c>
      <c r="H9" s="53">
        <v>4.3299999999999998E-2</v>
      </c>
      <c r="J9" s="140" t="s">
        <v>199</v>
      </c>
      <c r="K9" s="140"/>
      <c r="L9" s="141">
        <f>L7-L8</f>
        <v>3.7392663534763747E-2</v>
      </c>
    </row>
    <row r="10" spans="2:12" x14ac:dyDescent="0.25">
      <c r="B10" s="142" t="s">
        <v>188</v>
      </c>
      <c r="C10" s="140"/>
      <c r="D10" s="141">
        <f>D7+D9</f>
        <v>5.7700000000000001E-2</v>
      </c>
      <c r="F10" s="140" t="s">
        <v>196</v>
      </c>
      <c r="G10" s="140"/>
      <c r="H10" s="141">
        <f>(H7+H8)*H9</f>
        <v>6.5517269431351013E-2</v>
      </c>
    </row>
    <row r="12" spans="2:12" x14ac:dyDescent="0.25">
      <c r="B12" s="143" t="s">
        <v>189</v>
      </c>
      <c r="C12" s="144"/>
      <c r="D12" s="145">
        <f>-D14/SUM(D15:D16)</f>
        <v>6.5211358801220976E-3</v>
      </c>
      <c r="F12" s="138" t="s">
        <v>201</v>
      </c>
      <c r="G12" s="139"/>
      <c r="H12" s="135">
        <f>H14*D10*(1-H13)+H15*H10</f>
        <v>5.2613974542639698E-2</v>
      </c>
    </row>
    <row r="13" spans="2:12" x14ac:dyDescent="0.25">
      <c r="F13" t="s">
        <v>173</v>
      </c>
      <c r="H13" s="52">
        <f>FCFF!$D$10</f>
        <v>0.17625317475043112</v>
      </c>
    </row>
    <row r="14" spans="2:12" x14ac:dyDescent="0.25">
      <c r="B14" t="s">
        <v>190</v>
      </c>
      <c r="D14" s="70">
        <f>'GM-I.S.'!I27</f>
        <v>-846</v>
      </c>
      <c r="F14" t="s">
        <v>202</v>
      </c>
      <c r="H14" s="53">
        <f>FCFF!D50</f>
        <v>0.71736471956649384</v>
      </c>
    </row>
    <row r="15" spans="2:12" x14ac:dyDescent="0.25">
      <c r="B15" t="s">
        <v>191</v>
      </c>
      <c r="D15" s="70">
        <f>'GM-B.S.'!I40</f>
        <v>90300</v>
      </c>
      <c r="F15" t="s">
        <v>203</v>
      </c>
      <c r="H15" s="53">
        <f>FCFF!D51</f>
        <v>0.28263528043350616</v>
      </c>
    </row>
    <row r="16" spans="2:12" x14ac:dyDescent="0.25">
      <c r="B16" t="s">
        <v>192</v>
      </c>
      <c r="D16" s="70">
        <f>'GM-B.S.'!I32</f>
        <v>39432</v>
      </c>
    </row>
  </sheetData>
  <mergeCells count="3">
    <mergeCell ref="B2:B3"/>
    <mergeCell ref="F6:H6"/>
    <mergeCell ref="J6:L6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B002-E5B9-440C-AF48-ED65441F9685}">
  <dimension ref="B1:W51"/>
  <sheetViews>
    <sheetView showGridLines="0" zoomScale="80" zoomScaleNormal="80" workbookViewId="0">
      <pane xSplit="2" ySplit="7" topLeftCell="C9" activePane="bottomRight" state="frozen"/>
      <selection pane="topRight" activeCell="C1" sqref="C1"/>
      <selection pane="bottomLeft" activeCell="A7" sqref="A7"/>
      <selection pane="bottomRight" activeCell="B5" sqref="B5"/>
    </sheetView>
  </sheetViews>
  <sheetFormatPr defaultRowHeight="15" x14ac:dyDescent="0.25"/>
  <cols>
    <col min="1" max="1" width="2" bestFit="1" customWidth="1"/>
    <col min="2" max="2" width="46.28515625" bestFit="1" customWidth="1"/>
    <col min="3" max="3" width="2" bestFit="1" customWidth="1"/>
    <col min="4" max="4" width="17.85546875" bestFit="1" customWidth="1"/>
    <col min="5" max="5" width="12.7109375" bestFit="1" customWidth="1"/>
    <col min="6" max="6" width="17.85546875" bestFit="1" customWidth="1"/>
    <col min="7" max="7" width="12.7109375" bestFit="1" customWidth="1"/>
    <col min="8" max="8" width="17.42578125" bestFit="1" customWidth="1"/>
    <col min="9" max="9" width="10.28515625" bestFit="1" customWidth="1"/>
    <col min="10" max="10" width="11.7109375" bestFit="1" customWidth="1"/>
    <col min="16" max="16" width="2.28515625" bestFit="1" customWidth="1"/>
  </cols>
  <sheetData>
    <row r="1" spans="2:10" ht="15" customHeight="1" x14ac:dyDescent="0.25"/>
    <row r="2" spans="2:10" ht="15" customHeight="1" x14ac:dyDescent="0.25">
      <c r="B2" s="325"/>
    </row>
    <row r="3" spans="2:10" ht="15" customHeight="1" x14ac:dyDescent="0.25">
      <c r="B3" s="325"/>
    </row>
    <row r="4" spans="2:10" ht="15" customHeight="1" x14ac:dyDescent="0.25">
      <c r="B4" s="162"/>
      <c r="D4" s="121">
        <f>J10</f>
        <v>0.9945205479452055</v>
      </c>
      <c r="E4" s="121">
        <f>D4+1</f>
        <v>1.9945205479452055</v>
      </c>
      <c r="F4" s="121">
        <f t="shared" ref="F4:H4" si="0">E4+1</f>
        <v>2.9945205479452053</v>
      </c>
      <c r="G4" s="121">
        <f t="shared" si="0"/>
        <v>3.9945205479452053</v>
      </c>
      <c r="H4" s="121">
        <f t="shared" si="0"/>
        <v>4.9945205479452053</v>
      </c>
    </row>
    <row r="5" spans="2:10" x14ac:dyDescent="0.25">
      <c r="B5" s="27" t="s">
        <v>211</v>
      </c>
      <c r="C5" s="27"/>
      <c r="D5" s="17">
        <f>'Debt Schedule'!D5</f>
        <v>12</v>
      </c>
      <c r="E5" s="17">
        <f>'Debt Schedule'!E5</f>
        <v>12</v>
      </c>
      <c r="F5" s="17">
        <f>'Debt Schedule'!F5</f>
        <v>12</v>
      </c>
      <c r="G5" s="17">
        <f>'Debt Schedule'!G5</f>
        <v>12</v>
      </c>
      <c r="H5" s="17">
        <f>'Debt Schedule'!H5</f>
        <v>12</v>
      </c>
      <c r="J5" s="38" t="str">
        <f>'Regression Beta'!B15</f>
        <v>Valuation Date</v>
      </c>
    </row>
    <row r="6" spans="2:10" x14ac:dyDescent="0.25">
      <c r="B6" s="31"/>
      <c r="C6" s="31"/>
      <c r="D6" s="133">
        <f>'Debt Schedule'!D6</f>
        <v>46022</v>
      </c>
      <c r="E6" s="133">
        <f>'Debt Schedule'!E6</f>
        <v>46387</v>
      </c>
      <c r="F6" s="133">
        <f>'Debt Schedule'!F6</f>
        <v>46752</v>
      </c>
      <c r="G6" s="133">
        <f>'Debt Schedule'!G6</f>
        <v>47118</v>
      </c>
      <c r="H6" s="133">
        <f>'Debt Schedule'!H6</f>
        <v>47483</v>
      </c>
      <c r="J6" s="114">
        <f>'Regression Beta'!B16</f>
        <v>45659</v>
      </c>
    </row>
    <row r="7" spans="2:10" x14ac:dyDescent="0.25">
      <c r="B7" s="29"/>
      <c r="C7" s="29"/>
      <c r="D7" s="50" t="str">
        <f>'Debt Schedule'!D7</f>
        <v>Projections</v>
      </c>
      <c r="E7" s="50" t="str">
        <f>'Debt Schedule'!E7</f>
        <v>Projections</v>
      </c>
      <c r="F7" s="50" t="str">
        <f>'Debt Schedule'!F7</f>
        <v>Projections</v>
      </c>
      <c r="G7" s="50" t="str">
        <f>'Debt Schedule'!G7</f>
        <v>Projections</v>
      </c>
      <c r="H7" s="50" t="str">
        <f>'Debt Schedule'!H7</f>
        <v>Projections</v>
      </c>
      <c r="J7" s="38" t="str">
        <f>'Regression Beta'!B17</f>
        <v>First Projection Date</v>
      </c>
    </row>
    <row r="8" spans="2:10" x14ac:dyDescent="0.25">
      <c r="B8" s="45" t="s">
        <v>204</v>
      </c>
      <c r="C8" s="8"/>
      <c r="D8" s="128"/>
      <c r="E8" s="128"/>
      <c r="F8" s="128"/>
      <c r="G8" s="128"/>
      <c r="H8" s="128"/>
      <c r="J8" s="93">
        <f>'Regression Beta'!B18</f>
        <v>46022</v>
      </c>
    </row>
    <row r="9" spans="2:10" x14ac:dyDescent="0.25">
      <c r="B9" s="4" t="s">
        <v>205</v>
      </c>
      <c r="C9" s="8"/>
      <c r="D9" s="129">
        <f>'GM-I.S.'!J25</f>
        <v>11942.405806864972</v>
      </c>
      <c r="E9" s="130">
        <f>'GM-I.S.'!K25</f>
        <v>12847.810673179905</v>
      </c>
      <c r="F9" s="130">
        <f>'GM-I.S.'!L25</f>
        <v>13832.975239817879</v>
      </c>
      <c r="G9" s="130">
        <f>'GM-I.S.'!M25</f>
        <v>14905.069013668843</v>
      </c>
      <c r="H9" s="130">
        <f>'GM-I.S.'!N25</f>
        <v>16071.959639572065</v>
      </c>
      <c r="J9" s="115" t="str">
        <f>'Regression Beta'!B19</f>
        <v>Diff.</v>
      </c>
    </row>
    <row r="10" spans="2:10" x14ac:dyDescent="0.25">
      <c r="B10" s="4" t="s">
        <v>173</v>
      </c>
      <c r="C10" s="8"/>
      <c r="D10" s="131">
        <f>-'GM-I.S.'!$J$42</f>
        <v>0.17625317475043112</v>
      </c>
      <c r="E10" s="131">
        <f>-'GM-I.S.'!$J$42</f>
        <v>0.17625317475043112</v>
      </c>
      <c r="F10" s="131">
        <f>-'GM-I.S.'!$J$42</f>
        <v>0.17625317475043112</v>
      </c>
      <c r="G10" s="131">
        <f>-'GM-I.S.'!$J$42</f>
        <v>0.17625317475043112</v>
      </c>
      <c r="H10" s="131">
        <f>-'GM-I.S.'!$J$42</f>
        <v>0.17625317475043112</v>
      </c>
      <c r="J10" s="120">
        <f>'Regression Beta'!B20</f>
        <v>0.9945205479452055</v>
      </c>
    </row>
    <row r="11" spans="2:10" x14ac:dyDescent="0.25">
      <c r="B11" s="4" t="s">
        <v>206</v>
      </c>
      <c r="C11" s="8"/>
      <c r="D11" s="130">
        <f>D9*(1-D10)</f>
        <v>9837.5188692470365</v>
      </c>
      <c r="E11" s="130">
        <f t="shared" ref="E11:H11" si="1">E9*(1-E10)</f>
        <v>10583.343253439474</v>
      </c>
      <c r="F11" s="130">
        <f t="shared" si="1"/>
        <v>11394.869437555872</v>
      </c>
      <c r="G11" s="130">
        <f t="shared" si="1"/>
        <v>12278.003280135432</v>
      </c>
      <c r="H11" s="130">
        <f t="shared" si="1"/>
        <v>13239.225728636695</v>
      </c>
    </row>
    <row r="12" spans="2:10" x14ac:dyDescent="0.25">
      <c r="B12" s="4" t="s">
        <v>207</v>
      </c>
      <c r="C12" s="8"/>
      <c r="D12" s="130">
        <f>'GM-I.S.'!J24</f>
        <v>13463.719562220347</v>
      </c>
      <c r="E12" s="130">
        <f>'GM-I.S.'!K24</f>
        <v>14484.461731551637</v>
      </c>
      <c r="F12" s="130">
        <f>'GM-I.S.'!L24</f>
        <v>15595.123993608209</v>
      </c>
      <c r="G12" s="130">
        <f>'GM-I.S.'!M24</f>
        <v>16803.789161160475</v>
      </c>
      <c r="H12" s="130">
        <f>'GM-I.S.'!N24</f>
        <v>18119.327119007619</v>
      </c>
    </row>
    <row r="13" spans="2:10" x14ac:dyDescent="0.25">
      <c r="B13" s="4" t="s">
        <v>208</v>
      </c>
      <c r="C13" s="8"/>
      <c r="D13" s="130">
        <f>SUM('GM-C.F.S.'!D13:D17)</f>
        <v>11755.767477422454</v>
      </c>
      <c r="E13" s="130">
        <f>SUM('GM-C.F.S.'!E13:E17)</f>
        <v>2543.0206773136961</v>
      </c>
      <c r="F13" s="130">
        <f>SUM('GM-C.F.S.'!F13:F17)</f>
        <v>2767.0426311202773</v>
      </c>
      <c r="G13" s="130">
        <f>SUM('GM-C.F.S.'!G13:G17)</f>
        <v>3011.2016583461555</v>
      </c>
      <c r="H13" s="130">
        <f>SUM('GM-C.F.S.'!H13:H17)</f>
        <v>3277.458626783291</v>
      </c>
    </row>
    <row r="14" spans="2:10" x14ac:dyDescent="0.25">
      <c r="B14" s="4" t="s">
        <v>209</v>
      </c>
      <c r="C14" s="8"/>
      <c r="D14" s="130">
        <f>'GM-C.F.S.'!D22</f>
        <v>-17102.670368648556</v>
      </c>
      <c r="E14" s="130">
        <f>'GM-C.F.S.'!E22</f>
        <v>-21090.080175006944</v>
      </c>
      <c r="F14" s="130">
        <f>'GM-C.F.S.'!F22</f>
        <v>-22782.650230029969</v>
      </c>
      <c r="G14" s="130">
        <f>'GM-C.F.S.'!G22</f>
        <v>-24625.530206674171</v>
      </c>
      <c r="H14" s="130">
        <f>'GM-C.F.S.'!H22</f>
        <v>-26632.683438080443</v>
      </c>
    </row>
    <row r="15" spans="2:10" ht="15.75" thickBot="1" x14ac:dyDescent="0.3">
      <c r="B15" s="14" t="s">
        <v>210</v>
      </c>
      <c r="C15" s="14"/>
      <c r="D15" s="132">
        <f>D11+D12+D13+D14</f>
        <v>17954.335540241285</v>
      </c>
      <c r="E15" s="132">
        <f t="shared" ref="E15:H15" si="2">E11+E12+E13+E14</f>
        <v>6520.7454872978633</v>
      </c>
      <c r="F15" s="132">
        <f t="shared" si="2"/>
        <v>6974.3858322543892</v>
      </c>
      <c r="G15" s="132">
        <f t="shared" si="2"/>
        <v>7467.4638929678913</v>
      </c>
      <c r="H15" s="132">
        <f t="shared" si="2"/>
        <v>8003.328036347164</v>
      </c>
    </row>
    <row r="16" spans="2:10" ht="15.75" thickTop="1" x14ac:dyDescent="0.25"/>
    <row r="17" spans="2:23" x14ac:dyDescent="0.25">
      <c r="B17" s="75" t="s">
        <v>201</v>
      </c>
      <c r="D17" s="52">
        <f>WACC!H12</f>
        <v>5.2613974542639698E-2</v>
      </c>
      <c r="E17" s="2"/>
      <c r="F17" s="2"/>
      <c r="G17" s="2"/>
      <c r="H17" s="2"/>
    </row>
    <row r="18" spans="2:23" x14ac:dyDescent="0.25">
      <c r="B18" s="75" t="s">
        <v>212</v>
      </c>
      <c r="D18" s="221">
        <v>2.53E-2</v>
      </c>
      <c r="F18" s="2"/>
      <c r="G18" s="2"/>
      <c r="H18" s="2"/>
    </row>
    <row r="19" spans="2:23" x14ac:dyDescent="0.25">
      <c r="D19" s="2"/>
      <c r="E19" s="2"/>
      <c r="F19" s="2"/>
      <c r="G19" s="2"/>
      <c r="H19" s="2"/>
    </row>
    <row r="20" spans="2:23" x14ac:dyDescent="0.25">
      <c r="B20" s="39" t="s">
        <v>213</v>
      </c>
      <c r="D20" s="70">
        <f>PV($D$17,D4,0,-D15,0)</f>
        <v>17061.69713516612</v>
      </c>
      <c r="E20" s="70">
        <f>PV($D$17,E4,0,-E15,0)</f>
        <v>5886.8234237296792</v>
      </c>
      <c r="F20" s="70">
        <f>PV($D$17,F4,0,-F15,0)</f>
        <v>5981.644489638461</v>
      </c>
      <c r="G20" s="70">
        <f>PV($D$17,G4,0,-G15,0)</f>
        <v>6084.4121972371395</v>
      </c>
      <c r="H20" s="70">
        <f>PV($D$17,H4,0,-H15,0)</f>
        <v>6195.0809185491144</v>
      </c>
      <c r="I20" t="s">
        <v>232</v>
      </c>
      <c r="J20" s="70"/>
    </row>
    <row r="21" spans="2:23" x14ac:dyDescent="0.25">
      <c r="B21" s="39" t="s">
        <v>214</v>
      </c>
      <c r="D21" s="80">
        <f>1/(1+$D$17)^D4</f>
        <v>0.95028284933884166</v>
      </c>
      <c r="E21" s="80">
        <f>1/(1+$D$17)^E4</f>
        <v>0.90278380519481438</v>
      </c>
      <c r="F21" s="80">
        <f>1/(1+$D$17)^F4</f>
        <v>0.85765895858172847</v>
      </c>
      <c r="G21" s="80">
        <f>1/(1+$D$17)^G4</f>
        <v>0.81478963734485932</v>
      </c>
      <c r="H21" s="80">
        <f>1/(1+$D$17)^H4</f>
        <v>0.77406310105172704</v>
      </c>
    </row>
    <row r="22" spans="2:23" x14ac:dyDescent="0.25">
      <c r="B22" s="39"/>
      <c r="D22" s="70">
        <f>D15*D21</f>
        <v>17061.69713516612</v>
      </c>
      <c r="E22" s="70">
        <f t="shared" ref="E22:H22" si="3">E15*E21</f>
        <v>5886.8234237296792</v>
      </c>
      <c r="F22" s="70">
        <f t="shared" si="3"/>
        <v>5981.644489638461</v>
      </c>
      <c r="G22" s="70">
        <f t="shared" si="3"/>
        <v>6084.4121972371395</v>
      </c>
      <c r="H22" s="70">
        <f t="shared" si="3"/>
        <v>6195.0809185491153</v>
      </c>
      <c r="I22" t="s">
        <v>233</v>
      </c>
    </row>
    <row r="23" spans="2:23" x14ac:dyDescent="0.25">
      <c r="B23" s="43" t="s">
        <v>215</v>
      </c>
      <c r="D23" s="119">
        <f>SUM(D22:H22)</f>
        <v>41209.658164320514</v>
      </c>
      <c r="E23" s="2"/>
      <c r="F23" s="2"/>
      <c r="G23" s="2"/>
      <c r="H23" s="2"/>
    </row>
    <row r="24" spans="2:23" x14ac:dyDescent="0.25">
      <c r="B24" s="39"/>
      <c r="D24" s="2"/>
      <c r="E24" s="2"/>
      <c r="F24" s="2"/>
      <c r="G24" s="2"/>
      <c r="H24" s="2"/>
    </row>
    <row r="25" spans="2:23" x14ac:dyDescent="0.25">
      <c r="B25" s="39"/>
      <c r="D25" s="42" t="s">
        <v>234</v>
      </c>
      <c r="E25" s="2"/>
      <c r="F25" s="42" t="s">
        <v>235</v>
      </c>
      <c r="G25" s="2"/>
      <c r="H25" s="2"/>
    </row>
    <row r="26" spans="2:23" x14ac:dyDescent="0.25">
      <c r="B26" s="43" t="s">
        <v>216</v>
      </c>
      <c r="D26" s="70">
        <f>(H15*(1+D18))/(D17-D18)</f>
        <v>300425.41860236047</v>
      </c>
      <c r="E26" s="2"/>
      <c r="F26" s="70">
        <f>'GM-I.S.'!N19*FCFF!H26</f>
        <v>283787.68009621144</v>
      </c>
      <c r="G26" s="42" t="s">
        <v>236</v>
      </c>
      <c r="H26" s="236">
        <v>8.3000000000000007</v>
      </c>
    </row>
    <row r="27" spans="2:23" x14ac:dyDescent="0.25">
      <c r="B27" s="39"/>
      <c r="D27" s="2"/>
      <c r="E27" s="2"/>
      <c r="F27" s="2"/>
      <c r="G27" s="2"/>
      <c r="H27" s="2"/>
    </row>
    <row r="28" spans="2:23" x14ac:dyDescent="0.25">
      <c r="B28" s="39" t="s">
        <v>217</v>
      </c>
      <c r="D28" s="70">
        <f>D26*H21</f>
        <v>232548.23115810635</v>
      </c>
      <c r="E28" s="2"/>
      <c r="F28" s="70">
        <f>F26*H21</f>
        <v>219669.57169554889</v>
      </c>
      <c r="G28" s="2"/>
      <c r="H28" s="2"/>
      <c r="I28" s="327" t="s">
        <v>411</v>
      </c>
      <c r="J28" s="328"/>
      <c r="K28" s="328"/>
      <c r="L28" s="328"/>
      <c r="M28" s="328"/>
      <c r="N28" s="328"/>
      <c r="O28" s="329"/>
      <c r="Q28" s="327" t="s">
        <v>412</v>
      </c>
      <c r="R28" s="328"/>
      <c r="S28" s="328"/>
      <c r="T28" s="328"/>
      <c r="U28" s="328"/>
      <c r="V28" s="328"/>
      <c r="W28" s="329"/>
    </row>
    <row r="29" spans="2:23" x14ac:dyDescent="0.25">
      <c r="B29" s="39" t="s">
        <v>218</v>
      </c>
      <c r="D29" s="70">
        <f>D28+D23</f>
        <v>273757.88932242687</v>
      </c>
      <c r="E29" s="2"/>
      <c r="F29" s="70">
        <f>F28+D23</f>
        <v>260879.2298598694</v>
      </c>
      <c r="G29" s="2"/>
      <c r="H29" s="2"/>
      <c r="I29" s="293">
        <f>D42</f>
        <v>163.74849953783303</v>
      </c>
      <c r="J29" s="250">
        <v>0.01</v>
      </c>
      <c r="K29" s="250">
        <f>J29+0.5%</f>
        <v>1.4999999999999999E-2</v>
      </c>
      <c r="L29" s="234">
        <f t="shared" ref="L29:O29" si="4">K29+0.5%</f>
        <v>0.02</v>
      </c>
      <c r="M29" s="235">
        <f>D18</f>
        <v>2.53E-2</v>
      </c>
      <c r="N29" s="234">
        <f t="shared" si="4"/>
        <v>3.0300000000000001E-2</v>
      </c>
      <c r="O29" s="251">
        <f t="shared" si="4"/>
        <v>3.5299999999999998E-2</v>
      </c>
      <c r="Q29" s="293">
        <f>F42</f>
        <v>151.2437555664896</v>
      </c>
      <c r="R29" s="267">
        <v>7</v>
      </c>
      <c r="S29" s="268">
        <f>R29+0.5</f>
        <v>7.5</v>
      </c>
      <c r="T29" s="269">
        <f t="shared" ref="T29:W29" si="5">S29+0.5</f>
        <v>8</v>
      </c>
      <c r="U29" s="270">
        <f>H26</f>
        <v>8.3000000000000007</v>
      </c>
      <c r="V29" s="269">
        <f t="shared" si="5"/>
        <v>8.8000000000000007</v>
      </c>
      <c r="W29" s="271">
        <f t="shared" si="5"/>
        <v>9.3000000000000007</v>
      </c>
    </row>
    <row r="30" spans="2:23" x14ac:dyDescent="0.25">
      <c r="B30" s="43" t="s">
        <v>219</v>
      </c>
      <c r="D30" s="2"/>
      <c r="E30" s="2"/>
      <c r="F30" s="2"/>
      <c r="G30" s="2"/>
      <c r="H30" s="2"/>
      <c r="I30" s="266">
        <v>0.04</v>
      </c>
      <c r="J30" s="73">
        <f t="dataTable" ref="J30:O38" dt2D="1" dtr="1" r1="D18" r2="D17"/>
        <v>154.24997299838259</v>
      </c>
      <c r="K30" s="73">
        <v>198.5438279827741</v>
      </c>
      <c r="L30" s="73">
        <v>264.98461045936153</v>
      </c>
      <c r="M30" s="73">
        <v>264.98461045936153</v>
      </c>
      <c r="N30" s="73">
        <v>375.71924792034048</v>
      </c>
      <c r="O30" s="308">
        <v>1261.5963476081731</v>
      </c>
      <c r="Q30" s="266">
        <v>0.04</v>
      </c>
      <c r="R30" s="320">
        <f t="dataTable" ref="R30:W38" dt2D="1" dtr="1" r1="H26" r2="D17" ca="1"/>
        <v>130.21801397714748</v>
      </c>
      <c r="S30" s="320">
        <v>143.8643553431566</v>
      </c>
      <c r="T30" s="320">
        <v>157.51069670916573</v>
      </c>
      <c r="U30" s="320">
        <v>157.51069670916573</v>
      </c>
      <c r="V30" s="320">
        <v>171.15703807517485</v>
      </c>
      <c r="W30" s="308">
        <v>198.44972080719316</v>
      </c>
    </row>
    <row r="31" spans="2:23" x14ac:dyDescent="0.25">
      <c r="B31" s="39" t="s">
        <v>220</v>
      </c>
      <c r="D31" s="70">
        <f>'GM-B.S.'!I11</f>
        <v>7265</v>
      </c>
      <c r="E31" s="70"/>
      <c r="F31" s="70">
        <f>'GM-B.S.'!I11</f>
        <v>7265</v>
      </c>
      <c r="G31" s="2"/>
      <c r="H31" s="2"/>
      <c r="I31" s="261">
        <f>I30+0.5%</f>
        <v>4.4999999999999998E-2</v>
      </c>
      <c r="J31" s="73">
        <v>118.67024035242336</v>
      </c>
      <c r="K31" s="73">
        <v>149.70833496353609</v>
      </c>
      <c r="L31" s="73">
        <v>193.16166741909402</v>
      </c>
      <c r="M31" s="73">
        <v>193.16166741909402</v>
      </c>
      <c r="N31" s="73">
        <v>258.34166610243074</v>
      </c>
      <c r="O31" s="308">
        <v>584.24165951911482</v>
      </c>
      <c r="Q31" s="261">
        <f>Q30+0.5%</f>
        <v>4.4999999999999998E-2</v>
      </c>
      <c r="R31" s="320">
        <v>125.20565773632686</v>
      </c>
      <c r="S31" s="320">
        <v>138.52899092221358</v>
      </c>
      <c r="T31" s="320">
        <v>151.85232410810028</v>
      </c>
      <c r="U31" s="320">
        <v>151.85232410810028</v>
      </c>
      <c r="V31" s="320">
        <v>165.17565729398697</v>
      </c>
      <c r="W31" s="308">
        <v>191.82232366576039</v>
      </c>
    </row>
    <row r="32" spans="2:23" ht="15.75" thickBot="1" x14ac:dyDescent="0.3">
      <c r="B32" s="116" t="s">
        <v>221</v>
      </c>
      <c r="C32" s="118"/>
      <c r="D32" s="272">
        <f>D31+D29</f>
        <v>281022.88932242687</v>
      </c>
      <c r="E32" s="273"/>
      <c r="F32" s="272">
        <f>F31+F29</f>
        <v>268144.2298598694</v>
      </c>
      <c r="G32" s="2"/>
      <c r="H32" s="2"/>
      <c r="I32" s="262">
        <f t="shared" ref="I32:I38" si="6">I31+0.5%</f>
        <v>4.9999999999999996E-2</v>
      </c>
      <c r="J32" s="73">
        <v>91.981069874010117</v>
      </c>
      <c r="K32" s="73">
        <v>114.81999393393811</v>
      </c>
      <c r="L32" s="309">
        <v>145.2718926805089</v>
      </c>
      <c r="M32" s="310">
        <v>145.2718926805089</v>
      </c>
      <c r="N32" s="311">
        <v>187.90455092570792</v>
      </c>
      <c r="O32" s="308">
        <v>358.43518390650428</v>
      </c>
      <c r="Q32" s="262">
        <f t="shared" ref="Q32:Q38" si="7">Q31+0.5%</f>
        <v>4.9999999999999996E-2</v>
      </c>
      <c r="R32" s="320">
        <v>120.33139371049134</v>
      </c>
      <c r="S32" s="320">
        <v>133.34085174668161</v>
      </c>
      <c r="T32" s="309">
        <v>146.35030978287182</v>
      </c>
      <c r="U32" s="310">
        <v>146.35030978287182</v>
      </c>
      <c r="V32" s="311">
        <v>159.35976781906206</v>
      </c>
      <c r="W32" s="308">
        <v>185.37868389144259</v>
      </c>
    </row>
    <row r="33" spans="2:23" ht="15.75" thickTop="1" x14ac:dyDescent="0.25">
      <c r="B33" s="39"/>
      <c r="D33" s="2"/>
      <c r="E33" s="2"/>
      <c r="F33" s="2"/>
      <c r="G33" s="2"/>
      <c r="H33" s="2"/>
      <c r="I33" s="263">
        <f>D17</f>
        <v>5.2613974542639698E-2</v>
      </c>
      <c r="J33" s="73">
        <v>91.981069874010117</v>
      </c>
      <c r="K33" s="73">
        <v>114.81999393393811</v>
      </c>
      <c r="L33" s="312">
        <v>145.2718926805089</v>
      </c>
      <c r="M33" s="313">
        <v>145.2718926805089</v>
      </c>
      <c r="N33" s="314">
        <v>187.90455092570792</v>
      </c>
      <c r="O33" s="308">
        <v>358.43518390650428</v>
      </c>
      <c r="Q33" s="263">
        <f>D17</f>
        <v>5.2613974542639698E-2</v>
      </c>
      <c r="R33" s="320">
        <v>120.33139371049134</v>
      </c>
      <c r="S33" s="320">
        <v>133.34085174668161</v>
      </c>
      <c r="T33" s="312">
        <v>146.35030978287182</v>
      </c>
      <c r="U33" s="313">
        <v>146.35030978287182</v>
      </c>
      <c r="V33" s="314">
        <v>159.35976781906206</v>
      </c>
      <c r="W33" s="308">
        <v>185.37868389144259</v>
      </c>
    </row>
    <row r="34" spans="2:23" x14ac:dyDescent="0.25">
      <c r="B34" s="39" t="s">
        <v>222</v>
      </c>
      <c r="D34" s="70">
        <f>'GM-B.S.'!I40</f>
        <v>90300</v>
      </c>
      <c r="E34" s="70"/>
      <c r="F34" s="70">
        <f>'GM-B.S.'!I40</f>
        <v>90300</v>
      </c>
      <c r="G34" s="2"/>
      <c r="H34" s="2"/>
      <c r="I34" s="262">
        <f t="shared" si="6"/>
        <v>5.7613974542639695E-2</v>
      </c>
      <c r="J34" s="73">
        <v>71.218916850964362</v>
      </c>
      <c r="K34" s="73">
        <v>88.648613707939674</v>
      </c>
      <c r="L34" s="315">
        <v>111.05822395262231</v>
      </c>
      <c r="M34" s="316">
        <v>111.05822395262231</v>
      </c>
      <c r="N34" s="317">
        <v>140.93770427886577</v>
      </c>
      <c r="O34" s="308">
        <v>245.51588542071786</v>
      </c>
      <c r="Q34" s="262">
        <f t="shared" si="7"/>
        <v>5.7613974542639695E-2</v>
      </c>
      <c r="R34" s="320">
        <v>115.59074054909544</v>
      </c>
      <c r="S34" s="320">
        <v>128.29515656845152</v>
      </c>
      <c r="T34" s="315">
        <v>140.99957258780756</v>
      </c>
      <c r="U34" s="316">
        <v>140.99957258780756</v>
      </c>
      <c r="V34" s="317">
        <v>153.70398860716367</v>
      </c>
      <c r="W34" s="308">
        <v>179.11282064587576</v>
      </c>
    </row>
    <row r="35" spans="2:23" x14ac:dyDescent="0.25">
      <c r="B35" s="39" t="s">
        <v>223</v>
      </c>
      <c r="D35" s="70">
        <f>'GM-B.S.'!I32</f>
        <v>39432</v>
      </c>
      <c r="E35" s="70"/>
      <c r="F35" s="70">
        <f>'GM-B.S.'!I32</f>
        <v>39432</v>
      </c>
      <c r="G35" s="2"/>
      <c r="H35" s="2"/>
      <c r="I35" s="261">
        <f t="shared" si="6"/>
        <v>6.26139745426397E-2</v>
      </c>
      <c r="J35" s="73">
        <v>41.00975765896623</v>
      </c>
      <c r="K35" s="73">
        <v>51.996362455474596</v>
      </c>
      <c r="L35" s="73">
        <v>65.424434984540412</v>
      </c>
      <c r="M35" s="73">
        <v>65.424434984540412</v>
      </c>
      <c r="N35" s="73">
        <v>82.209525645872645</v>
      </c>
      <c r="O35" s="308">
        <v>132.56479762986939</v>
      </c>
      <c r="Q35" s="261">
        <f t="shared" si="7"/>
        <v>6.26139745426397E-2</v>
      </c>
      <c r="R35" s="320">
        <v>106.49316591109226</v>
      </c>
      <c r="S35" s="320">
        <v>118.61285325067973</v>
      </c>
      <c r="T35" s="320">
        <v>130.73254059026721</v>
      </c>
      <c r="U35" s="320">
        <v>130.73254059026721</v>
      </c>
      <c r="V35" s="320">
        <v>142.85222792985462</v>
      </c>
      <c r="W35" s="308">
        <v>167.09160260902956</v>
      </c>
    </row>
    <row r="36" spans="2:23" x14ac:dyDescent="0.25">
      <c r="B36" s="122" t="s">
        <v>224</v>
      </c>
      <c r="C36" s="123"/>
      <c r="D36" s="274">
        <f>SUM(D34:D35)</f>
        <v>129732</v>
      </c>
      <c r="E36" s="274"/>
      <c r="F36" s="274">
        <f>SUM(F34:F35)</f>
        <v>129732</v>
      </c>
      <c r="G36" s="2"/>
      <c r="H36" s="2"/>
      <c r="I36" s="261">
        <f t="shared" si="6"/>
        <v>6.7613974542639704E-2</v>
      </c>
      <c r="J36" s="73">
        <v>11.860352111866559</v>
      </c>
      <c r="K36" s="73">
        <v>18.139800452230567</v>
      </c>
      <c r="L36" s="73">
        <v>25.46582351598861</v>
      </c>
      <c r="M36" s="73">
        <v>25.46582351598861</v>
      </c>
      <c r="N36" s="73">
        <v>34.123850773157152</v>
      </c>
      <c r="O36" s="308">
        <v>57.211923458940028</v>
      </c>
      <c r="Q36" s="261">
        <f t="shared" si="7"/>
        <v>6.7613974542639704E-2</v>
      </c>
      <c r="R36" s="320">
        <v>93.746051279017962</v>
      </c>
      <c r="S36" s="320">
        <v>105.04801634578401</v>
      </c>
      <c r="T36" s="320">
        <v>116.34998141255011</v>
      </c>
      <c r="U36" s="320">
        <v>116.34998141255011</v>
      </c>
      <c r="V36" s="320">
        <v>127.65194647931615</v>
      </c>
      <c r="W36" s="308">
        <v>150.25587661284831</v>
      </c>
    </row>
    <row r="37" spans="2:23" x14ac:dyDescent="0.25">
      <c r="B37" s="39" t="s">
        <v>225</v>
      </c>
      <c r="D37" s="70">
        <f>'GM-B.S.'!I57</f>
        <v>2518</v>
      </c>
      <c r="E37" s="70"/>
      <c r="F37" s="70">
        <f>'GM-B.S.'!I57</f>
        <v>2518</v>
      </c>
      <c r="G37" s="2"/>
      <c r="H37" s="2"/>
      <c r="I37" s="261">
        <f t="shared" si="6"/>
        <v>7.2613974542639709E-2</v>
      </c>
      <c r="J37" s="73">
        <v>-11.919055738665685</v>
      </c>
      <c r="K37" s="73">
        <v>-8.4481773273040481</v>
      </c>
      <c r="L37" s="73">
        <v>-4.5434391145221831</v>
      </c>
      <c r="M37" s="73">
        <v>-4.5434391145221831</v>
      </c>
      <c r="N37" s="73">
        <v>-0.11806914003607372</v>
      </c>
      <c r="O37" s="308">
        <v>10.775149258698923</v>
      </c>
      <c r="Q37" s="261">
        <f t="shared" si="7"/>
        <v>7.2613974542639709E-2</v>
      </c>
      <c r="R37" s="320">
        <v>78.275036195208244</v>
      </c>
      <c r="S37" s="320">
        <v>88.587275380295296</v>
      </c>
      <c r="T37" s="320">
        <v>98.899514565382347</v>
      </c>
      <c r="U37" s="320">
        <v>98.899514565382347</v>
      </c>
      <c r="V37" s="320">
        <v>109.21175375046944</v>
      </c>
      <c r="W37" s="308">
        <v>129.83623212064359</v>
      </c>
    </row>
    <row r="38" spans="2:23" x14ac:dyDescent="0.25">
      <c r="B38" s="39" t="s">
        <v>226</v>
      </c>
      <c r="D38" s="70">
        <f>'GM-B.S.'!I10</f>
        <v>19872</v>
      </c>
      <c r="E38" s="70"/>
      <c r="F38" s="70">
        <f>'GM-B.S.'!I10</f>
        <v>19872</v>
      </c>
      <c r="G38" s="2"/>
      <c r="H38" s="2"/>
      <c r="I38" s="264">
        <f t="shared" si="6"/>
        <v>7.7613974542639713E-2</v>
      </c>
      <c r="J38" s="318">
        <v>-30.047542862346518</v>
      </c>
      <c r="K38" s="318">
        <v>-28.128766148848722</v>
      </c>
      <c r="L38" s="318">
        <v>-26.027248795970166</v>
      </c>
      <c r="M38" s="318">
        <v>-26.027248795970166</v>
      </c>
      <c r="N38" s="318">
        <v>-23.715579707803769</v>
      </c>
      <c r="O38" s="319">
        <v>-18.321685168748797</v>
      </c>
      <c r="Q38" s="264">
        <f t="shared" si="7"/>
        <v>7.7613974542639713E-2</v>
      </c>
      <c r="R38" s="318">
        <v>61.097738943296072</v>
      </c>
      <c r="S38" s="318">
        <v>70.315114219821098</v>
      </c>
      <c r="T38" s="318">
        <v>79.532489496346145</v>
      </c>
      <c r="U38" s="318">
        <v>79.532489496346145</v>
      </c>
      <c r="V38" s="318">
        <v>88.749864772871177</v>
      </c>
      <c r="W38" s="319">
        <v>107.18461532592124</v>
      </c>
    </row>
    <row r="39" spans="2:23" ht="15.75" thickBot="1" x14ac:dyDescent="0.3">
      <c r="B39" s="116" t="s">
        <v>227</v>
      </c>
      <c r="C39" s="118"/>
      <c r="D39" s="272">
        <f>D32-D36-D37+D38</f>
        <v>168644.88932242687</v>
      </c>
      <c r="E39" s="273"/>
      <c r="F39" s="272">
        <f>F32-F36-F37+F38</f>
        <v>155766.2298598694</v>
      </c>
      <c r="G39" s="2"/>
      <c r="H39" s="2"/>
    </row>
    <row r="40" spans="2:23" ht="15.75" thickTop="1" x14ac:dyDescent="0.25">
      <c r="B40" s="39" t="s">
        <v>228</v>
      </c>
      <c r="D40" s="224">
        <f>'Valuation-GM'!G34</f>
        <v>1029.901891</v>
      </c>
      <c r="E40" s="2"/>
      <c r="F40" s="224">
        <f>D40</f>
        <v>1029.901891</v>
      </c>
      <c r="G40" s="2"/>
      <c r="H40" s="2"/>
    </row>
    <row r="41" spans="2:23" x14ac:dyDescent="0.25">
      <c r="B41" s="39"/>
      <c r="D41" s="2"/>
      <c r="E41" s="2"/>
      <c r="F41" s="2"/>
      <c r="G41" s="2"/>
      <c r="H41" s="2"/>
    </row>
    <row r="42" spans="2:23" x14ac:dyDescent="0.25">
      <c r="B42" s="41" t="s">
        <v>229</v>
      </c>
      <c r="C42" s="38"/>
      <c r="D42" s="242">
        <f>D39/D40</f>
        <v>163.74849953783303</v>
      </c>
      <c r="E42" s="42"/>
      <c r="F42" s="242">
        <f>F39/F40</f>
        <v>151.2437555664896</v>
      </c>
      <c r="G42" s="2"/>
      <c r="H42" s="2"/>
    </row>
    <row r="43" spans="2:23" x14ac:dyDescent="0.25">
      <c r="B43" s="39"/>
      <c r="D43" s="2"/>
      <c r="E43" s="2"/>
      <c r="F43" s="2"/>
      <c r="G43" s="2"/>
      <c r="H43" s="2"/>
    </row>
    <row r="44" spans="2:23" x14ac:dyDescent="0.25">
      <c r="D44" s="42" t="str">
        <f>IF($D$47&lt;D42,"Undervalued-BUY",IF($D$47&gt;D42,"Overvalued-SELL","HOLD"))</f>
        <v>Undervalued-BUY</v>
      </c>
      <c r="E44" s="2"/>
      <c r="F44" s="42" t="str">
        <f>IF($D$47&lt;F42,"Undervalued-BUY",IF($D$47&gt;F42,"Overvalued-SELL","HOLD"))</f>
        <v>Undervalued-BUY</v>
      </c>
      <c r="G44" s="2"/>
      <c r="H44" s="124"/>
    </row>
    <row r="45" spans="2:23" x14ac:dyDescent="0.25">
      <c r="E45" s="2"/>
      <c r="F45" s="2"/>
      <c r="G45" s="2"/>
      <c r="H45" s="2"/>
    </row>
    <row r="46" spans="2:23" x14ac:dyDescent="0.25">
      <c r="B46" s="39" t="s">
        <v>237</v>
      </c>
      <c r="D46" s="225">
        <f>'Valuation-GM'!G33*10^6</f>
        <v>995001891</v>
      </c>
      <c r="E46" s="2"/>
      <c r="F46" s="2"/>
      <c r="G46" s="2"/>
      <c r="H46" s="125"/>
    </row>
    <row r="47" spans="2:23" x14ac:dyDescent="0.25">
      <c r="B47" s="39" t="s">
        <v>164</v>
      </c>
      <c r="D47" s="70">
        <f>'Valuation-GM'!D36</f>
        <v>51.37</v>
      </c>
      <c r="E47" s="2"/>
      <c r="F47" s="2"/>
      <c r="G47" s="2"/>
      <c r="H47" s="2"/>
    </row>
    <row r="48" spans="2:23" x14ac:dyDescent="0.25">
      <c r="B48" s="39" t="s">
        <v>230</v>
      </c>
      <c r="D48" s="70">
        <f>PRODUCT(D46:D47)/10^6</f>
        <v>51113.247140669999</v>
      </c>
    </row>
    <row r="49" spans="2:4" x14ac:dyDescent="0.25">
      <c r="B49" s="39" t="s">
        <v>231</v>
      </c>
      <c r="D49" s="70">
        <f>D36</f>
        <v>129732</v>
      </c>
    </row>
    <row r="50" spans="2:4" x14ac:dyDescent="0.25">
      <c r="B50" s="39" t="s">
        <v>202</v>
      </c>
      <c r="D50" s="52">
        <f>D49/SUM(D48:D49)</f>
        <v>0.71736471956649384</v>
      </c>
    </row>
    <row r="51" spans="2:4" x14ac:dyDescent="0.25">
      <c r="B51" s="39" t="s">
        <v>203</v>
      </c>
      <c r="D51" s="53">
        <f>1-D50</f>
        <v>0.28263528043350616</v>
      </c>
    </row>
  </sheetData>
  <mergeCells count="3">
    <mergeCell ref="B2:B3"/>
    <mergeCell ref="I28:O28"/>
    <mergeCell ref="Q28:W28"/>
  </mergeCells>
  <conditionalFormatting sqref="D44">
    <cfRule type="cellIs" dxfId="3" priority="4" operator="equal">
      <formula>"HOLD"</formula>
    </cfRule>
    <cfRule type="cellIs" dxfId="4" priority="5" operator="equal">
      <formula>"Overvalued-SELL"</formula>
    </cfRule>
    <cfRule type="cellIs" dxfId="5" priority="6" operator="equal">
      <formula>"Undervalued-BUY"</formula>
    </cfRule>
  </conditionalFormatting>
  <conditionalFormatting sqref="F44">
    <cfRule type="cellIs" dxfId="2" priority="1" operator="equal">
      <formula>"HOLD"</formula>
    </cfRule>
    <cfRule type="cellIs" dxfId="1" priority="2" operator="equal">
      <formula>"Overvalued-SELL"</formula>
    </cfRule>
    <cfRule type="cellIs" dxfId="0" priority="3" operator="equal">
      <formula>"Undervalued-BUY"</formula>
    </cfRule>
  </conditionalFormatting>
  <pageMargins left="0.7" right="0.7" top="0.75" bottom="0.75" header="0.3" footer="0.3"/>
  <ignoredErrors>
    <ignoredError sqref="M29 I33 Q33 U29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768C-E874-4D5B-A302-3ED6E04CDB9F}">
  <dimension ref="B5:H17"/>
  <sheetViews>
    <sheetView showGridLines="0" zoomScale="95" zoomScaleNormal="80" workbookViewId="0">
      <selection activeCell="B5" sqref="B5:F5"/>
    </sheetView>
  </sheetViews>
  <sheetFormatPr defaultRowHeight="15" x14ac:dyDescent="0.25"/>
  <cols>
    <col min="1" max="1" width="2.28515625" bestFit="1" customWidth="1"/>
    <col min="2" max="2" width="25" bestFit="1" customWidth="1"/>
    <col min="3" max="3" width="2.28515625" bestFit="1" customWidth="1"/>
    <col min="5" max="5" width="12" bestFit="1" customWidth="1"/>
  </cols>
  <sheetData>
    <row r="5" spans="2:8" ht="20.25" x14ac:dyDescent="0.3">
      <c r="B5" s="330" t="s">
        <v>413</v>
      </c>
      <c r="C5" s="331"/>
      <c r="D5" s="331"/>
      <c r="E5" s="331"/>
      <c r="F5" s="332"/>
    </row>
    <row r="6" spans="2:8" x14ac:dyDescent="0.25">
      <c r="G6" s="333" t="s">
        <v>433</v>
      </c>
      <c r="H6" s="334"/>
    </row>
    <row r="7" spans="2:8" x14ac:dyDescent="0.25">
      <c r="B7" s="108" t="s">
        <v>414</v>
      </c>
      <c r="C7" s="108"/>
      <c r="D7" s="243" t="s">
        <v>246</v>
      </c>
      <c r="E7" s="243" t="s">
        <v>415</v>
      </c>
      <c r="F7" s="243" t="s">
        <v>247</v>
      </c>
      <c r="G7" s="159" t="s">
        <v>246</v>
      </c>
      <c r="H7" s="159" t="s">
        <v>247</v>
      </c>
    </row>
    <row r="8" spans="2:8" x14ac:dyDescent="0.25">
      <c r="B8" s="4" t="s">
        <v>416</v>
      </c>
      <c r="C8" s="8"/>
      <c r="D8" s="35">
        <f>FCFF!L34</f>
        <v>111.05822395262231</v>
      </c>
      <c r="E8" s="35">
        <f>F8-D8</f>
        <v>76.84632697308561</v>
      </c>
      <c r="F8" s="35">
        <f>FCFF!N32</f>
        <v>187.90455092570792</v>
      </c>
      <c r="G8" s="256">
        <f>FCFF!I34</f>
        <v>5.7613974542639695E-2</v>
      </c>
      <c r="H8" s="256">
        <f>FCFF!I32</f>
        <v>4.9999999999999996E-2</v>
      </c>
    </row>
    <row r="9" spans="2:8" x14ac:dyDescent="0.25">
      <c r="B9" s="169" t="s">
        <v>235</v>
      </c>
      <c r="C9" s="8"/>
      <c r="D9" s="35">
        <f>FCFF!T34</f>
        <v>140.99957258780756</v>
      </c>
      <c r="E9" s="35">
        <f t="shared" ref="E9:E15" si="0">F9-D9</f>
        <v>18.360195231254494</v>
      </c>
      <c r="F9" s="35">
        <f>FCFF!V32</f>
        <v>159.35976781906206</v>
      </c>
      <c r="G9" s="257">
        <f>FCFF!T29</f>
        <v>8</v>
      </c>
      <c r="H9" s="257">
        <f>FCFF!V29</f>
        <v>8.8000000000000007</v>
      </c>
    </row>
    <row r="10" spans="2:8" x14ac:dyDescent="0.25">
      <c r="B10" s="169" t="s">
        <v>417</v>
      </c>
      <c r="C10" s="8"/>
      <c r="D10" s="35">
        <f ca="1">'Valuation-GM'!Q14</f>
        <v>156.10673977730474</v>
      </c>
      <c r="E10" s="35">
        <f t="shared" ca="1" si="0"/>
        <v>57.395246159744516</v>
      </c>
      <c r="F10" s="35">
        <f ca="1">'Valuation-GM'!R14</f>
        <v>213.50198593704926</v>
      </c>
      <c r="G10" s="188">
        <f ca="1">'Valuation-GM'!E14</f>
        <v>11.314884788569955</v>
      </c>
      <c r="H10" s="188">
        <f ca="1">'Valuation-GM'!F14</f>
        <v>13.82930363047439</v>
      </c>
    </row>
    <row r="11" spans="2:8" x14ac:dyDescent="0.25">
      <c r="B11" s="169" t="s">
        <v>418</v>
      </c>
      <c r="C11" s="8"/>
      <c r="D11" s="35">
        <f ca="1">'Valuation-GM'!Q15</f>
        <v>151.19917187587509</v>
      </c>
      <c r="E11" s="35">
        <f t="shared" ca="1" si="0"/>
        <v>56.304675514982335</v>
      </c>
      <c r="F11" s="35">
        <f ca="1">'Valuation-GM'!R15</f>
        <v>207.50384739085743</v>
      </c>
      <c r="G11" s="191">
        <f ca="1">'Valuation-GM'!E15</f>
        <v>10.682740943734302</v>
      </c>
      <c r="H11" s="191">
        <f ca="1">'Valuation-GM'!F15</f>
        <v>13.056683375675258</v>
      </c>
    </row>
    <row r="12" spans="2:8" x14ac:dyDescent="0.25">
      <c r="B12" s="169" t="s">
        <v>419</v>
      </c>
      <c r="C12" s="8"/>
      <c r="D12" s="255">
        <v>37</v>
      </c>
      <c r="E12" s="35">
        <f t="shared" si="0"/>
        <v>48</v>
      </c>
      <c r="F12" s="255">
        <v>85</v>
      </c>
    </row>
    <row r="13" spans="2:8" x14ac:dyDescent="0.25">
      <c r="B13" s="169" t="s">
        <v>420</v>
      </c>
      <c r="C13" s="8"/>
      <c r="D13" s="255">
        <v>38.950000000000003</v>
      </c>
      <c r="E13" s="35">
        <f t="shared" si="0"/>
        <v>22.29</v>
      </c>
      <c r="F13" s="255">
        <v>61.24</v>
      </c>
    </row>
    <row r="14" spans="2:8" x14ac:dyDescent="0.25">
      <c r="B14" s="4" t="s">
        <v>421</v>
      </c>
      <c r="C14" s="8"/>
      <c r="D14" s="35">
        <f>F14</f>
        <v>51.37</v>
      </c>
      <c r="E14" s="35">
        <f t="shared" si="0"/>
        <v>0</v>
      </c>
      <c r="F14" s="35">
        <f>'Valuation-GM'!D36</f>
        <v>51.37</v>
      </c>
    </row>
    <row r="15" spans="2:8" x14ac:dyDescent="0.25">
      <c r="B15" s="91" t="s">
        <v>422</v>
      </c>
      <c r="C15" s="12"/>
      <c r="D15" s="289">
        <f ca="1">MIN(D8:D14)</f>
        <v>37</v>
      </c>
      <c r="E15" s="107">
        <f t="shared" ca="1" si="0"/>
        <v>176.50198593704926</v>
      </c>
      <c r="F15" s="289">
        <f ca="1">MAX(F8:F14)</f>
        <v>213.50198593704926</v>
      </c>
    </row>
    <row r="17" spans="2:2" x14ac:dyDescent="0.25">
      <c r="B17" s="42" t="str">
        <f>IF(D14&lt;D8,"Undervalued-BUY",IF(F14&gt;F8,"Overvalued-SELL","HOLD"))</f>
        <v>Undervalued-BUY</v>
      </c>
    </row>
  </sheetData>
  <mergeCells count="2">
    <mergeCell ref="B5:F5"/>
    <mergeCell ref="G6:H6"/>
  </mergeCells>
  <conditionalFormatting sqref="B17">
    <cfRule type="cellIs" dxfId="7" priority="3" operator="equal">
      <formula>"Undervalued-BUY"</formula>
    </cfRule>
    <cfRule type="cellIs" dxfId="8" priority="2" operator="equal">
      <formula>"Overvalued-SELL"</formula>
    </cfRule>
    <cfRule type="cellIs" dxfId="6" priority="1" operator="equal">
      <formula>"HOLD"</formula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9C4E-C4D3-40A1-9861-7402F6F7DDB4}">
  <dimension ref="B5:I24"/>
  <sheetViews>
    <sheetView showGridLines="0" zoomScale="80" zoomScaleNormal="80" workbookViewId="0">
      <selection activeCell="B5" sqref="B5"/>
    </sheetView>
  </sheetViews>
  <sheetFormatPr defaultRowHeight="15" x14ac:dyDescent="0.25"/>
  <cols>
    <col min="1" max="1" width="2" bestFit="1" customWidth="1"/>
    <col min="2" max="2" width="39.5703125" bestFit="1" customWidth="1"/>
    <col min="3" max="3" width="2" bestFit="1" customWidth="1"/>
    <col min="4" max="9" width="10.5703125" bestFit="1" customWidth="1"/>
  </cols>
  <sheetData>
    <row r="5" spans="2:9" ht="20.25" x14ac:dyDescent="0.3">
      <c r="B5" s="252" t="s">
        <v>423</v>
      </c>
      <c r="C5" s="252"/>
      <c r="D5" s="253">
        <f>'FA Schedule'!D5</f>
        <v>12</v>
      </c>
      <c r="E5" s="253">
        <f>'FA Schedule'!E5</f>
        <v>12</v>
      </c>
      <c r="F5" s="253">
        <f>'FA Schedule'!F5</f>
        <v>12</v>
      </c>
      <c r="G5" s="253">
        <f>'FA Schedule'!G5</f>
        <v>12</v>
      </c>
      <c r="H5" s="253">
        <f>'FA Schedule'!H5</f>
        <v>12</v>
      </c>
      <c r="I5" s="253">
        <f>'FA Schedule'!I5</f>
        <v>12</v>
      </c>
    </row>
    <row r="6" spans="2:9" x14ac:dyDescent="0.25">
      <c r="B6" s="258" t="s">
        <v>434</v>
      </c>
      <c r="C6" s="254"/>
      <c r="D6" s="71">
        <f>'FA Schedule'!D6</f>
        <v>43830</v>
      </c>
      <c r="E6" s="71">
        <f>'FA Schedule'!E6</f>
        <v>44196</v>
      </c>
      <c r="F6" s="71">
        <f>'FA Schedule'!F6</f>
        <v>44561</v>
      </c>
      <c r="G6" s="71">
        <f>'FA Schedule'!G6</f>
        <v>44926</v>
      </c>
      <c r="H6" s="71">
        <f>'FA Schedule'!H6</f>
        <v>45291</v>
      </c>
      <c r="I6" s="71">
        <f>'FA Schedule'!I6</f>
        <v>45657</v>
      </c>
    </row>
    <row r="7" spans="2:9" x14ac:dyDescent="0.25">
      <c r="B7" s="177"/>
      <c r="C7" s="177"/>
      <c r="D7" s="49" t="str">
        <f>'FA Schedule'!D7</f>
        <v>Raw</v>
      </c>
      <c r="E7" s="49" t="str">
        <f>'FA Schedule'!E7</f>
        <v>Raw</v>
      </c>
      <c r="F7" s="49" t="str">
        <f>'FA Schedule'!F7</f>
        <v>Raw</v>
      </c>
      <c r="G7" s="49" t="str">
        <f>'FA Schedule'!G7</f>
        <v>Raw</v>
      </c>
      <c r="H7" s="49" t="str">
        <f>'FA Schedule'!H7</f>
        <v>Raw</v>
      </c>
      <c r="I7" s="49" t="str">
        <f>'FA Schedule'!I7</f>
        <v>Raw</v>
      </c>
    </row>
    <row r="8" spans="2:9" x14ac:dyDescent="0.25">
      <c r="B8" s="44" t="s">
        <v>424</v>
      </c>
      <c r="C8" s="8"/>
      <c r="D8" s="56">
        <f>'GM-I.S.'!D35</f>
        <v>6732</v>
      </c>
      <c r="E8" s="56">
        <f>'GM-I.S.'!E35</f>
        <v>6427</v>
      </c>
      <c r="F8" s="56">
        <f>'GM-I.S.'!F35</f>
        <v>10019</v>
      </c>
      <c r="G8" s="56">
        <f>'GM-I.S.'!G35</f>
        <v>9934</v>
      </c>
      <c r="H8" s="56">
        <f>'GM-I.S.'!H35</f>
        <v>10127</v>
      </c>
      <c r="I8" s="56">
        <f>'GM-I.S.'!I35</f>
        <v>6008</v>
      </c>
    </row>
    <row r="9" spans="2:9" x14ac:dyDescent="0.25">
      <c r="B9" s="44" t="s">
        <v>425</v>
      </c>
      <c r="C9" s="8"/>
      <c r="D9" s="56">
        <f>'GM-I.S.'!D10</f>
        <v>137237</v>
      </c>
      <c r="E9" s="56">
        <f>'GM-I.S.'!E10</f>
        <v>122485</v>
      </c>
      <c r="F9" s="56">
        <f>'GM-I.S.'!F10</f>
        <v>127004</v>
      </c>
      <c r="G9" s="56">
        <f>'GM-I.S.'!G10</f>
        <v>156735</v>
      </c>
      <c r="H9" s="56">
        <f>'GM-I.S.'!H10</f>
        <v>171842</v>
      </c>
      <c r="I9" s="56">
        <f>'GM-I.S.'!I10</f>
        <v>187442</v>
      </c>
    </row>
    <row r="10" spans="2:9" x14ac:dyDescent="0.25">
      <c r="B10" s="281" t="s">
        <v>426</v>
      </c>
      <c r="C10" s="282"/>
      <c r="D10" s="283">
        <f>D8/D9</f>
        <v>4.9053826591954064E-2</v>
      </c>
      <c r="E10" s="284">
        <f t="shared" ref="E10:I10" si="0">E8/E9</f>
        <v>5.2471731232395805E-2</v>
      </c>
      <c r="F10" s="284">
        <f t="shared" si="0"/>
        <v>7.8887279140814462E-2</v>
      </c>
      <c r="G10" s="284">
        <f t="shared" si="0"/>
        <v>6.338086579257983E-2</v>
      </c>
      <c r="H10" s="284">
        <f t="shared" si="0"/>
        <v>5.893204222483444E-2</v>
      </c>
      <c r="I10" s="284">
        <f t="shared" si="0"/>
        <v>3.2052581598574492E-2</v>
      </c>
    </row>
    <row r="11" spans="2:9" x14ac:dyDescent="0.25">
      <c r="B11" s="4"/>
      <c r="C11" s="8"/>
      <c r="D11" s="20"/>
      <c r="E11" s="20"/>
      <c r="F11" s="20"/>
      <c r="G11" s="20"/>
      <c r="H11" s="20"/>
      <c r="I11" s="20"/>
    </row>
    <row r="12" spans="2:9" x14ac:dyDescent="0.25">
      <c r="B12" s="44" t="s">
        <v>425</v>
      </c>
      <c r="C12" s="8"/>
      <c r="D12" s="56">
        <f>D9</f>
        <v>137237</v>
      </c>
      <c r="E12" s="56">
        <f t="shared" ref="E12:I12" si="1">E9</f>
        <v>122485</v>
      </c>
      <c r="F12" s="56">
        <f t="shared" si="1"/>
        <v>127004</v>
      </c>
      <c r="G12" s="56">
        <f t="shared" si="1"/>
        <v>156735</v>
      </c>
      <c r="H12" s="56">
        <f t="shared" si="1"/>
        <v>171842</v>
      </c>
      <c r="I12" s="56">
        <f t="shared" si="1"/>
        <v>187442</v>
      </c>
    </row>
    <row r="13" spans="2:9" x14ac:dyDescent="0.25">
      <c r="B13" s="44" t="s">
        <v>431</v>
      </c>
      <c r="C13" s="8"/>
      <c r="D13" s="56">
        <f>AVERAGE('GM-B.S.'!C27:D27)</f>
        <v>227688</v>
      </c>
      <c r="E13" s="56">
        <f>AVERAGE('GM-B.S.'!D27:E27)</f>
        <v>231615.5</v>
      </c>
      <c r="F13" s="56">
        <f>AVERAGE('GM-B.S.'!E27:F27)</f>
        <v>239956</v>
      </c>
      <c r="G13" s="56">
        <f>AVERAGE('GM-B.S.'!F27:G27)</f>
        <v>254377.5</v>
      </c>
      <c r="H13" s="56">
        <f>AVERAGE('GM-B.S.'!G27:H27)</f>
        <v>268550.5</v>
      </c>
      <c r="I13" s="56">
        <f>AVERAGE('GM-B.S.'!H27:I27)</f>
        <v>276412.5</v>
      </c>
    </row>
    <row r="14" spans="2:9" x14ac:dyDescent="0.25">
      <c r="B14" s="279" t="s">
        <v>427</v>
      </c>
      <c r="C14" s="280"/>
      <c r="D14" s="302">
        <f>D12/D13</f>
        <v>0.6027414707845824</v>
      </c>
      <c r="E14" s="303">
        <f t="shared" ref="E14:I14" si="2">E12/E13</f>
        <v>0.52882902914528607</v>
      </c>
      <c r="F14" s="303">
        <f t="shared" si="2"/>
        <v>0.52928036806747902</v>
      </c>
      <c r="G14" s="303">
        <f t="shared" si="2"/>
        <v>0.61615119261727158</v>
      </c>
      <c r="H14" s="303">
        <f t="shared" si="2"/>
        <v>0.63988709758499795</v>
      </c>
      <c r="I14" s="303">
        <f t="shared" si="2"/>
        <v>0.67812418034640254</v>
      </c>
    </row>
    <row r="15" spans="2:9" x14ac:dyDescent="0.25">
      <c r="B15" s="4"/>
      <c r="C15" s="8"/>
      <c r="D15" s="20"/>
      <c r="E15" s="20"/>
      <c r="F15" s="20"/>
      <c r="G15" s="20"/>
      <c r="H15" s="20"/>
      <c r="I15" s="20"/>
    </row>
    <row r="16" spans="2:9" x14ac:dyDescent="0.25">
      <c r="B16" s="44" t="s">
        <v>431</v>
      </c>
      <c r="C16" s="8"/>
      <c r="D16" s="56">
        <f>D13</f>
        <v>227688</v>
      </c>
      <c r="E16" s="56">
        <f t="shared" ref="E16:I16" si="3">E13</f>
        <v>231615.5</v>
      </c>
      <c r="F16" s="56">
        <f t="shared" si="3"/>
        <v>239956</v>
      </c>
      <c r="G16" s="56">
        <f t="shared" si="3"/>
        <v>254377.5</v>
      </c>
      <c r="H16" s="56">
        <f t="shared" si="3"/>
        <v>268550.5</v>
      </c>
      <c r="I16" s="56">
        <f t="shared" si="3"/>
        <v>276412.5</v>
      </c>
    </row>
    <row r="17" spans="2:9" x14ac:dyDescent="0.25">
      <c r="B17" s="44" t="s">
        <v>428</v>
      </c>
      <c r="C17" s="8"/>
      <c r="D17" s="56">
        <f>'GM-B.S.'!D58-'GM-B.S.'!D57</f>
        <v>41792</v>
      </c>
      <c r="E17" s="56">
        <f>'GM-B.S.'!E58-'GM-B.S.'!E57</f>
        <v>45030</v>
      </c>
      <c r="F17" s="56">
        <f>'GM-B.S.'!F58-'GM-B.S.'!F57</f>
        <v>59744</v>
      </c>
      <c r="G17" s="56">
        <f>'GM-B.S.'!G58-'GM-B.S.'!G57</f>
        <v>67792</v>
      </c>
      <c r="H17" s="56">
        <f>'GM-B.S.'!H58-'GM-B.S.'!H57</f>
        <v>64286</v>
      </c>
      <c r="I17" s="56">
        <f>'GM-B.S.'!I58-'GM-B.S.'!I57</f>
        <v>63072</v>
      </c>
    </row>
    <row r="18" spans="2:9" x14ac:dyDescent="0.25">
      <c r="B18" s="259" t="s">
        <v>432</v>
      </c>
      <c r="C18" s="260"/>
      <c r="D18" s="304">
        <f>D16/D17</f>
        <v>5.4481240428790203</v>
      </c>
      <c r="E18" s="304">
        <f t="shared" ref="E18:I18" si="4">E16/E17</f>
        <v>5.1435820564068395</v>
      </c>
      <c r="F18" s="304">
        <f t="shared" si="4"/>
        <v>4.0164033208355647</v>
      </c>
      <c r="G18" s="304">
        <f t="shared" si="4"/>
        <v>3.7523232829832427</v>
      </c>
      <c r="H18" s="304">
        <f t="shared" si="4"/>
        <v>4.1774336558504181</v>
      </c>
      <c r="I18" s="304">
        <f t="shared" si="4"/>
        <v>4.3824914383561646</v>
      </c>
    </row>
    <row r="19" spans="2:9" x14ac:dyDescent="0.25">
      <c r="B19" s="4"/>
      <c r="C19" s="8"/>
      <c r="D19" s="20"/>
      <c r="E19" s="20"/>
      <c r="F19" s="20"/>
      <c r="G19" s="20"/>
      <c r="H19" s="20"/>
      <c r="I19" s="20"/>
    </row>
    <row r="20" spans="2:9" ht="15.75" thickBot="1" x14ac:dyDescent="0.3">
      <c r="B20" s="275" t="s">
        <v>429</v>
      </c>
      <c r="C20" s="276"/>
      <c r="D20" s="277">
        <f>D10*D14*D18</f>
        <v>0.16108346094946402</v>
      </c>
      <c r="E20" s="277">
        <f t="shared" ref="E20:I20" si="5">E10*E14*E18</f>
        <v>0.14272707084166111</v>
      </c>
      <c r="F20" s="277">
        <f t="shared" si="5"/>
        <v>0.16769884841992497</v>
      </c>
      <c r="G20" s="277">
        <f t="shared" si="5"/>
        <v>0.1465364644795846</v>
      </c>
      <c r="H20" s="277">
        <f t="shared" si="5"/>
        <v>0.15753041097595119</v>
      </c>
      <c r="I20" s="277">
        <f t="shared" si="5"/>
        <v>9.5256215119228813E-2</v>
      </c>
    </row>
    <row r="21" spans="2:9" ht="15.75" thickTop="1" x14ac:dyDescent="0.25">
      <c r="B21" s="8"/>
      <c r="C21" s="8"/>
      <c r="D21" s="20"/>
      <c r="E21" s="20"/>
      <c r="F21" s="20"/>
      <c r="G21" s="20"/>
      <c r="H21" s="20"/>
      <c r="I21" s="20"/>
    </row>
    <row r="22" spans="2:9" ht="15.75" thickBot="1" x14ac:dyDescent="0.3">
      <c r="B22" s="275" t="s">
        <v>430</v>
      </c>
      <c r="C22" s="278"/>
      <c r="D22" s="277">
        <f>D8/D17</f>
        <v>0.16108346094946402</v>
      </c>
      <c r="E22" s="277">
        <f t="shared" ref="E22:I22" si="6">E8/E17</f>
        <v>0.14272707084166111</v>
      </c>
      <c r="F22" s="277">
        <f t="shared" si="6"/>
        <v>0.16769884841992502</v>
      </c>
      <c r="G22" s="277">
        <f t="shared" si="6"/>
        <v>0.1465364644795846</v>
      </c>
      <c r="H22" s="277">
        <f t="shared" si="6"/>
        <v>0.15753041097595122</v>
      </c>
      <c r="I22" s="277">
        <f t="shared" si="6"/>
        <v>9.5256215119228813E-2</v>
      </c>
    </row>
    <row r="23" spans="2:9" ht="15.75" thickTop="1" x14ac:dyDescent="0.25"/>
    <row r="24" spans="2:9" x14ac:dyDescent="0.25">
      <c r="B24" s="244" t="s">
        <v>103</v>
      </c>
      <c r="C24" s="290"/>
      <c r="D24" s="291">
        <f>D20-D22</f>
        <v>0</v>
      </c>
      <c r="E24" s="291">
        <f t="shared" ref="E24:I24" si="7">E20-E22</f>
        <v>0</v>
      </c>
      <c r="F24" s="291">
        <f t="shared" si="7"/>
        <v>0</v>
      </c>
      <c r="G24" s="291">
        <f t="shared" si="7"/>
        <v>0</v>
      </c>
      <c r="H24" s="291">
        <f t="shared" si="7"/>
        <v>0</v>
      </c>
      <c r="I24" s="292">
        <f t="shared" si="7"/>
        <v>0</v>
      </c>
    </row>
  </sheetData>
  <conditionalFormatting sqref="D24:I24">
    <cfRule type="cellIs" dxfId="10" priority="1" operator="notEqual">
      <formula>0</formula>
    </cfRule>
    <cfRule type="cellIs" dxfId="9" priority="2" operator="equal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6F65-DF86-46A2-A201-1CA2170CF96D}">
  <dimension ref="B2:AG165"/>
  <sheetViews>
    <sheetView showGridLines="0" zoomScale="80" zoomScaleNormal="80" workbookViewId="0">
      <pane xSplit="5" ySplit="5" topLeftCell="F6" activePane="bottomRight" state="frozen"/>
      <selection pane="topRight" activeCell="F1" sqref="F1"/>
      <selection pane="bottomLeft" activeCell="A4" sqref="A4"/>
      <selection pane="bottomRight" activeCell="B5" sqref="B5"/>
    </sheetView>
  </sheetViews>
  <sheetFormatPr defaultRowHeight="15" x14ac:dyDescent="0.25"/>
  <cols>
    <col min="1" max="1" width="2" bestFit="1" customWidth="1"/>
    <col min="2" max="2" width="34.42578125" customWidth="1"/>
    <col min="3" max="3" width="9.85546875" bestFit="1" customWidth="1"/>
    <col min="4" max="4" width="18" bestFit="1" customWidth="1"/>
    <col min="5" max="5" width="12.140625" bestFit="1" customWidth="1"/>
    <col min="6" max="6" width="2.28515625" bestFit="1" customWidth="1"/>
    <col min="7" max="7" width="10.85546875" bestFit="1" customWidth="1"/>
    <col min="8" max="8" width="8.7109375" bestFit="1" customWidth="1"/>
    <col min="9" max="9" width="7.28515625" bestFit="1" customWidth="1"/>
    <col min="10" max="10" width="2.28515625" bestFit="1" customWidth="1"/>
    <col min="11" max="11" width="10.85546875" bestFit="1" customWidth="1"/>
    <col min="12" max="13" width="8.42578125" bestFit="1" customWidth="1"/>
    <col min="14" max="14" width="2.28515625" bestFit="1" customWidth="1"/>
    <col min="15" max="15" width="10.85546875" bestFit="1" customWidth="1"/>
    <col min="16" max="16" width="7.7109375" bestFit="1" customWidth="1"/>
    <col min="17" max="17" width="8.42578125" bestFit="1" customWidth="1"/>
    <col min="18" max="18" width="2.28515625" bestFit="1" customWidth="1"/>
    <col min="19" max="19" width="10.85546875" bestFit="1" customWidth="1"/>
    <col min="20" max="21" width="7.7109375" bestFit="1" customWidth="1"/>
    <col min="22" max="22" width="2.28515625" bestFit="1" customWidth="1"/>
    <col min="23" max="23" width="10.85546875" bestFit="1" customWidth="1"/>
    <col min="24" max="25" width="8.42578125" bestFit="1" customWidth="1"/>
    <col min="26" max="26" width="2.28515625" bestFit="1" customWidth="1"/>
    <col min="27" max="27" width="10.85546875" bestFit="1" customWidth="1"/>
    <col min="28" max="29" width="8.42578125" bestFit="1" customWidth="1"/>
    <col min="30" max="30" width="2.28515625" bestFit="1" customWidth="1"/>
    <col min="31" max="31" width="10.85546875" bestFit="1" customWidth="1"/>
    <col min="32" max="32" width="7.7109375" bestFit="1" customWidth="1"/>
    <col min="33" max="33" width="8.42578125" bestFit="1" customWidth="1"/>
  </cols>
  <sheetData>
    <row r="2" spans="2:33" x14ac:dyDescent="0.25">
      <c r="B2" s="324"/>
    </row>
    <row r="3" spans="2:33" x14ac:dyDescent="0.25">
      <c r="B3" s="324"/>
    </row>
    <row r="5" spans="2:33" x14ac:dyDescent="0.25">
      <c r="B5" s="108" t="s">
        <v>144</v>
      </c>
      <c r="C5" s="109" t="s">
        <v>164</v>
      </c>
      <c r="D5" s="109" t="s">
        <v>150</v>
      </c>
      <c r="E5" s="109" t="s">
        <v>151</v>
      </c>
      <c r="G5" s="335" t="s">
        <v>152</v>
      </c>
      <c r="H5" s="335"/>
      <c r="I5" s="335"/>
      <c r="J5" s="38"/>
      <c r="K5" s="335" t="s">
        <v>153</v>
      </c>
      <c r="L5" s="335"/>
      <c r="M5" s="335"/>
      <c r="N5" s="38"/>
      <c r="O5" s="335" t="s">
        <v>154</v>
      </c>
      <c r="P5" s="335"/>
      <c r="Q5" s="335"/>
      <c r="R5" s="38"/>
      <c r="S5" s="335" t="s">
        <v>155</v>
      </c>
      <c r="T5" s="335"/>
      <c r="U5" s="335"/>
      <c r="V5" s="38"/>
      <c r="W5" s="335" t="s">
        <v>156</v>
      </c>
      <c r="X5" s="335"/>
      <c r="Y5" s="335"/>
      <c r="Z5" s="38"/>
      <c r="AA5" s="335" t="s">
        <v>157</v>
      </c>
      <c r="AB5" s="335"/>
      <c r="AC5" s="335"/>
      <c r="AD5" s="38"/>
      <c r="AE5" s="335" t="s">
        <v>158</v>
      </c>
      <c r="AF5" s="335"/>
      <c r="AG5" s="335"/>
    </row>
    <row r="6" spans="2:33" x14ac:dyDescent="0.25">
      <c r="B6" s="4" t="s">
        <v>145</v>
      </c>
      <c r="C6" s="35">
        <v>5868.55</v>
      </c>
      <c r="D6" s="56" t="s">
        <v>169</v>
      </c>
      <c r="E6" s="94">
        <f t="shared" ref="E6:E12" si="0">HLOOKUP(B6,$G$6:$AG$165,160,0)</f>
        <v>1</v>
      </c>
      <c r="G6" s="336" t="str">
        <f>B6</f>
        <v>S&amp;P 500</v>
      </c>
      <c r="H6" s="336"/>
      <c r="I6" s="336"/>
      <c r="J6" s="38"/>
      <c r="K6" s="336" t="str">
        <f>B7</f>
        <v>GENERAL MOTORS COMPANY</v>
      </c>
      <c r="L6" s="336"/>
      <c r="M6" s="336"/>
      <c r="N6" s="38"/>
      <c r="O6" s="336" t="str">
        <f>B8</f>
        <v>TESLA</v>
      </c>
      <c r="P6" s="336"/>
      <c r="Q6" s="336"/>
      <c r="R6" s="38"/>
      <c r="S6" s="336" t="str">
        <f>B9</f>
        <v>FERRARI N.V.</v>
      </c>
      <c r="T6" s="336"/>
      <c r="U6" s="336"/>
      <c r="V6" s="38"/>
      <c r="W6" s="336" t="str">
        <f>B10</f>
        <v>FORD MOTOR COMPANY</v>
      </c>
      <c r="X6" s="336"/>
      <c r="Y6" s="336"/>
      <c r="Z6" s="38"/>
      <c r="AA6" s="336" t="str">
        <f>B11</f>
        <v>STELLANTIS N.V.</v>
      </c>
      <c r="AB6" s="336"/>
      <c r="AC6" s="336"/>
      <c r="AD6" s="38"/>
      <c r="AE6" s="336" t="str">
        <f>B12</f>
        <v>TOYOTA MOTOR CORP.</v>
      </c>
      <c r="AF6" s="336"/>
      <c r="AG6" s="336"/>
    </row>
    <row r="7" spans="2:33" x14ac:dyDescent="0.25">
      <c r="B7" s="4" t="s">
        <v>146</v>
      </c>
      <c r="C7" s="35">
        <v>51.37</v>
      </c>
      <c r="D7" s="35">
        <v>49.21</v>
      </c>
      <c r="E7" s="94">
        <f t="shared" si="0"/>
        <v>1.4674009106547579</v>
      </c>
      <c r="G7" s="103" t="s">
        <v>159</v>
      </c>
      <c r="H7" s="103" t="s">
        <v>160</v>
      </c>
      <c r="I7" s="103" t="s">
        <v>161</v>
      </c>
      <c r="J7" s="42"/>
      <c r="K7" s="103" t="s">
        <v>159</v>
      </c>
      <c r="L7" s="103" t="s">
        <v>160</v>
      </c>
      <c r="M7" s="103" t="s">
        <v>161</v>
      </c>
      <c r="N7" s="42"/>
      <c r="O7" s="103" t="s">
        <v>159</v>
      </c>
      <c r="P7" s="103" t="s">
        <v>160</v>
      </c>
      <c r="Q7" s="103" t="s">
        <v>161</v>
      </c>
      <c r="R7" s="42"/>
      <c r="S7" s="103" t="s">
        <v>159</v>
      </c>
      <c r="T7" s="103" t="s">
        <v>160</v>
      </c>
      <c r="U7" s="103" t="s">
        <v>161</v>
      </c>
      <c r="V7" s="42"/>
      <c r="W7" s="103" t="s">
        <v>159</v>
      </c>
      <c r="X7" s="103" t="s">
        <v>160</v>
      </c>
      <c r="Y7" s="103" t="s">
        <v>161</v>
      </c>
      <c r="Z7" s="42"/>
      <c r="AA7" s="103" t="s">
        <v>159</v>
      </c>
      <c r="AB7" s="103" t="s">
        <v>160</v>
      </c>
      <c r="AC7" s="103" t="s">
        <v>161</v>
      </c>
      <c r="AD7" s="42"/>
      <c r="AE7" s="103" t="s">
        <v>159</v>
      </c>
      <c r="AF7" s="103" t="s">
        <v>160</v>
      </c>
      <c r="AG7" s="103" t="s">
        <v>161</v>
      </c>
    </row>
    <row r="8" spans="2:33" x14ac:dyDescent="0.25">
      <c r="B8" s="4" t="s">
        <v>163</v>
      </c>
      <c r="C8" s="35">
        <v>379.28</v>
      </c>
      <c r="D8" s="35">
        <v>1300</v>
      </c>
      <c r="E8" s="94">
        <f t="shared" si="0"/>
        <v>1.9878674188403553</v>
      </c>
      <c r="G8" s="97">
        <v>45655</v>
      </c>
      <c r="H8" s="104">
        <v>5942.47</v>
      </c>
      <c r="I8" s="98">
        <f>(H8-H9)/H9</f>
        <v>-4.7514252600973882E-3</v>
      </c>
      <c r="J8" s="2"/>
      <c r="K8" s="97">
        <v>45655</v>
      </c>
      <c r="L8" s="104">
        <v>51.77</v>
      </c>
      <c r="M8" s="99">
        <f>(L8-L9)/L9</f>
        <v>-4.6241709653647718E-2</v>
      </c>
      <c r="N8" s="2"/>
      <c r="O8" s="97">
        <v>45655</v>
      </c>
      <c r="P8" s="104">
        <v>410.44</v>
      </c>
      <c r="Q8" s="99">
        <f>(P8-P9)/P9</f>
        <v>-4.9159060371588813E-2</v>
      </c>
      <c r="R8" s="2"/>
      <c r="S8" s="97">
        <v>45655</v>
      </c>
      <c r="T8" s="104">
        <v>417.42</v>
      </c>
      <c r="U8" s="99">
        <f>(T8-T9)/T9</f>
        <v>-3.40853870183963E-2</v>
      </c>
      <c r="V8" s="2"/>
      <c r="W8" s="97">
        <v>45655</v>
      </c>
      <c r="X8" s="104">
        <v>9.8800000000000008</v>
      </c>
      <c r="Y8" s="99">
        <f>(X8-X9)/X9</f>
        <v>-1.4955134596211225E-2</v>
      </c>
      <c r="Z8" s="2"/>
      <c r="AA8" s="97">
        <v>45655</v>
      </c>
      <c r="AB8" s="104">
        <v>12.53</v>
      </c>
      <c r="AC8" s="99">
        <f>(AB8-AB9)/AB9</f>
        <v>-4.1315990818668775E-2</v>
      </c>
      <c r="AD8" s="2"/>
      <c r="AE8" s="97">
        <v>45655</v>
      </c>
      <c r="AF8" s="104">
        <v>195.25</v>
      </c>
      <c r="AG8" s="99">
        <f>(AF8-AF9)/AF9</f>
        <v>-2.1401363271852495E-2</v>
      </c>
    </row>
    <row r="9" spans="2:33" x14ac:dyDescent="0.25">
      <c r="B9" s="4" t="s">
        <v>147</v>
      </c>
      <c r="C9" s="35">
        <v>416.42</v>
      </c>
      <c r="D9" s="35">
        <v>76.67</v>
      </c>
      <c r="E9" s="94">
        <f t="shared" si="0"/>
        <v>1.0349568356828875</v>
      </c>
      <c r="G9" s="100">
        <v>45648</v>
      </c>
      <c r="H9" s="105">
        <v>5970.84</v>
      </c>
      <c r="I9" s="22">
        <f t="shared" ref="I9:I72" si="1">(H9-H10)/H10</f>
        <v>6.7427097296339951E-3</v>
      </c>
      <c r="J9" s="2"/>
      <c r="K9" s="100">
        <v>45648</v>
      </c>
      <c r="L9" s="105">
        <v>54.28</v>
      </c>
      <c r="M9" s="22">
        <f t="shared" ref="M9:M72" si="2">(L9-L10)/L10</f>
        <v>4.7674194171009432E-2</v>
      </c>
      <c r="N9" s="2"/>
      <c r="O9" s="100">
        <v>45648</v>
      </c>
      <c r="P9" s="105">
        <v>431.66</v>
      </c>
      <c r="Q9" s="22">
        <f t="shared" ref="Q9:Q72" si="3">(P9-P10)/P10</f>
        <v>2.5174559445209764E-2</v>
      </c>
      <c r="R9" s="2"/>
      <c r="S9" s="100">
        <v>45648</v>
      </c>
      <c r="T9" s="105">
        <v>432.15</v>
      </c>
      <c r="U9" s="22">
        <f t="shared" ref="U9:U72" si="4">(T9-T10)/T10</f>
        <v>1.2226828754128243E-2</v>
      </c>
      <c r="V9" s="2"/>
      <c r="W9" s="100">
        <v>45648</v>
      </c>
      <c r="X9" s="105">
        <v>10.029999999999999</v>
      </c>
      <c r="Y9" s="22">
        <f t="shared" ref="Y9:Y72" si="5">(X9-X10)/X10</f>
        <v>1.5182186234817669E-2</v>
      </c>
      <c r="Z9" s="2"/>
      <c r="AA9" s="100">
        <v>45648</v>
      </c>
      <c r="AB9" s="105">
        <v>13.07</v>
      </c>
      <c r="AC9" s="22">
        <f t="shared" ref="AC9:AC72" si="6">(AB9-AB10)/AB10</f>
        <v>1.3964313421256766E-2</v>
      </c>
      <c r="AD9" s="2"/>
      <c r="AE9" s="100">
        <v>45648</v>
      </c>
      <c r="AF9" s="105">
        <v>199.52</v>
      </c>
      <c r="AG9" s="22">
        <f t="shared" ref="AG9:AG72" si="7">(AF9-AF10)/AF10</f>
        <v>0.11982937643823328</v>
      </c>
    </row>
    <row r="10" spans="2:33" x14ac:dyDescent="0.25">
      <c r="B10" s="4" t="s">
        <v>148</v>
      </c>
      <c r="C10" s="35">
        <v>9.65</v>
      </c>
      <c r="D10" s="35">
        <v>40.06</v>
      </c>
      <c r="E10" s="94">
        <f t="shared" si="0"/>
        <v>1.5410532854590548</v>
      </c>
      <c r="G10" s="100">
        <v>45641</v>
      </c>
      <c r="H10" s="105">
        <v>5930.85</v>
      </c>
      <c r="I10" s="22">
        <f t="shared" si="1"/>
        <v>-1.9870800136834815E-2</v>
      </c>
      <c r="J10" s="2"/>
      <c r="K10" s="100">
        <v>45641</v>
      </c>
      <c r="L10" s="105">
        <v>51.81</v>
      </c>
      <c r="M10" s="22">
        <f t="shared" si="2"/>
        <v>-1.3706453455168454E-2</v>
      </c>
      <c r="N10" s="2"/>
      <c r="O10" s="100">
        <v>45641</v>
      </c>
      <c r="P10" s="105">
        <v>421.06</v>
      </c>
      <c r="Q10" s="22">
        <f t="shared" si="3"/>
        <v>-3.4775233248515725E-2</v>
      </c>
      <c r="R10" s="2"/>
      <c r="S10" s="100">
        <v>45641</v>
      </c>
      <c r="T10" s="105">
        <v>426.93</v>
      </c>
      <c r="U10" s="22">
        <f t="shared" si="4"/>
        <v>-5.9998238583821389E-2</v>
      </c>
      <c r="V10" s="2"/>
      <c r="W10" s="100">
        <v>45641</v>
      </c>
      <c r="X10" s="105">
        <v>9.8800000000000008</v>
      </c>
      <c r="Y10" s="22">
        <f t="shared" si="5"/>
        <v>-4.9085659287776688E-2</v>
      </c>
      <c r="Z10" s="2"/>
      <c r="AA10" s="100">
        <v>45641</v>
      </c>
      <c r="AB10" s="105">
        <v>12.89</v>
      </c>
      <c r="AC10" s="22">
        <f t="shared" si="6"/>
        <v>-7.5985663082437191E-2</v>
      </c>
      <c r="AD10" s="2"/>
      <c r="AE10" s="100">
        <v>45641</v>
      </c>
      <c r="AF10" s="105">
        <v>178.17</v>
      </c>
      <c r="AG10" s="22">
        <f t="shared" si="7"/>
        <v>1.3135448652336937E-2</v>
      </c>
    </row>
    <row r="11" spans="2:33" x14ac:dyDescent="0.25">
      <c r="B11" s="4" t="s">
        <v>149</v>
      </c>
      <c r="C11" s="35">
        <v>12.78</v>
      </c>
      <c r="D11" s="35">
        <v>36.83</v>
      </c>
      <c r="E11" s="94">
        <f t="shared" si="0"/>
        <v>1.154108984252775</v>
      </c>
      <c r="G11" s="100">
        <v>45634</v>
      </c>
      <c r="H11" s="105">
        <v>6051.09</v>
      </c>
      <c r="I11" s="22">
        <f t="shared" si="1"/>
        <v>-6.4332123206360782E-3</v>
      </c>
      <c r="J11" s="2"/>
      <c r="K11" s="100">
        <v>45634</v>
      </c>
      <c r="L11" s="105">
        <v>52.53</v>
      </c>
      <c r="M11" s="22">
        <f t="shared" si="2"/>
        <v>-1.6476315296760823E-2</v>
      </c>
      <c r="N11" s="2"/>
      <c r="O11" s="100">
        <v>45634</v>
      </c>
      <c r="P11" s="105">
        <v>436.23</v>
      </c>
      <c r="Q11" s="22">
        <f t="shared" si="3"/>
        <v>0.12078002158162475</v>
      </c>
      <c r="R11" s="2"/>
      <c r="S11" s="100">
        <v>45634</v>
      </c>
      <c r="T11" s="105">
        <v>454.18</v>
      </c>
      <c r="U11" s="22">
        <f t="shared" si="4"/>
        <v>-9.2923828636244463E-3</v>
      </c>
      <c r="V11" s="2"/>
      <c r="W11" s="100">
        <v>45634</v>
      </c>
      <c r="X11" s="105">
        <v>10.39</v>
      </c>
      <c r="Y11" s="22">
        <f t="shared" si="5"/>
        <v>-1.1417697431018003E-2</v>
      </c>
      <c r="Z11" s="2"/>
      <c r="AA11" s="100">
        <v>45634</v>
      </c>
      <c r="AB11" s="105">
        <v>13.95</v>
      </c>
      <c r="AC11" s="22">
        <f t="shared" si="6"/>
        <v>2.19780219780219E-2</v>
      </c>
      <c r="AD11" s="2"/>
      <c r="AE11" s="100">
        <v>45634</v>
      </c>
      <c r="AF11" s="105">
        <v>175.86</v>
      </c>
      <c r="AG11" s="22">
        <f t="shared" si="7"/>
        <v>-5.1150895140650754E-4</v>
      </c>
    </row>
    <row r="12" spans="2:33" x14ac:dyDescent="0.25">
      <c r="B12" s="91" t="s">
        <v>162</v>
      </c>
      <c r="C12" s="107">
        <v>193.12</v>
      </c>
      <c r="D12" s="107">
        <v>250.9</v>
      </c>
      <c r="E12" s="95">
        <f t="shared" si="0"/>
        <v>0.83561622914908806</v>
      </c>
      <c r="G12" s="100">
        <v>45627</v>
      </c>
      <c r="H12" s="105">
        <v>6090.27</v>
      </c>
      <c r="I12" s="22">
        <f t="shared" si="1"/>
        <v>9.5965439842981247E-3</v>
      </c>
      <c r="J12" s="2"/>
      <c r="K12" s="100">
        <v>45627</v>
      </c>
      <c r="L12" s="105">
        <v>53.41</v>
      </c>
      <c r="M12" s="22">
        <f t="shared" si="2"/>
        <v>-3.9215686274509921E-2</v>
      </c>
      <c r="N12" s="2"/>
      <c r="O12" s="100">
        <v>45627</v>
      </c>
      <c r="P12" s="105">
        <v>389.22</v>
      </c>
      <c r="Q12" s="22">
        <f t="shared" si="3"/>
        <v>0.12765094448951211</v>
      </c>
      <c r="R12" s="2"/>
      <c r="S12" s="100">
        <v>45627</v>
      </c>
      <c r="T12" s="105">
        <v>458.44</v>
      </c>
      <c r="U12" s="22">
        <f t="shared" si="4"/>
        <v>5.59240832872673E-2</v>
      </c>
      <c r="V12" s="2"/>
      <c r="W12" s="100">
        <v>45627</v>
      </c>
      <c r="X12" s="105">
        <v>10.51</v>
      </c>
      <c r="Y12" s="22">
        <f t="shared" si="5"/>
        <v>-5.5705300988319939E-2</v>
      </c>
      <c r="Z12" s="2"/>
      <c r="AA12" s="100">
        <v>45627</v>
      </c>
      <c r="AB12" s="105">
        <v>13.65</v>
      </c>
      <c r="AC12" s="22">
        <f t="shared" si="6"/>
        <v>3.4090909090909172E-2</v>
      </c>
      <c r="AD12" s="2"/>
      <c r="AE12" s="100">
        <v>45627</v>
      </c>
      <c r="AF12" s="105">
        <v>175.95</v>
      </c>
      <c r="AG12" s="22">
        <f t="shared" si="7"/>
        <v>3.1178573521655005E-2</v>
      </c>
    </row>
    <row r="13" spans="2:33" x14ac:dyDescent="0.25">
      <c r="G13" s="100">
        <v>45620</v>
      </c>
      <c r="H13" s="105">
        <v>6032.38</v>
      </c>
      <c r="I13" s="22">
        <f t="shared" si="1"/>
        <v>1.0560631493598951E-2</v>
      </c>
      <c r="J13" s="2"/>
      <c r="K13" s="100">
        <v>45620</v>
      </c>
      <c r="L13" s="105">
        <v>55.59</v>
      </c>
      <c r="M13" s="22">
        <f t="shared" si="2"/>
        <v>-5.0230650948231634E-2</v>
      </c>
      <c r="N13" s="2"/>
      <c r="O13" s="100">
        <v>45620</v>
      </c>
      <c r="P13" s="105">
        <v>345.16</v>
      </c>
      <c r="Q13" s="22">
        <f t="shared" si="3"/>
        <v>-2.0989335148627119E-2</v>
      </c>
      <c r="R13" s="2"/>
      <c r="S13" s="100">
        <v>45620</v>
      </c>
      <c r="T13" s="105">
        <v>434.16</v>
      </c>
      <c r="U13" s="22">
        <f t="shared" si="4"/>
        <v>-7.9064028152277758E-3</v>
      </c>
      <c r="V13" s="2"/>
      <c r="W13" s="100">
        <v>45620</v>
      </c>
      <c r="X13" s="105">
        <v>11.13</v>
      </c>
      <c r="Y13" s="22">
        <f t="shared" si="5"/>
        <v>-4.4722719141322836E-3</v>
      </c>
      <c r="Z13" s="2"/>
      <c r="AA13" s="100">
        <v>45620</v>
      </c>
      <c r="AB13" s="105">
        <v>13.2</v>
      </c>
      <c r="AC13" s="22">
        <f t="shared" si="6"/>
        <v>1.1494252873563109E-2</v>
      </c>
      <c r="AD13" s="2"/>
      <c r="AE13" s="100">
        <v>45620</v>
      </c>
      <c r="AF13" s="105">
        <v>170.63</v>
      </c>
      <c r="AG13" s="22">
        <f t="shared" si="7"/>
        <v>-2.1616972477064279E-2</v>
      </c>
    </row>
    <row r="14" spans="2:33" x14ac:dyDescent="0.25">
      <c r="G14" s="100">
        <v>45613</v>
      </c>
      <c r="H14" s="105">
        <v>5969.34</v>
      </c>
      <c r="I14" s="22">
        <f t="shared" si="1"/>
        <v>1.6815941076070373E-2</v>
      </c>
      <c r="J14" s="2"/>
      <c r="K14" s="100">
        <v>45613</v>
      </c>
      <c r="L14" s="105">
        <v>58.53</v>
      </c>
      <c r="M14" s="22">
        <f t="shared" si="2"/>
        <v>2.6122019635343652E-2</v>
      </c>
      <c r="N14" s="2"/>
      <c r="O14" s="100">
        <v>45613</v>
      </c>
      <c r="P14" s="105">
        <v>352.56</v>
      </c>
      <c r="Q14" s="22">
        <f t="shared" si="3"/>
        <v>9.9276627587927074E-2</v>
      </c>
      <c r="R14" s="2"/>
      <c r="S14" s="100">
        <v>45613</v>
      </c>
      <c r="T14" s="105">
        <v>437.62</v>
      </c>
      <c r="U14" s="22">
        <f t="shared" si="4"/>
        <v>1.5383187544954628E-2</v>
      </c>
      <c r="V14" s="2"/>
      <c r="W14" s="100">
        <v>45613</v>
      </c>
      <c r="X14" s="105">
        <v>11.18</v>
      </c>
      <c r="Y14" s="22">
        <f t="shared" si="5"/>
        <v>1.5440508628519522E-2</v>
      </c>
      <c r="Z14" s="2"/>
      <c r="AA14" s="100">
        <v>45613</v>
      </c>
      <c r="AB14" s="105">
        <v>13.05</v>
      </c>
      <c r="AC14" s="22">
        <f t="shared" si="6"/>
        <v>-2.1739130434782546E-2</v>
      </c>
      <c r="AD14" s="2"/>
      <c r="AE14" s="100">
        <v>45613</v>
      </c>
      <c r="AF14" s="105">
        <v>174.4</v>
      </c>
      <c r="AG14" s="22">
        <f t="shared" si="7"/>
        <v>9.0256884980328758E-3</v>
      </c>
    </row>
    <row r="15" spans="2:33" x14ac:dyDescent="0.25">
      <c r="B15" s="43" t="s">
        <v>165</v>
      </c>
      <c r="G15" s="100">
        <v>45606</v>
      </c>
      <c r="H15" s="105">
        <v>5870.62</v>
      </c>
      <c r="I15" s="22">
        <f t="shared" si="1"/>
        <v>-2.0835487712532994E-2</v>
      </c>
      <c r="J15" s="2"/>
      <c r="K15" s="100">
        <v>45606</v>
      </c>
      <c r="L15" s="105">
        <v>57.04</v>
      </c>
      <c r="M15" s="22">
        <f t="shared" si="2"/>
        <v>2.6268441885570364E-2</v>
      </c>
      <c r="N15" s="2"/>
      <c r="O15" s="100">
        <v>45606</v>
      </c>
      <c r="P15" s="105">
        <v>320.72000000000003</v>
      </c>
      <c r="Q15" s="22">
        <f t="shared" si="3"/>
        <v>-1.5565655936741172E-3</v>
      </c>
      <c r="R15" s="2"/>
      <c r="S15" s="100">
        <v>45606</v>
      </c>
      <c r="T15" s="105">
        <v>430.99</v>
      </c>
      <c r="U15" s="22">
        <f t="shared" si="4"/>
        <v>-5.1643709017295189E-2</v>
      </c>
      <c r="V15" s="2"/>
      <c r="W15" s="100">
        <v>45606</v>
      </c>
      <c r="X15" s="105">
        <v>11.01</v>
      </c>
      <c r="Y15" s="22">
        <f t="shared" si="5"/>
        <v>3.6463081130354734E-3</v>
      </c>
      <c r="Z15" s="2"/>
      <c r="AA15" s="100">
        <v>45606</v>
      </c>
      <c r="AB15" s="105">
        <v>13.34</v>
      </c>
      <c r="AC15" s="22">
        <f t="shared" si="6"/>
        <v>-4.4776119402985442E-3</v>
      </c>
      <c r="AD15" s="2"/>
      <c r="AE15" s="100">
        <v>45606</v>
      </c>
      <c r="AF15" s="105">
        <v>172.84</v>
      </c>
      <c r="AG15" s="22">
        <f t="shared" si="7"/>
        <v>4.708481078881604E-3</v>
      </c>
    </row>
    <row r="16" spans="2:33" x14ac:dyDescent="0.25">
      <c r="B16" s="93">
        <f>DATE(2025,1,2)</f>
        <v>45659</v>
      </c>
      <c r="G16" s="100">
        <v>45599</v>
      </c>
      <c r="H16" s="105">
        <v>5995.54</v>
      </c>
      <c r="I16" s="22">
        <f t="shared" si="1"/>
        <v>4.6561234464460234E-2</v>
      </c>
      <c r="J16" s="2"/>
      <c r="K16" s="100">
        <v>45599</v>
      </c>
      <c r="L16" s="105">
        <v>55.58</v>
      </c>
      <c r="M16" s="22">
        <f t="shared" si="2"/>
        <v>9.0659340659340601E-2</v>
      </c>
      <c r="N16" s="2"/>
      <c r="O16" s="100">
        <v>45599</v>
      </c>
      <c r="P16" s="105">
        <v>321.22000000000003</v>
      </c>
      <c r="Q16" s="22">
        <f t="shared" si="3"/>
        <v>0.29014378664953022</v>
      </c>
      <c r="R16" s="2"/>
      <c r="S16" s="100">
        <v>45599</v>
      </c>
      <c r="T16" s="105">
        <v>454.46</v>
      </c>
      <c r="U16" s="22">
        <f t="shared" si="4"/>
        <v>-4.6774058226361298E-2</v>
      </c>
      <c r="V16" s="2"/>
      <c r="W16" s="100">
        <v>45599</v>
      </c>
      <c r="X16" s="105">
        <v>10.97</v>
      </c>
      <c r="Y16" s="22">
        <f t="shared" si="5"/>
        <v>7.3385518590998039E-2</v>
      </c>
      <c r="Z16" s="2"/>
      <c r="AA16" s="100">
        <v>45599</v>
      </c>
      <c r="AB16" s="105">
        <v>13.4</v>
      </c>
      <c r="AC16" s="22">
        <f t="shared" si="6"/>
        <v>-2.1897810218978027E-2</v>
      </c>
      <c r="AD16" s="2"/>
      <c r="AE16" s="100">
        <v>45599</v>
      </c>
      <c r="AF16" s="105">
        <v>172.03</v>
      </c>
      <c r="AG16" s="22">
        <f t="shared" si="7"/>
        <v>-4.6288260140022637E-3</v>
      </c>
    </row>
    <row r="17" spans="2:33" x14ac:dyDescent="0.25">
      <c r="B17" s="38" t="s">
        <v>166</v>
      </c>
      <c r="G17" s="100">
        <v>45592</v>
      </c>
      <c r="H17" s="105">
        <v>5728.8</v>
      </c>
      <c r="I17" s="22">
        <f t="shared" si="1"/>
        <v>-1.365674262928447E-2</v>
      </c>
      <c r="J17" s="2"/>
      <c r="K17" s="100">
        <v>45592</v>
      </c>
      <c r="L17" s="105">
        <v>50.96</v>
      </c>
      <c r="M17" s="22">
        <f t="shared" si="2"/>
        <v>-2.1317457269060869E-2</v>
      </c>
      <c r="N17" s="2"/>
      <c r="O17" s="100">
        <v>45592</v>
      </c>
      <c r="P17" s="105">
        <v>248.98</v>
      </c>
      <c r="Q17" s="22">
        <f t="shared" si="3"/>
        <v>-7.5077083101155351E-2</v>
      </c>
      <c r="R17" s="2"/>
      <c r="S17" s="100">
        <v>45592</v>
      </c>
      <c r="T17" s="105">
        <v>476.76</v>
      </c>
      <c r="U17" s="22">
        <f t="shared" si="4"/>
        <v>-1.6442143048707582E-2</v>
      </c>
      <c r="V17" s="2"/>
      <c r="W17" s="100">
        <v>45592</v>
      </c>
      <c r="X17" s="105">
        <v>10.220000000000001</v>
      </c>
      <c r="Y17" s="22">
        <f t="shared" si="5"/>
        <v>-7.6784101174345046E-2</v>
      </c>
      <c r="Z17" s="2"/>
      <c r="AA17" s="100">
        <v>45592</v>
      </c>
      <c r="AB17" s="105">
        <v>13.7</v>
      </c>
      <c r="AC17" s="22">
        <f t="shared" si="6"/>
        <v>4.3988269794720466E-3</v>
      </c>
      <c r="AD17" s="2"/>
      <c r="AE17" s="100">
        <v>45592</v>
      </c>
      <c r="AF17" s="105">
        <v>172.83</v>
      </c>
      <c r="AG17" s="22">
        <f t="shared" si="7"/>
        <v>4.8255813953489097E-3</v>
      </c>
    </row>
    <row r="18" spans="2:33" x14ac:dyDescent="0.25">
      <c r="B18" s="93">
        <f>DATE(2025,12,31)</f>
        <v>46022</v>
      </c>
      <c r="G18" s="100">
        <v>45585</v>
      </c>
      <c r="H18" s="105">
        <v>5808.12</v>
      </c>
      <c r="I18" s="22">
        <f t="shared" si="1"/>
        <v>-9.6424862780003281E-3</v>
      </c>
      <c r="J18" s="2"/>
      <c r="K18" s="100">
        <v>45585</v>
      </c>
      <c r="L18" s="105">
        <v>52.07</v>
      </c>
      <c r="M18" s="22">
        <f t="shared" si="2"/>
        <v>5.8763725091500622E-2</v>
      </c>
      <c r="N18" s="2"/>
      <c r="O18" s="100">
        <v>45585</v>
      </c>
      <c r="P18" s="105">
        <v>269.19</v>
      </c>
      <c r="Q18" s="22">
        <f t="shared" si="3"/>
        <v>0.21971001359311287</v>
      </c>
      <c r="R18" s="2"/>
      <c r="S18" s="100">
        <v>45585</v>
      </c>
      <c r="T18" s="105">
        <v>484.73</v>
      </c>
      <c r="U18" s="22">
        <f t="shared" si="4"/>
        <v>4.9341764279050388E-3</v>
      </c>
      <c r="V18" s="2"/>
      <c r="W18" s="100">
        <v>45585</v>
      </c>
      <c r="X18" s="105">
        <v>11.07</v>
      </c>
      <c r="Y18" s="22">
        <f t="shared" si="5"/>
        <v>-2.7027027027026452E-3</v>
      </c>
      <c r="Z18" s="2"/>
      <c r="AA18" s="100">
        <v>45585</v>
      </c>
      <c r="AB18" s="105">
        <v>13.64</v>
      </c>
      <c r="AC18" s="22">
        <f t="shared" si="6"/>
        <v>2.710843373493985E-2</v>
      </c>
      <c r="AD18" s="2"/>
      <c r="AE18" s="100">
        <v>45585</v>
      </c>
      <c r="AF18" s="105">
        <v>172</v>
      </c>
      <c r="AG18" s="22">
        <f t="shared" si="7"/>
        <v>2.7400454730950787E-3</v>
      </c>
    </row>
    <row r="19" spans="2:33" x14ac:dyDescent="0.25">
      <c r="B19" s="38" t="s">
        <v>167</v>
      </c>
      <c r="G19" s="100">
        <v>45578</v>
      </c>
      <c r="H19" s="105">
        <v>5864.67</v>
      </c>
      <c r="I19" s="22">
        <f t="shared" si="1"/>
        <v>8.5364993817745281E-3</v>
      </c>
      <c r="J19" s="2"/>
      <c r="K19" s="100">
        <v>45578</v>
      </c>
      <c r="L19" s="105">
        <v>49.18</v>
      </c>
      <c r="M19" s="22">
        <f t="shared" si="2"/>
        <v>2.7365782327136042E-2</v>
      </c>
      <c r="N19" s="2"/>
      <c r="O19" s="100">
        <v>45578</v>
      </c>
      <c r="P19" s="105">
        <v>220.7</v>
      </c>
      <c r="Q19" s="22">
        <f t="shared" si="3"/>
        <v>1.3314967860422302E-2</v>
      </c>
      <c r="R19" s="2"/>
      <c r="S19" s="100">
        <v>45578</v>
      </c>
      <c r="T19" s="105">
        <v>482.35</v>
      </c>
      <c r="U19" s="22">
        <f t="shared" si="4"/>
        <v>2.8289417583354733E-2</v>
      </c>
      <c r="V19" s="2"/>
      <c r="W19" s="100">
        <v>45578</v>
      </c>
      <c r="X19" s="105">
        <v>11.1</v>
      </c>
      <c r="Y19" s="22">
        <f t="shared" si="5"/>
        <v>3.5447761194029759E-2</v>
      </c>
      <c r="Z19" s="2"/>
      <c r="AA19" s="100">
        <v>45578</v>
      </c>
      <c r="AB19" s="105">
        <v>13.28</v>
      </c>
      <c r="AC19" s="22">
        <f t="shared" si="6"/>
        <v>2.075326671790927E-2</v>
      </c>
      <c r="AD19" s="2"/>
      <c r="AE19" s="100">
        <v>45578</v>
      </c>
      <c r="AF19" s="105">
        <v>171.53</v>
      </c>
      <c r="AG19" s="22">
        <f t="shared" si="7"/>
        <v>-1.4535217741008855E-2</v>
      </c>
    </row>
    <row r="20" spans="2:33" x14ac:dyDescent="0.25">
      <c r="B20" s="96">
        <f>(B18-B16)/365</f>
        <v>0.9945205479452055</v>
      </c>
      <c r="G20" s="100">
        <v>45571</v>
      </c>
      <c r="H20" s="105">
        <v>5815.03</v>
      </c>
      <c r="I20" s="22">
        <f t="shared" si="1"/>
        <v>1.1121408711770165E-2</v>
      </c>
      <c r="J20" s="2"/>
      <c r="K20" s="100">
        <v>45571</v>
      </c>
      <c r="L20" s="105">
        <v>47.87</v>
      </c>
      <c r="M20" s="22">
        <f t="shared" si="2"/>
        <v>4.7942206654991194E-2</v>
      </c>
      <c r="N20" s="2"/>
      <c r="O20" s="100">
        <v>45571</v>
      </c>
      <c r="P20" s="105">
        <v>217.8</v>
      </c>
      <c r="Q20" s="22">
        <f t="shared" si="3"/>
        <v>-0.12907869481765835</v>
      </c>
      <c r="R20" s="2"/>
      <c r="S20" s="100">
        <v>45571</v>
      </c>
      <c r="T20" s="105">
        <v>469.08</v>
      </c>
      <c r="U20" s="22">
        <f t="shared" si="4"/>
        <v>4.2840310353260226E-2</v>
      </c>
      <c r="V20" s="2"/>
      <c r="W20" s="100">
        <v>45571</v>
      </c>
      <c r="X20" s="105">
        <v>10.72</v>
      </c>
      <c r="Y20" s="22">
        <f t="shared" si="5"/>
        <v>1.4191106906338728E-2</v>
      </c>
      <c r="Z20" s="2"/>
      <c r="AA20" s="100">
        <v>45571</v>
      </c>
      <c r="AB20" s="105">
        <v>13.01</v>
      </c>
      <c r="AC20" s="22">
        <f t="shared" si="6"/>
        <v>-2.3273273273273311E-2</v>
      </c>
      <c r="AD20" s="2"/>
      <c r="AE20" s="100">
        <v>45571</v>
      </c>
      <c r="AF20" s="105">
        <v>174.06</v>
      </c>
      <c r="AG20" s="22">
        <f t="shared" si="7"/>
        <v>-3.3107432507499208E-2</v>
      </c>
    </row>
    <row r="21" spans="2:33" x14ac:dyDescent="0.25">
      <c r="D21" s="51"/>
      <c r="G21" s="100">
        <v>45564</v>
      </c>
      <c r="H21" s="105">
        <v>5751.07</v>
      </c>
      <c r="I21" s="22">
        <f t="shared" si="1"/>
        <v>2.2481034894399495E-3</v>
      </c>
      <c r="J21" s="2"/>
      <c r="K21" s="100">
        <v>45564</v>
      </c>
      <c r="L21" s="105">
        <v>45.68</v>
      </c>
      <c r="M21" s="22">
        <f t="shared" si="2"/>
        <v>-1.721170395869185E-2</v>
      </c>
      <c r="N21" s="2"/>
      <c r="O21" s="100">
        <v>45564</v>
      </c>
      <c r="P21" s="105">
        <v>250.08</v>
      </c>
      <c r="Q21" s="22">
        <f t="shared" si="3"/>
        <v>-3.9852568532596055E-2</v>
      </c>
      <c r="R21" s="2"/>
      <c r="S21" s="100">
        <v>45564</v>
      </c>
      <c r="T21" s="105">
        <v>449.81</v>
      </c>
      <c r="U21" s="22">
        <f t="shared" si="4"/>
        <v>-4.6366180461329724E-2</v>
      </c>
      <c r="V21" s="2"/>
      <c r="W21" s="100">
        <v>45564</v>
      </c>
      <c r="X21" s="105">
        <v>10.57</v>
      </c>
      <c r="Y21" s="22">
        <f t="shared" si="5"/>
        <v>-1.9480519480519397E-2</v>
      </c>
      <c r="Z21" s="2"/>
      <c r="AA21" s="100">
        <v>45564</v>
      </c>
      <c r="AB21" s="105">
        <v>13.32</v>
      </c>
      <c r="AC21" s="22">
        <f t="shared" si="6"/>
        <v>-0.17061021170610202</v>
      </c>
      <c r="AD21" s="2"/>
      <c r="AE21" s="100">
        <v>45564</v>
      </c>
      <c r="AF21" s="105">
        <v>180.02</v>
      </c>
      <c r="AG21" s="22">
        <f t="shared" si="7"/>
        <v>-1.5315610983480927E-2</v>
      </c>
    </row>
    <row r="22" spans="2:33" x14ac:dyDescent="0.25">
      <c r="G22" s="100">
        <v>45557</v>
      </c>
      <c r="H22" s="105">
        <v>5738.17</v>
      </c>
      <c r="I22" s="22">
        <f t="shared" si="1"/>
        <v>6.2463283969452065E-3</v>
      </c>
      <c r="J22" s="2"/>
      <c r="K22" s="100">
        <v>45557</v>
      </c>
      <c r="L22" s="105">
        <v>46.48</v>
      </c>
      <c r="M22" s="22">
        <f t="shared" si="2"/>
        <v>-4.9099836333879002E-2</v>
      </c>
      <c r="N22" s="2"/>
      <c r="O22" s="100">
        <v>45557</v>
      </c>
      <c r="P22" s="105">
        <v>260.45999999999998</v>
      </c>
      <c r="Q22" s="22">
        <f t="shared" si="3"/>
        <v>9.3221406086043984E-2</v>
      </c>
      <c r="R22" s="2"/>
      <c r="S22" s="100">
        <v>45557</v>
      </c>
      <c r="T22" s="105">
        <v>471.68</v>
      </c>
      <c r="U22" s="22">
        <f t="shared" si="4"/>
        <v>2.3801428085685238E-3</v>
      </c>
      <c r="V22" s="2"/>
      <c r="W22" s="100">
        <v>45557</v>
      </c>
      <c r="X22" s="105">
        <v>10.78</v>
      </c>
      <c r="Y22" s="22">
        <f t="shared" si="5"/>
        <v>-9.1911764705883657E-3</v>
      </c>
      <c r="Z22" s="2"/>
      <c r="AA22" s="100">
        <v>45557</v>
      </c>
      <c r="AB22" s="105">
        <v>16.059999999999999</v>
      </c>
      <c r="AC22" s="22">
        <f t="shared" si="6"/>
        <v>7.0666666666666586E-2</v>
      </c>
      <c r="AD22" s="2"/>
      <c r="AE22" s="100">
        <v>45557</v>
      </c>
      <c r="AF22" s="105">
        <v>182.82</v>
      </c>
      <c r="AG22" s="22">
        <f t="shared" si="7"/>
        <v>-6.7908947682946705E-3</v>
      </c>
    </row>
    <row r="23" spans="2:33" x14ac:dyDescent="0.25">
      <c r="G23" s="100">
        <v>45550</v>
      </c>
      <c r="H23" s="105">
        <v>5702.55</v>
      </c>
      <c r="I23" s="22">
        <f t="shared" si="1"/>
        <v>1.3602866680175282E-2</v>
      </c>
      <c r="J23" s="2"/>
      <c r="K23" s="100">
        <v>45550</v>
      </c>
      <c r="L23" s="105">
        <v>48.88</v>
      </c>
      <c r="M23" s="22">
        <f t="shared" si="2"/>
        <v>5.5723542116630789E-2</v>
      </c>
      <c r="N23" s="2"/>
      <c r="O23" s="100">
        <v>45550</v>
      </c>
      <c r="P23" s="105">
        <v>238.25</v>
      </c>
      <c r="Q23" s="22">
        <f t="shared" si="3"/>
        <v>3.456511355247735E-2</v>
      </c>
      <c r="R23" s="2"/>
      <c r="S23" s="100">
        <v>45550</v>
      </c>
      <c r="T23" s="105">
        <v>470.56</v>
      </c>
      <c r="U23" s="22">
        <f t="shared" si="4"/>
        <v>3.133727003346964E-3</v>
      </c>
      <c r="V23" s="2"/>
      <c r="W23" s="100">
        <v>45550</v>
      </c>
      <c r="X23" s="105">
        <v>10.88</v>
      </c>
      <c r="Y23" s="22">
        <f t="shared" si="5"/>
        <v>1.7773620205799933E-2</v>
      </c>
      <c r="Z23" s="2"/>
      <c r="AA23" s="100">
        <v>45550</v>
      </c>
      <c r="AB23" s="105">
        <v>15</v>
      </c>
      <c r="AC23" s="22">
        <f t="shared" si="6"/>
        <v>-4.6449900464499193E-3</v>
      </c>
      <c r="AD23" s="2"/>
      <c r="AE23" s="100">
        <v>45550</v>
      </c>
      <c r="AF23" s="105">
        <v>184.07</v>
      </c>
      <c r="AG23" s="22">
        <f t="shared" si="7"/>
        <v>4.9489708649295895E-2</v>
      </c>
    </row>
    <row r="24" spans="2:33" x14ac:dyDescent="0.25">
      <c r="G24" s="100">
        <v>45543</v>
      </c>
      <c r="H24" s="105">
        <v>5626.02</v>
      </c>
      <c r="I24" s="22">
        <f t="shared" si="1"/>
        <v>4.0233561742616213E-2</v>
      </c>
      <c r="J24" s="2"/>
      <c r="K24" s="100">
        <v>45543</v>
      </c>
      <c r="L24" s="105">
        <v>46.3</v>
      </c>
      <c r="M24" s="22">
        <f t="shared" si="2"/>
        <v>-1.7819261773440887E-2</v>
      </c>
      <c r="N24" s="2"/>
      <c r="O24" s="100">
        <v>45543</v>
      </c>
      <c r="P24" s="105">
        <v>230.29</v>
      </c>
      <c r="Q24" s="22">
        <f t="shared" si="3"/>
        <v>9.2820196459925036E-2</v>
      </c>
      <c r="R24" s="2"/>
      <c r="S24" s="100">
        <v>45543</v>
      </c>
      <c r="T24" s="105">
        <v>469.09</v>
      </c>
      <c r="U24" s="22">
        <f t="shared" si="4"/>
        <v>-3.42043764605909E-3</v>
      </c>
      <c r="V24" s="2"/>
      <c r="W24" s="100">
        <v>45543</v>
      </c>
      <c r="X24" s="105">
        <v>10.69</v>
      </c>
      <c r="Y24" s="22">
        <f t="shared" si="5"/>
        <v>1.0396975425330759E-2</v>
      </c>
      <c r="Z24" s="2"/>
      <c r="AA24" s="100">
        <v>45543</v>
      </c>
      <c r="AB24" s="105">
        <v>15.07</v>
      </c>
      <c r="AC24" s="22">
        <f t="shared" si="6"/>
        <v>-2.7741935483870949E-2</v>
      </c>
      <c r="AD24" s="2"/>
      <c r="AE24" s="100">
        <v>45543</v>
      </c>
      <c r="AF24" s="105">
        <v>175.39</v>
      </c>
      <c r="AG24" s="22">
        <f t="shared" si="7"/>
        <v>-1.0102720397336158E-2</v>
      </c>
    </row>
    <row r="25" spans="2:33" x14ac:dyDescent="0.25">
      <c r="G25" s="100">
        <v>45536</v>
      </c>
      <c r="H25" s="105">
        <v>5408.42</v>
      </c>
      <c r="I25" s="22">
        <f t="shared" si="1"/>
        <v>-4.2486367820975778E-2</v>
      </c>
      <c r="J25" s="2"/>
      <c r="K25" s="100">
        <v>45536</v>
      </c>
      <c r="L25" s="105">
        <v>47.14</v>
      </c>
      <c r="M25" s="22">
        <f t="shared" si="2"/>
        <v>-5.3033346725592616E-2</v>
      </c>
      <c r="N25" s="2"/>
      <c r="O25" s="100">
        <v>45536</v>
      </c>
      <c r="P25" s="105">
        <v>210.73</v>
      </c>
      <c r="Q25" s="22">
        <f t="shared" si="3"/>
        <v>-1.5786278081360159E-2</v>
      </c>
      <c r="R25" s="2"/>
      <c r="S25" s="100">
        <v>45536</v>
      </c>
      <c r="T25" s="105">
        <v>470.7</v>
      </c>
      <c r="U25" s="22">
        <f t="shared" si="4"/>
        <v>-5.2517160168280425E-2</v>
      </c>
      <c r="V25" s="2"/>
      <c r="W25" s="100">
        <v>45536</v>
      </c>
      <c r="X25" s="105">
        <v>10.58</v>
      </c>
      <c r="Y25" s="22">
        <f t="shared" si="5"/>
        <v>-5.4512957998212638E-2</v>
      </c>
      <c r="Z25" s="2"/>
      <c r="AA25" s="100">
        <v>45536</v>
      </c>
      <c r="AB25" s="105">
        <v>15.5</v>
      </c>
      <c r="AC25" s="22">
        <f t="shared" si="6"/>
        <v>-7.6281287246722354E-2</v>
      </c>
      <c r="AD25" s="2"/>
      <c r="AE25" s="100">
        <v>45536</v>
      </c>
      <c r="AF25" s="105">
        <v>177.18</v>
      </c>
      <c r="AG25" s="22">
        <f t="shared" si="7"/>
        <v>-6.6491043203371986E-2</v>
      </c>
    </row>
    <row r="26" spans="2:33" x14ac:dyDescent="0.25">
      <c r="G26" s="100">
        <v>45529</v>
      </c>
      <c r="H26" s="105">
        <v>5648.4</v>
      </c>
      <c r="I26" s="22">
        <f t="shared" si="1"/>
        <v>2.4473743524396478E-3</v>
      </c>
      <c r="J26" s="2"/>
      <c r="K26" s="100">
        <v>45529</v>
      </c>
      <c r="L26" s="105">
        <v>49.78</v>
      </c>
      <c r="M26" s="22">
        <f t="shared" si="2"/>
        <v>2.4912497426394911E-2</v>
      </c>
      <c r="N26" s="2"/>
      <c r="O26" s="100">
        <v>45529</v>
      </c>
      <c r="P26" s="105">
        <v>214.11</v>
      </c>
      <c r="Q26" s="22">
        <f t="shared" si="3"/>
        <v>-2.8186274509803828E-2</v>
      </c>
      <c r="R26" s="2"/>
      <c r="S26" s="100">
        <v>45529</v>
      </c>
      <c r="T26" s="105">
        <v>496.79</v>
      </c>
      <c r="U26" s="22">
        <f t="shared" si="4"/>
        <v>2.6552878456006991E-2</v>
      </c>
      <c r="V26" s="2"/>
      <c r="W26" s="100">
        <v>45529</v>
      </c>
      <c r="X26" s="105">
        <v>11.19</v>
      </c>
      <c r="Y26" s="22">
        <f t="shared" si="5"/>
        <v>-7.0984915705412663E-3</v>
      </c>
      <c r="Z26" s="2"/>
      <c r="AA26" s="100">
        <v>45529</v>
      </c>
      <c r="AB26" s="105">
        <v>16.78</v>
      </c>
      <c r="AC26" s="22">
        <f t="shared" si="6"/>
        <v>-1.190476190476165E-3</v>
      </c>
      <c r="AD26" s="2"/>
      <c r="AE26" s="100">
        <v>45529</v>
      </c>
      <c r="AF26" s="105">
        <v>189.8</v>
      </c>
      <c r="AG26" s="22">
        <f t="shared" si="7"/>
        <v>2.5447079799016736E-2</v>
      </c>
    </row>
    <row r="27" spans="2:33" x14ac:dyDescent="0.25">
      <c r="G27" s="100">
        <v>45522</v>
      </c>
      <c r="H27" s="105">
        <v>5634.61</v>
      </c>
      <c r="I27" s="22">
        <f t="shared" si="1"/>
        <v>1.4468200027006288E-2</v>
      </c>
      <c r="J27" s="2"/>
      <c r="K27" s="100">
        <v>45522</v>
      </c>
      <c r="L27" s="105">
        <v>48.57</v>
      </c>
      <c r="M27" s="22">
        <f t="shared" si="2"/>
        <v>7.1712268314210056E-2</v>
      </c>
      <c r="N27" s="2"/>
      <c r="O27" s="100">
        <v>45522</v>
      </c>
      <c r="P27" s="105">
        <v>220.32</v>
      </c>
      <c r="Q27" s="22">
        <f t="shared" si="3"/>
        <v>1.9433647973348088E-2</v>
      </c>
      <c r="R27" s="2"/>
      <c r="S27" s="100">
        <v>45522</v>
      </c>
      <c r="T27" s="105">
        <v>483.94</v>
      </c>
      <c r="U27" s="22">
        <f t="shared" si="4"/>
        <v>5.2730041331303046E-2</v>
      </c>
      <c r="V27" s="2"/>
      <c r="W27" s="100">
        <v>45522</v>
      </c>
      <c r="X27" s="105">
        <v>11.27</v>
      </c>
      <c r="Y27" s="22">
        <f t="shared" si="5"/>
        <v>7.2312083729781138E-2</v>
      </c>
      <c r="Z27" s="2"/>
      <c r="AA27" s="100">
        <v>45522</v>
      </c>
      <c r="AB27" s="105">
        <v>16.8</v>
      </c>
      <c r="AC27" s="22">
        <f t="shared" si="6"/>
        <v>5.726872246696036E-2</v>
      </c>
      <c r="AD27" s="2"/>
      <c r="AE27" s="100">
        <v>45522</v>
      </c>
      <c r="AF27" s="105">
        <v>185.09</v>
      </c>
      <c r="AG27" s="22">
        <f t="shared" si="7"/>
        <v>1.3247933431871769E-2</v>
      </c>
    </row>
    <row r="28" spans="2:33" x14ac:dyDescent="0.25">
      <c r="G28" s="100">
        <v>45515</v>
      </c>
      <c r="H28" s="105">
        <v>5554.25</v>
      </c>
      <c r="I28" s="22">
        <f t="shared" si="1"/>
        <v>3.9312071494865451E-2</v>
      </c>
      <c r="J28" s="2"/>
      <c r="K28" s="100">
        <v>45515</v>
      </c>
      <c r="L28" s="105">
        <v>45.32</v>
      </c>
      <c r="M28" s="22">
        <f t="shared" si="2"/>
        <v>4.2318307267709375E-2</v>
      </c>
      <c r="N28" s="2"/>
      <c r="O28" s="100">
        <v>45515</v>
      </c>
      <c r="P28" s="105">
        <v>216.12</v>
      </c>
      <c r="Q28" s="22">
        <f t="shared" si="3"/>
        <v>8.0600000000000019E-2</v>
      </c>
      <c r="R28" s="2"/>
      <c r="S28" s="100">
        <v>45515</v>
      </c>
      <c r="T28" s="105">
        <v>459.7</v>
      </c>
      <c r="U28" s="22">
        <f t="shared" si="4"/>
        <v>9.4237223584299284E-2</v>
      </c>
      <c r="V28" s="2"/>
      <c r="W28" s="100">
        <v>45515</v>
      </c>
      <c r="X28" s="105">
        <v>10.51</v>
      </c>
      <c r="Y28" s="22">
        <f t="shared" si="5"/>
        <v>4.0594059405940609E-2</v>
      </c>
      <c r="Z28" s="2"/>
      <c r="AA28" s="100">
        <v>45515</v>
      </c>
      <c r="AB28" s="105">
        <v>15.89</v>
      </c>
      <c r="AC28" s="22">
        <f t="shared" si="6"/>
        <v>3.7883736120182893E-2</v>
      </c>
      <c r="AD28" s="2"/>
      <c r="AE28" s="100">
        <v>45515</v>
      </c>
      <c r="AF28" s="105">
        <v>182.67</v>
      </c>
      <c r="AG28" s="22">
        <f t="shared" si="7"/>
        <v>8.3516222789014674E-2</v>
      </c>
    </row>
    <row r="29" spans="2:33" x14ac:dyDescent="0.25">
      <c r="G29" s="100">
        <v>45508</v>
      </c>
      <c r="H29" s="105">
        <v>5344.16</v>
      </c>
      <c r="I29" s="22">
        <f t="shared" si="1"/>
        <v>-4.4888676083323583E-4</v>
      </c>
      <c r="J29" s="2"/>
      <c r="K29" s="100">
        <v>45508</v>
      </c>
      <c r="L29" s="105">
        <v>43.48</v>
      </c>
      <c r="M29" s="22">
        <f t="shared" si="2"/>
        <v>5.6108817099829851E-2</v>
      </c>
      <c r="N29" s="2"/>
      <c r="O29" s="100">
        <v>45508</v>
      </c>
      <c r="P29" s="105">
        <v>200</v>
      </c>
      <c r="Q29" s="22">
        <f t="shared" si="3"/>
        <v>-3.6933596571483547E-2</v>
      </c>
      <c r="R29" s="2"/>
      <c r="S29" s="100">
        <v>45508</v>
      </c>
      <c r="T29" s="105">
        <v>420.11</v>
      </c>
      <c r="U29" s="22">
        <f t="shared" si="4"/>
        <v>-3.1089277889250127E-2</v>
      </c>
      <c r="V29" s="2"/>
      <c r="W29" s="100">
        <v>45508</v>
      </c>
      <c r="X29" s="105">
        <v>10.1</v>
      </c>
      <c r="Y29" s="22">
        <f t="shared" si="5"/>
        <v>6.9790628115653326E-3</v>
      </c>
      <c r="Z29" s="2"/>
      <c r="AA29" s="100">
        <v>45508</v>
      </c>
      <c r="AB29" s="105">
        <v>15.31</v>
      </c>
      <c r="AC29" s="22">
        <f t="shared" si="6"/>
        <v>-5.0836949783012932E-2</v>
      </c>
      <c r="AD29" s="2"/>
      <c r="AE29" s="100">
        <v>45508</v>
      </c>
      <c r="AF29" s="105">
        <v>168.59</v>
      </c>
      <c r="AG29" s="22">
        <f t="shared" si="7"/>
        <v>-2.5603976418911146E-2</v>
      </c>
    </row>
    <row r="30" spans="2:33" x14ac:dyDescent="0.25">
      <c r="G30" s="100">
        <v>45501</v>
      </c>
      <c r="H30" s="105">
        <v>5346.56</v>
      </c>
      <c r="I30" s="22">
        <f t="shared" si="1"/>
        <v>-2.0615119708376831E-2</v>
      </c>
      <c r="J30" s="2"/>
      <c r="K30" s="100">
        <v>45501</v>
      </c>
      <c r="L30" s="105">
        <v>41.17</v>
      </c>
      <c r="M30" s="22">
        <f t="shared" si="2"/>
        <v>-6.686310063463273E-2</v>
      </c>
      <c r="N30" s="2"/>
      <c r="O30" s="100">
        <v>45501</v>
      </c>
      <c r="P30" s="105">
        <v>207.67</v>
      </c>
      <c r="Q30" s="22">
        <f t="shared" si="3"/>
        <v>-5.5186533212011023E-2</v>
      </c>
      <c r="R30" s="2"/>
      <c r="S30" s="100">
        <v>45501</v>
      </c>
      <c r="T30" s="105">
        <v>433.59</v>
      </c>
      <c r="U30" s="22">
        <f t="shared" si="4"/>
        <v>4.7825036249395755E-2</v>
      </c>
      <c r="V30" s="2"/>
      <c r="W30" s="100">
        <v>45501</v>
      </c>
      <c r="X30" s="105">
        <v>10.029999999999999</v>
      </c>
      <c r="Y30" s="22">
        <f t="shared" si="5"/>
        <v>-0.10366398570151923</v>
      </c>
      <c r="Z30" s="2"/>
      <c r="AA30" s="100">
        <v>45501</v>
      </c>
      <c r="AB30" s="105">
        <v>16.13</v>
      </c>
      <c r="AC30" s="22">
        <f t="shared" si="6"/>
        <v>-8.6636466591166542E-2</v>
      </c>
      <c r="AD30" s="2"/>
      <c r="AE30" s="100">
        <v>45501</v>
      </c>
      <c r="AF30" s="105">
        <v>173.02</v>
      </c>
      <c r="AG30" s="22">
        <f t="shared" si="7"/>
        <v>-0.10128817785165177</v>
      </c>
    </row>
    <row r="31" spans="2:33" x14ac:dyDescent="0.25">
      <c r="G31" s="100">
        <v>45494</v>
      </c>
      <c r="H31" s="105">
        <v>5459.1</v>
      </c>
      <c r="I31" s="22">
        <f t="shared" si="1"/>
        <v>-8.337874659400479E-3</v>
      </c>
      <c r="J31" s="2"/>
      <c r="K31" s="100">
        <v>45494</v>
      </c>
      <c r="L31" s="105">
        <v>44.12</v>
      </c>
      <c r="M31" s="22">
        <f t="shared" si="2"/>
        <v>-8.6542443064182198E-2</v>
      </c>
      <c r="N31" s="2"/>
      <c r="O31" s="100">
        <v>45494</v>
      </c>
      <c r="P31" s="105">
        <v>219.8</v>
      </c>
      <c r="Q31" s="22">
        <f t="shared" si="3"/>
        <v>-8.1103678929765791E-2</v>
      </c>
      <c r="R31" s="2"/>
      <c r="S31" s="100">
        <v>45494</v>
      </c>
      <c r="T31" s="105">
        <v>413.8</v>
      </c>
      <c r="U31" s="22">
        <f t="shared" si="4"/>
        <v>-6.0291609617832646E-3</v>
      </c>
      <c r="V31" s="2"/>
      <c r="W31" s="100">
        <v>45494</v>
      </c>
      <c r="X31" s="105">
        <v>11.19</v>
      </c>
      <c r="Y31" s="22">
        <f t="shared" si="5"/>
        <v>-0.19957081545064384</v>
      </c>
      <c r="Z31" s="2"/>
      <c r="AA31" s="100">
        <v>45494</v>
      </c>
      <c r="AB31" s="105">
        <v>17.66</v>
      </c>
      <c r="AC31" s="22">
        <f t="shared" si="6"/>
        <v>-0.1261751608114795</v>
      </c>
      <c r="AD31" s="2"/>
      <c r="AE31" s="100">
        <v>45494</v>
      </c>
      <c r="AF31" s="105">
        <v>192.52</v>
      </c>
      <c r="AG31" s="22">
        <f t="shared" si="7"/>
        <v>-2.3484656353030663E-2</v>
      </c>
    </row>
    <row r="32" spans="2:33" x14ac:dyDescent="0.25">
      <c r="G32" s="100">
        <v>45487</v>
      </c>
      <c r="H32" s="105">
        <v>5505</v>
      </c>
      <c r="I32" s="22">
        <f t="shared" si="1"/>
        <v>-1.9651491002341859E-2</v>
      </c>
      <c r="J32" s="2"/>
      <c r="K32" s="100">
        <v>45487</v>
      </c>
      <c r="L32" s="105">
        <v>48.3</v>
      </c>
      <c r="M32" s="22">
        <f t="shared" si="2"/>
        <v>-1.4486839420526441E-2</v>
      </c>
      <c r="N32" s="2"/>
      <c r="O32" s="100">
        <v>45487</v>
      </c>
      <c r="P32" s="105">
        <v>239.2</v>
      </c>
      <c r="Q32" s="22">
        <f t="shared" si="3"/>
        <v>-3.6377553075776503E-2</v>
      </c>
      <c r="R32" s="2"/>
      <c r="S32" s="100">
        <v>45487</v>
      </c>
      <c r="T32" s="105">
        <v>416.31</v>
      </c>
      <c r="U32" s="22">
        <f t="shared" si="4"/>
        <v>-4.3317400496369202E-2</v>
      </c>
      <c r="V32" s="2"/>
      <c r="W32" s="100">
        <v>45487</v>
      </c>
      <c r="X32" s="105">
        <v>13.98</v>
      </c>
      <c r="Y32" s="22">
        <f t="shared" si="5"/>
        <v>-3.5637918745544503E-3</v>
      </c>
      <c r="Z32" s="2"/>
      <c r="AA32" s="100">
        <v>45487</v>
      </c>
      <c r="AB32" s="105">
        <v>20.21</v>
      </c>
      <c r="AC32" s="22">
        <f t="shared" si="6"/>
        <v>-4.923682914820181E-3</v>
      </c>
      <c r="AD32" s="2"/>
      <c r="AE32" s="100">
        <v>45487</v>
      </c>
      <c r="AF32" s="105">
        <v>197.15</v>
      </c>
      <c r="AG32" s="22">
        <f t="shared" si="7"/>
        <v>-5.0291439857411233E-2</v>
      </c>
    </row>
    <row r="33" spans="7:33" x14ac:dyDescent="0.25">
      <c r="G33" s="100">
        <v>45480</v>
      </c>
      <c r="H33" s="105">
        <v>5615.35</v>
      </c>
      <c r="I33" s="22">
        <f t="shared" si="1"/>
        <v>8.6506837381157761E-3</v>
      </c>
      <c r="J33" s="2"/>
      <c r="K33" s="100">
        <v>45480</v>
      </c>
      <c r="L33" s="105">
        <v>49.01</v>
      </c>
      <c r="M33" s="22">
        <f t="shared" si="2"/>
        <v>5.3525365434221726E-2</v>
      </c>
      <c r="N33" s="2"/>
      <c r="O33" s="100">
        <v>45480</v>
      </c>
      <c r="P33" s="105">
        <v>248.23</v>
      </c>
      <c r="Q33" s="22">
        <f t="shared" si="3"/>
        <v>-1.3080470737913567E-2</v>
      </c>
      <c r="R33" s="2"/>
      <c r="S33" s="100">
        <v>45480</v>
      </c>
      <c r="T33" s="105">
        <v>435.16</v>
      </c>
      <c r="U33" s="22">
        <f t="shared" si="4"/>
        <v>3.0232723312578515E-2</v>
      </c>
      <c r="V33" s="2"/>
      <c r="W33" s="100">
        <v>45480</v>
      </c>
      <c r="X33" s="105">
        <v>14.03</v>
      </c>
      <c r="Y33" s="22">
        <f t="shared" si="5"/>
        <v>9.2679127725856666E-2</v>
      </c>
      <c r="Z33" s="2"/>
      <c r="AA33" s="100">
        <v>45480</v>
      </c>
      <c r="AB33" s="105">
        <v>20.309999999999999</v>
      </c>
      <c r="AC33" s="22">
        <f t="shared" si="6"/>
        <v>3.834355828220859E-2</v>
      </c>
      <c r="AD33" s="2"/>
      <c r="AE33" s="100">
        <v>45480</v>
      </c>
      <c r="AF33" s="105">
        <v>207.59</v>
      </c>
      <c r="AG33" s="22">
        <f t="shared" si="7"/>
        <v>5.5219181399855403E-3</v>
      </c>
    </row>
    <row r="34" spans="7:33" x14ac:dyDescent="0.25">
      <c r="G34" s="100">
        <v>45473</v>
      </c>
      <c r="H34" s="105">
        <v>5567.19</v>
      </c>
      <c r="I34" s="22">
        <f t="shared" si="1"/>
        <v>1.954223804500704E-2</v>
      </c>
      <c r="J34" s="2"/>
      <c r="K34" s="100">
        <v>45473</v>
      </c>
      <c r="L34" s="105">
        <v>46.52</v>
      </c>
      <c r="M34" s="22">
        <f t="shared" si="2"/>
        <v>1.2914334911752535E-3</v>
      </c>
      <c r="N34" s="2"/>
      <c r="O34" s="100">
        <v>45473</v>
      </c>
      <c r="P34" s="105">
        <v>251.52</v>
      </c>
      <c r="Q34" s="22">
        <f t="shared" si="3"/>
        <v>0.27107337780473023</v>
      </c>
      <c r="R34" s="2"/>
      <c r="S34" s="100">
        <v>45473</v>
      </c>
      <c r="T34" s="105">
        <v>422.39</v>
      </c>
      <c r="U34" s="22">
        <f t="shared" si="4"/>
        <v>3.4331611039008697E-2</v>
      </c>
      <c r="V34" s="2"/>
      <c r="W34" s="100">
        <v>45473</v>
      </c>
      <c r="X34" s="105">
        <v>12.84</v>
      </c>
      <c r="Y34" s="22">
        <f t="shared" si="5"/>
        <v>2.3923444976076614E-2</v>
      </c>
      <c r="Z34" s="2"/>
      <c r="AA34" s="100">
        <v>45473</v>
      </c>
      <c r="AB34" s="105">
        <v>19.559999999999999</v>
      </c>
      <c r="AC34" s="22">
        <f t="shared" si="6"/>
        <v>-1.4609571788413234E-2</v>
      </c>
      <c r="AD34" s="2"/>
      <c r="AE34" s="100">
        <v>45473</v>
      </c>
      <c r="AF34" s="105">
        <v>206.45</v>
      </c>
      <c r="AG34" s="22">
        <f t="shared" si="7"/>
        <v>7.2205688637361062E-3</v>
      </c>
    </row>
    <row r="35" spans="7:33" x14ac:dyDescent="0.25">
      <c r="G35" s="100">
        <v>45466</v>
      </c>
      <c r="H35" s="105">
        <v>5460.48</v>
      </c>
      <c r="I35" s="22">
        <f t="shared" si="1"/>
        <v>-7.5760071148594545E-4</v>
      </c>
      <c r="J35" s="2"/>
      <c r="K35" s="100">
        <v>45466</v>
      </c>
      <c r="L35" s="105">
        <v>46.46</v>
      </c>
      <c r="M35" s="22">
        <f t="shared" si="2"/>
        <v>-2.6404023470243045E-2</v>
      </c>
      <c r="N35" s="2"/>
      <c r="O35" s="100">
        <v>45466</v>
      </c>
      <c r="P35" s="105">
        <v>197.88</v>
      </c>
      <c r="Q35" s="22">
        <f t="shared" si="3"/>
        <v>8.125239057974977E-2</v>
      </c>
      <c r="R35" s="2"/>
      <c r="S35" s="100">
        <v>45466</v>
      </c>
      <c r="T35" s="105">
        <v>408.37</v>
      </c>
      <c r="U35" s="22">
        <f t="shared" si="4"/>
        <v>-1.5145303267816166E-2</v>
      </c>
      <c r="V35" s="2"/>
      <c r="W35" s="100">
        <v>45466</v>
      </c>
      <c r="X35" s="105">
        <v>12.54</v>
      </c>
      <c r="Y35" s="22">
        <f t="shared" si="5"/>
        <v>5.9121621621621559E-2</v>
      </c>
      <c r="Z35" s="2"/>
      <c r="AA35" s="100">
        <v>45466</v>
      </c>
      <c r="AB35" s="105">
        <v>19.850000000000001</v>
      </c>
      <c r="AC35" s="22">
        <f t="shared" si="6"/>
        <v>-3.1707317073170663E-2</v>
      </c>
      <c r="AD35" s="2"/>
      <c r="AE35" s="100">
        <v>45466</v>
      </c>
      <c r="AF35" s="105">
        <v>204.97</v>
      </c>
      <c r="AG35" s="22">
        <f t="shared" si="7"/>
        <v>5.8838723008575192E-2</v>
      </c>
    </row>
    <row r="36" spans="7:33" x14ac:dyDescent="0.25">
      <c r="G36" s="100">
        <v>45459</v>
      </c>
      <c r="H36" s="105">
        <v>5464.62</v>
      </c>
      <c r="I36" s="22">
        <f t="shared" si="1"/>
        <v>6.0792400029456373E-3</v>
      </c>
      <c r="J36" s="2"/>
      <c r="K36" s="100">
        <v>45459</v>
      </c>
      <c r="L36" s="105">
        <v>47.72</v>
      </c>
      <c r="M36" s="22">
        <f t="shared" si="2"/>
        <v>2.0312165918323619E-2</v>
      </c>
      <c r="N36" s="2"/>
      <c r="O36" s="100">
        <v>45459</v>
      </c>
      <c r="P36" s="105">
        <v>183.01</v>
      </c>
      <c r="Q36" s="22">
        <f t="shared" si="3"/>
        <v>2.8088309645525535E-2</v>
      </c>
      <c r="R36" s="2"/>
      <c r="S36" s="100">
        <v>45459</v>
      </c>
      <c r="T36" s="105">
        <v>414.65</v>
      </c>
      <c r="U36" s="22">
        <f t="shared" si="4"/>
        <v>1.1390799551197518E-2</v>
      </c>
      <c r="V36" s="2"/>
      <c r="W36" s="100">
        <v>45459</v>
      </c>
      <c r="X36" s="105">
        <v>11.84</v>
      </c>
      <c r="Y36" s="22">
        <f t="shared" si="5"/>
        <v>1.110162254483339E-2</v>
      </c>
      <c r="Z36" s="2"/>
      <c r="AA36" s="100">
        <v>45459</v>
      </c>
      <c r="AB36" s="105">
        <v>20.5</v>
      </c>
      <c r="AC36" s="22">
        <f t="shared" si="6"/>
        <v>1.4349332013854485E-2</v>
      </c>
      <c r="AD36" s="2"/>
      <c r="AE36" s="100">
        <v>45459</v>
      </c>
      <c r="AF36" s="105">
        <v>193.58</v>
      </c>
      <c r="AG36" s="22">
        <f t="shared" si="7"/>
        <v>-1.800842083904014E-2</v>
      </c>
    </row>
    <row r="37" spans="7:33" x14ac:dyDescent="0.25">
      <c r="G37" s="100">
        <v>45452</v>
      </c>
      <c r="H37" s="105">
        <v>5431.6</v>
      </c>
      <c r="I37" s="22">
        <f t="shared" si="1"/>
        <v>1.5823856038631189E-2</v>
      </c>
      <c r="J37" s="2"/>
      <c r="K37" s="100">
        <v>45452</v>
      </c>
      <c r="L37" s="105">
        <v>46.77</v>
      </c>
      <c r="M37" s="22">
        <f t="shared" si="2"/>
        <v>2.2965879265091957E-2</v>
      </c>
      <c r="N37" s="2"/>
      <c r="O37" s="100">
        <v>45452</v>
      </c>
      <c r="P37" s="105">
        <v>178.01</v>
      </c>
      <c r="Q37" s="22">
        <f t="shared" si="3"/>
        <v>2.9862519720531958E-3</v>
      </c>
      <c r="R37" s="2"/>
      <c r="S37" s="100">
        <v>45452</v>
      </c>
      <c r="T37" s="105">
        <v>409.98</v>
      </c>
      <c r="U37" s="22">
        <f t="shared" si="4"/>
        <v>-7.1440680018404782E-3</v>
      </c>
      <c r="V37" s="2"/>
      <c r="W37" s="100">
        <v>45452</v>
      </c>
      <c r="X37" s="105">
        <v>11.71</v>
      </c>
      <c r="Y37" s="22">
        <f t="shared" si="5"/>
        <v>-3.6213991769547281E-2</v>
      </c>
      <c r="Z37" s="2"/>
      <c r="AA37" s="100">
        <v>45452</v>
      </c>
      <c r="AB37" s="105">
        <v>20.21</v>
      </c>
      <c r="AC37" s="22">
        <f t="shared" si="6"/>
        <v>-7.5057208237986298E-2</v>
      </c>
      <c r="AD37" s="2"/>
      <c r="AE37" s="100">
        <v>45452</v>
      </c>
      <c r="AF37" s="105">
        <v>197.13</v>
      </c>
      <c r="AG37" s="22">
        <f t="shared" si="7"/>
        <v>-4.4727660399302274E-2</v>
      </c>
    </row>
    <row r="38" spans="7:33" x14ac:dyDescent="0.25">
      <c r="G38" s="100">
        <v>45445</v>
      </c>
      <c r="H38" s="105">
        <v>5346.99</v>
      </c>
      <c r="I38" s="22">
        <f t="shared" si="1"/>
        <v>1.3165299544671551E-2</v>
      </c>
      <c r="J38" s="2"/>
      <c r="K38" s="100">
        <v>45445</v>
      </c>
      <c r="L38" s="105">
        <v>45.72</v>
      </c>
      <c r="M38" s="22">
        <f t="shared" si="2"/>
        <v>1.6225827961769211E-2</v>
      </c>
      <c r="N38" s="2"/>
      <c r="O38" s="100">
        <v>45445</v>
      </c>
      <c r="P38" s="105">
        <v>177.48</v>
      </c>
      <c r="Q38" s="22">
        <f t="shared" si="3"/>
        <v>-3.3692722371968927E-3</v>
      </c>
      <c r="R38" s="2"/>
      <c r="S38" s="100">
        <v>45445</v>
      </c>
      <c r="T38" s="105">
        <v>412.93</v>
      </c>
      <c r="U38" s="22">
        <f t="shared" si="4"/>
        <v>4.6958637469586544E-3</v>
      </c>
      <c r="V38" s="2"/>
      <c r="W38" s="100">
        <v>45445</v>
      </c>
      <c r="X38" s="105">
        <v>12.15</v>
      </c>
      <c r="Y38" s="22">
        <f t="shared" si="5"/>
        <v>1.6488046166528913E-3</v>
      </c>
      <c r="Z38" s="2"/>
      <c r="AA38" s="100">
        <v>45445</v>
      </c>
      <c r="AB38" s="105">
        <v>21.85</v>
      </c>
      <c r="AC38" s="22">
        <f t="shared" si="6"/>
        <v>-1.885945217781761E-2</v>
      </c>
      <c r="AD38" s="2"/>
      <c r="AE38" s="100">
        <v>45445</v>
      </c>
      <c r="AF38" s="105">
        <v>206.36</v>
      </c>
      <c r="AG38" s="22">
        <f t="shared" si="7"/>
        <v>-5.1262010942025552E-2</v>
      </c>
    </row>
    <row r="39" spans="7:33" x14ac:dyDescent="0.25">
      <c r="G39" s="100">
        <v>45438</v>
      </c>
      <c r="H39" s="105">
        <v>5277.51</v>
      </c>
      <c r="I39" s="22">
        <f t="shared" si="1"/>
        <v>-5.1293941998823752E-3</v>
      </c>
      <c r="J39" s="2"/>
      <c r="K39" s="100">
        <v>45438</v>
      </c>
      <c r="L39" s="105">
        <v>44.99</v>
      </c>
      <c r="M39" s="22">
        <f t="shared" si="2"/>
        <v>1.995012468827936E-2</v>
      </c>
      <c r="N39" s="2"/>
      <c r="O39" s="100">
        <v>45438</v>
      </c>
      <c r="P39" s="105">
        <v>178.08</v>
      </c>
      <c r="Q39" s="22">
        <f t="shared" si="3"/>
        <v>-6.4717696942646541E-3</v>
      </c>
      <c r="R39" s="2"/>
      <c r="S39" s="100">
        <v>45438</v>
      </c>
      <c r="T39" s="105">
        <v>411</v>
      </c>
      <c r="U39" s="22">
        <f t="shared" si="4"/>
        <v>-1.239907727797007E-2</v>
      </c>
      <c r="V39" s="2"/>
      <c r="W39" s="100">
        <v>45438</v>
      </c>
      <c r="X39" s="105">
        <v>12.13</v>
      </c>
      <c r="Y39" s="22">
        <f t="shared" si="5"/>
        <v>-2.4671052631578421E-3</v>
      </c>
      <c r="Z39" s="2"/>
      <c r="AA39" s="100">
        <v>45438</v>
      </c>
      <c r="AB39" s="105">
        <v>22.27</v>
      </c>
      <c r="AC39" s="22">
        <f t="shared" si="6"/>
        <v>-1.7929179740026513E-3</v>
      </c>
      <c r="AD39" s="2"/>
      <c r="AE39" s="100">
        <v>45438</v>
      </c>
      <c r="AF39" s="105">
        <v>217.51</v>
      </c>
      <c r="AG39" s="22">
        <f t="shared" si="7"/>
        <v>3.0898358236487156E-3</v>
      </c>
    </row>
    <row r="40" spans="7:33" x14ac:dyDescent="0.25">
      <c r="G40" s="100">
        <v>45431</v>
      </c>
      <c r="H40" s="105">
        <v>5304.72</v>
      </c>
      <c r="I40" s="22">
        <f t="shared" si="1"/>
        <v>2.7341621301570882E-4</v>
      </c>
      <c r="J40" s="2"/>
      <c r="K40" s="100">
        <v>45431</v>
      </c>
      <c r="L40" s="105">
        <v>44.11</v>
      </c>
      <c r="M40" s="22">
        <f t="shared" si="2"/>
        <v>-3.6057692307692277E-2</v>
      </c>
      <c r="N40" s="2"/>
      <c r="O40" s="100">
        <v>45431</v>
      </c>
      <c r="P40" s="105">
        <v>179.24</v>
      </c>
      <c r="Q40" s="22">
        <f t="shared" si="3"/>
        <v>1.003042939253917E-2</v>
      </c>
      <c r="R40" s="2"/>
      <c r="S40" s="100">
        <v>45431</v>
      </c>
      <c r="T40" s="105">
        <v>416.16</v>
      </c>
      <c r="U40" s="22">
        <f t="shared" si="4"/>
        <v>-1.4539426947667503E-2</v>
      </c>
      <c r="V40" s="2"/>
      <c r="W40" s="100">
        <v>45431</v>
      </c>
      <c r="X40" s="105">
        <v>12.16</v>
      </c>
      <c r="Y40" s="22">
        <f t="shared" si="5"/>
        <v>-9.7719869706839758E-3</v>
      </c>
      <c r="Z40" s="2"/>
      <c r="AA40" s="100">
        <v>45431</v>
      </c>
      <c r="AB40" s="105">
        <v>22.31</v>
      </c>
      <c r="AC40" s="22">
        <f t="shared" si="6"/>
        <v>-1.1957484499557112E-2</v>
      </c>
      <c r="AD40" s="2"/>
      <c r="AE40" s="100">
        <v>45431</v>
      </c>
      <c r="AF40" s="105">
        <v>216.84</v>
      </c>
      <c r="AG40" s="22">
        <f t="shared" si="7"/>
        <v>-1.3287222424462994E-2</v>
      </c>
    </row>
    <row r="41" spans="7:33" x14ac:dyDescent="0.25">
      <c r="G41" s="100">
        <v>45424</v>
      </c>
      <c r="H41" s="105">
        <v>5303.27</v>
      </c>
      <c r="I41" s="22">
        <f t="shared" si="1"/>
        <v>1.5430775004403896E-2</v>
      </c>
      <c r="J41" s="2"/>
      <c r="K41" s="100">
        <v>45424</v>
      </c>
      <c r="L41" s="105">
        <v>45.76</v>
      </c>
      <c r="M41" s="22">
        <f t="shared" si="2"/>
        <v>1.2165450121654438E-2</v>
      </c>
      <c r="N41" s="2"/>
      <c r="O41" s="100">
        <v>45424</v>
      </c>
      <c r="P41" s="105">
        <v>177.46</v>
      </c>
      <c r="Q41" s="22">
        <f t="shared" si="3"/>
        <v>5.3362616489582772E-2</v>
      </c>
      <c r="R41" s="2"/>
      <c r="S41" s="100">
        <v>45424</v>
      </c>
      <c r="T41" s="105">
        <v>422.3</v>
      </c>
      <c r="U41" s="22">
        <f t="shared" si="4"/>
        <v>4.271604938271608E-2</v>
      </c>
      <c r="V41" s="2"/>
      <c r="W41" s="100">
        <v>45424</v>
      </c>
      <c r="X41" s="105">
        <v>12.28</v>
      </c>
      <c r="Y41" s="22">
        <f t="shared" si="5"/>
        <v>2.4186822351959895E-2</v>
      </c>
      <c r="Z41" s="2"/>
      <c r="AA41" s="100">
        <v>45424</v>
      </c>
      <c r="AB41" s="105">
        <v>22.58</v>
      </c>
      <c r="AC41" s="22">
        <f t="shared" si="6"/>
        <v>3.1050228310502272E-2</v>
      </c>
      <c r="AD41" s="2"/>
      <c r="AE41" s="100">
        <v>45424</v>
      </c>
      <c r="AF41" s="105">
        <v>219.76</v>
      </c>
      <c r="AG41" s="22">
        <f t="shared" si="7"/>
        <v>4.4793856842489706E-3</v>
      </c>
    </row>
    <row r="42" spans="7:33" x14ac:dyDescent="0.25">
      <c r="G42" s="100">
        <v>45417</v>
      </c>
      <c r="H42" s="105">
        <v>5222.68</v>
      </c>
      <c r="I42" s="22">
        <f t="shared" si="1"/>
        <v>1.8505047983634341E-2</v>
      </c>
      <c r="J42" s="2"/>
      <c r="K42" s="100">
        <v>45417</v>
      </c>
      <c r="L42" s="105">
        <v>45.21</v>
      </c>
      <c r="M42" s="22">
        <f t="shared" si="2"/>
        <v>7.8020508247882616E-3</v>
      </c>
      <c r="N42" s="2"/>
      <c r="O42" s="100">
        <v>45417</v>
      </c>
      <c r="P42" s="105">
        <v>168.47</v>
      </c>
      <c r="Q42" s="22">
        <f t="shared" si="3"/>
        <v>-7.0202549809592132E-2</v>
      </c>
      <c r="R42" s="2"/>
      <c r="S42" s="100">
        <v>45417</v>
      </c>
      <c r="T42" s="105">
        <v>405</v>
      </c>
      <c r="U42" s="22">
        <f t="shared" si="4"/>
        <v>-5.8774314996862628E-2</v>
      </c>
      <c r="V42" s="2"/>
      <c r="W42" s="100">
        <v>45417</v>
      </c>
      <c r="X42" s="105">
        <v>11.99</v>
      </c>
      <c r="Y42" s="22">
        <f t="shared" si="5"/>
        <v>-3.5398230088495533E-2</v>
      </c>
      <c r="Z42" s="2"/>
      <c r="AA42" s="100">
        <v>45417</v>
      </c>
      <c r="AB42" s="105">
        <v>21.9</v>
      </c>
      <c r="AC42" s="22">
        <f t="shared" si="6"/>
        <v>1.8298261665141422E-3</v>
      </c>
      <c r="AD42" s="2"/>
      <c r="AE42" s="100">
        <v>45417</v>
      </c>
      <c r="AF42" s="105">
        <v>218.78</v>
      </c>
      <c r="AG42" s="22">
        <f t="shared" si="7"/>
        <v>-6.0505861639541386E-2</v>
      </c>
    </row>
    <row r="43" spans="7:33" x14ac:dyDescent="0.25">
      <c r="G43" s="100">
        <v>45410</v>
      </c>
      <c r="H43" s="105">
        <v>5127.79</v>
      </c>
      <c r="I43" s="22">
        <f t="shared" si="1"/>
        <v>5.4569055443571962E-3</v>
      </c>
      <c r="J43" s="2"/>
      <c r="K43" s="100">
        <v>45410</v>
      </c>
      <c r="L43" s="105">
        <v>44.86</v>
      </c>
      <c r="M43" s="22">
        <f t="shared" si="2"/>
        <v>-2.1378708551483504E-2</v>
      </c>
      <c r="N43" s="2"/>
      <c r="O43" s="100">
        <v>45410</v>
      </c>
      <c r="P43" s="105">
        <v>181.19</v>
      </c>
      <c r="Q43" s="22">
        <f t="shared" si="3"/>
        <v>7.6653395923703169E-2</v>
      </c>
      <c r="R43" s="2"/>
      <c r="S43" s="100">
        <v>45410</v>
      </c>
      <c r="T43" s="105">
        <v>430.29</v>
      </c>
      <c r="U43" s="22">
        <f t="shared" si="4"/>
        <v>1.8534299105240831E-2</v>
      </c>
      <c r="V43" s="2"/>
      <c r="W43" s="100">
        <v>45410</v>
      </c>
      <c r="X43" s="105">
        <v>12.43</v>
      </c>
      <c r="Y43" s="22">
        <f t="shared" si="5"/>
        <v>-2.8146989835809183E-2</v>
      </c>
      <c r="Z43" s="2"/>
      <c r="AA43" s="100">
        <v>45410</v>
      </c>
      <c r="AB43" s="105">
        <v>21.86</v>
      </c>
      <c r="AC43" s="22">
        <f t="shared" si="6"/>
        <v>-0.11641067097817297</v>
      </c>
      <c r="AD43" s="2"/>
      <c r="AE43" s="100">
        <v>45410</v>
      </c>
      <c r="AF43" s="105">
        <v>232.87</v>
      </c>
      <c r="AG43" s="22">
        <f t="shared" si="7"/>
        <v>2.7171276079573006E-2</v>
      </c>
    </row>
    <row r="44" spans="7:33" x14ac:dyDescent="0.25">
      <c r="G44" s="100">
        <v>45403</v>
      </c>
      <c r="H44" s="105">
        <v>5099.96</v>
      </c>
      <c r="I44" s="22">
        <f t="shared" si="1"/>
        <v>2.6721130287907041E-2</v>
      </c>
      <c r="J44" s="2"/>
      <c r="K44" s="100">
        <v>45403</v>
      </c>
      <c r="L44" s="105">
        <v>45.84</v>
      </c>
      <c r="M44" s="22">
        <f t="shared" si="2"/>
        <v>8.1897569034694501E-2</v>
      </c>
      <c r="N44" s="2"/>
      <c r="O44" s="100">
        <v>45403</v>
      </c>
      <c r="P44" s="105">
        <v>168.29</v>
      </c>
      <c r="Q44" s="22">
        <f t="shared" si="3"/>
        <v>0.14444066643998626</v>
      </c>
      <c r="R44" s="2"/>
      <c r="S44" s="100">
        <v>45403</v>
      </c>
      <c r="T44" s="105">
        <v>422.46</v>
      </c>
      <c r="U44" s="22">
        <f t="shared" si="4"/>
        <v>3.3794200416003922E-2</v>
      </c>
      <c r="V44" s="2"/>
      <c r="W44" s="100">
        <v>45403</v>
      </c>
      <c r="X44" s="105">
        <v>12.79</v>
      </c>
      <c r="Y44" s="22">
        <f t="shared" si="5"/>
        <v>5.354200988467863E-2</v>
      </c>
      <c r="Z44" s="2"/>
      <c r="AA44" s="100">
        <v>45403</v>
      </c>
      <c r="AB44" s="105">
        <v>24.74</v>
      </c>
      <c r="AC44" s="22">
        <f t="shared" si="6"/>
        <v>-3.9968956150562715E-2</v>
      </c>
      <c r="AD44" s="2"/>
      <c r="AE44" s="100">
        <v>45403</v>
      </c>
      <c r="AF44" s="105">
        <v>226.71</v>
      </c>
      <c r="AG44" s="22">
        <f t="shared" si="7"/>
        <v>-8.7880377754459196E-3</v>
      </c>
    </row>
    <row r="45" spans="7:33" x14ac:dyDescent="0.25">
      <c r="G45" s="100">
        <v>45396</v>
      </c>
      <c r="H45" s="105">
        <v>4967.2299999999996</v>
      </c>
      <c r="I45" s="22">
        <f t="shared" si="1"/>
        <v>-3.0483603693633791E-2</v>
      </c>
      <c r="J45" s="2"/>
      <c r="K45" s="100">
        <v>45396</v>
      </c>
      <c r="L45" s="105">
        <v>42.37</v>
      </c>
      <c r="M45" s="22">
        <f t="shared" si="2"/>
        <v>-1.6480965645311069E-2</v>
      </c>
      <c r="N45" s="2"/>
      <c r="O45" s="100">
        <v>45396</v>
      </c>
      <c r="P45" s="105">
        <v>147.05000000000001</v>
      </c>
      <c r="Q45" s="22">
        <f t="shared" si="3"/>
        <v>-0.14030985092078338</v>
      </c>
      <c r="R45" s="2"/>
      <c r="S45" s="100">
        <v>45396</v>
      </c>
      <c r="T45" s="105">
        <v>408.65</v>
      </c>
      <c r="U45" s="22">
        <f t="shared" si="4"/>
        <v>-4.2641325536062384E-3</v>
      </c>
      <c r="V45" s="2"/>
      <c r="W45" s="100">
        <v>45396</v>
      </c>
      <c r="X45" s="105">
        <v>12.14</v>
      </c>
      <c r="Y45" s="22">
        <f t="shared" si="5"/>
        <v>-3.7272006344171202E-2</v>
      </c>
      <c r="Z45" s="2"/>
      <c r="AA45" s="100">
        <v>45396</v>
      </c>
      <c r="AB45" s="105">
        <v>25.77</v>
      </c>
      <c r="AC45" s="22">
        <f t="shared" si="6"/>
        <v>-6.5535851966076215E-3</v>
      </c>
      <c r="AD45" s="2"/>
      <c r="AE45" s="100">
        <v>45396</v>
      </c>
      <c r="AF45" s="105">
        <v>228.72</v>
      </c>
      <c r="AG45" s="22">
        <f t="shared" si="7"/>
        <v>-5.8649215952586736E-2</v>
      </c>
    </row>
    <row r="46" spans="7:33" x14ac:dyDescent="0.25">
      <c r="G46" s="100">
        <v>45389</v>
      </c>
      <c r="H46" s="105">
        <v>5123.41</v>
      </c>
      <c r="I46" s="22">
        <f t="shared" si="1"/>
        <v>-1.5550482866223247E-2</v>
      </c>
      <c r="J46" s="2"/>
      <c r="K46" s="100">
        <v>45389</v>
      </c>
      <c r="L46" s="105">
        <v>43.08</v>
      </c>
      <c r="M46" s="22">
        <f t="shared" si="2"/>
        <v>-2.6000452181777045E-2</v>
      </c>
      <c r="N46" s="2"/>
      <c r="O46" s="100">
        <v>45389</v>
      </c>
      <c r="P46" s="105">
        <v>171.05</v>
      </c>
      <c r="Q46" s="22">
        <f t="shared" si="3"/>
        <v>3.7295330503335389E-2</v>
      </c>
      <c r="R46" s="2"/>
      <c r="S46" s="100">
        <v>45389</v>
      </c>
      <c r="T46" s="105">
        <v>410.4</v>
      </c>
      <c r="U46" s="22">
        <f t="shared" si="4"/>
        <v>-2.0197679415556596E-2</v>
      </c>
      <c r="V46" s="2"/>
      <c r="W46" s="100">
        <v>45389</v>
      </c>
      <c r="X46" s="105">
        <v>12.61</v>
      </c>
      <c r="Y46" s="22">
        <f t="shared" si="5"/>
        <v>-5.0451807228915659E-2</v>
      </c>
      <c r="Z46" s="2"/>
      <c r="AA46" s="100">
        <v>45389</v>
      </c>
      <c r="AB46" s="105">
        <v>25.94</v>
      </c>
      <c r="AC46" s="22">
        <f t="shared" si="6"/>
        <v>-2.627627627627625E-2</v>
      </c>
      <c r="AD46" s="2"/>
      <c r="AE46" s="100">
        <v>45389</v>
      </c>
      <c r="AF46" s="105">
        <v>242.97</v>
      </c>
      <c r="AG46" s="22">
        <f t="shared" si="7"/>
        <v>9.2631054249397264E-3</v>
      </c>
    </row>
    <row r="47" spans="7:33" x14ac:dyDescent="0.25">
      <c r="G47" s="100">
        <v>45382</v>
      </c>
      <c r="H47" s="105">
        <v>5204.34</v>
      </c>
      <c r="I47" s="22">
        <f t="shared" si="1"/>
        <v>-9.5178280853007915E-3</v>
      </c>
      <c r="J47" s="2"/>
      <c r="K47" s="100">
        <v>45382</v>
      </c>
      <c r="L47" s="105">
        <v>44.23</v>
      </c>
      <c r="M47" s="22">
        <f t="shared" si="2"/>
        <v>-2.4696802646086098E-2</v>
      </c>
      <c r="N47" s="2"/>
      <c r="O47" s="100">
        <v>45382</v>
      </c>
      <c r="P47" s="105">
        <v>164.9</v>
      </c>
      <c r="Q47" s="22">
        <f t="shared" si="3"/>
        <v>-6.1948916320609747E-2</v>
      </c>
      <c r="R47" s="2"/>
      <c r="S47" s="100">
        <v>45382</v>
      </c>
      <c r="T47" s="105">
        <v>418.86</v>
      </c>
      <c r="U47" s="22">
        <f t="shared" si="4"/>
        <v>-3.9179703628939723E-2</v>
      </c>
      <c r="V47" s="2"/>
      <c r="W47" s="100">
        <v>45382</v>
      </c>
      <c r="X47" s="105">
        <v>13.28</v>
      </c>
      <c r="Y47" s="22">
        <f t="shared" si="5"/>
        <v>0</v>
      </c>
      <c r="Z47" s="2"/>
      <c r="AA47" s="100">
        <v>45382</v>
      </c>
      <c r="AB47" s="105">
        <v>26.64</v>
      </c>
      <c r="AC47" s="22">
        <f t="shared" si="6"/>
        <v>-5.8657243816254423E-2</v>
      </c>
      <c r="AD47" s="2"/>
      <c r="AE47" s="100">
        <v>45382</v>
      </c>
      <c r="AF47" s="105">
        <v>240.74</v>
      </c>
      <c r="AG47" s="22">
        <f t="shared" si="7"/>
        <v>-4.3467895740623E-2</v>
      </c>
    </row>
    <row r="48" spans="7:33" x14ac:dyDescent="0.25">
      <c r="G48" s="100">
        <v>45375</v>
      </c>
      <c r="H48" s="105">
        <v>5254.35</v>
      </c>
      <c r="I48" s="22">
        <f t="shared" si="1"/>
        <v>3.8535166922039499E-3</v>
      </c>
      <c r="J48" s="2"/>
      <c r="K48" s="100">
        <v>45375</v>
      </c>
      <c r="L48" s="105">
        <v>45.35</v>
      </c>
      <c r="M48" s="22">
        <f t="shared" si="2"/>
        <v>5.3181607059916376E-2</v>
      </c>
      <c r="N48" s="2"/>
      <c r="O48" s="100">
        <v>45375</v>
      </c>
      <c r="P48" s="105">
        <v>175.79</v>
      </c>
      <c r="Q48" s="22">
        <f t="shared" si="3"/>
        <v>2.9034712872446168E-2</v>
      </c>
      <c r="R48" s="2"/>
      <c r="S48" s="100">
        <v>45375</v>
      </c>
      <c r="T48" s="105">
        <v>435.94</v>
      </c>
      <c r="U48" s="22">
        <f t="shared" si="4"/>
        <v>6.1159962150060636E-3</v>
      </c>
      <c r="V48" s="2"/>
      <c r="W48" s="100">
        <v>45375</v>
      </c>
      <c r="X48" s="105">
        <v>13.28</v>
      </c>
      <c r="Y48" s="22">
        <f t="shared" si="5"/>
        <v>2.865995352439963E-2</v>
      </c>
      <c r="Z48" s="2"/>
      <c r="AA48" s="100">
        <v>45375</v>
      </c>
      <c r="AB48" s="105">
        <v>28.3</v>
      </c>
      <c r="AC48" s="22">
        <f t="shared" si="6"/>
        <v>-3.0157642220699075E-2</v>
      </c>
      <c r="AD48" s="2"/>
      <c r="AE48" s="100">
        <v>45375</v>
      </c>
      <c r="AF48" s="105">
        <v>251.68</v>
      </c>
      <c r="AG48" s="22">
        <f t="shared" si="7"/>
        <v>-1.2128586568277283E-2</v>
      </c>
    </row>
    <row r="49" spans="7:33" x14ac:dyDescent="0.25">
      <c r="G49" s="100">
        <v>45368</v>
      </c>
      <c r="H49" s="105">
        <v>5234.18</v>
      </c>
      <c r="I49" s="22">
        <f t="shared" si="1"/>
        <v>2.2882145907146472E-2</v>
      </c>
      <c r="J49" s="2"/>
      <c r="K49" s="100">
        <v>45368</v>
      </c>
      <c r="L49" s="105">
        <v>43.06</v>
      </c>
      <c r="M49" s="22">
        <f t="shared" si="2"/>
        <v>5.8245269107889033E-2</v>
      </c>
      <c r="N49" s="2"/>
      <c r="O49" s="100">
        <v>45368</v>
      </c>
      <c r="P49" s="105">
        <v>170.83</v>
      </c>
      <c r="Q49" s="22">
        <f t="shared" si="3"/>
        <v>4.4384667114996758E-2</v>
      </c>
      <c r="R49" s="2"/>
      <c r="S49" s="100">
        <v>45368</v>
      </c>
      <c r="T49" s="105">
        <v>433.29</v>
      </c>
      <c r="U49" s="22">
        <f t="shared" si="4"/>
        <v>2.0610543176143591E-2</v>
      </c>
      <c r="V49" s="2"/>
      <c r="W49" s="100">
        <v>45368</v>
      </c>
      <c r="X49" s="105">
        <v>12.91</v>
      </c>
      <c r="Y49" s="22">
        <f t="shared" si="5"/>
        <v>7.0480928689883884E-2</v>
      </c>
      <c r="Z49" s="2"/>
      <c r="AA49" s="100">
        <v>45368</v>
      </c>
      <c r="AB49" s="105">
        <v>29.18</v>
      </c>
      <c r="AC49" s="22">
        <f t="shared" si="6"/>
        <v>2.3859649122807008E-2</v>
      </c>
      <c r="AD49" s="2"/>
      <c r="AE49" s="100">
        <v>45368</v>
      </c>
      <c r="AF49" s="105">
        <v>254.77</v>
      </c>
      <c r="AG49" s="22">
        <f t="shared" si="7"/>
        <v>8.5883556389054663E-2</v>
      </c>
    </row>
    <row r="50" spans="7:33" x14ac:dyDescent="0.25">
      <c r="G50" s="100">
        <v>45361</v>
      </c>
      <c r="H50" s="105">
        <v>5117.09</v>
      </c>
      <c r="I50" s="22">
        <f t="shared" si="1"/>
        <v>-1.288134137701433E-3</v>
      </c>
      <c r="J50" s="2"/>
      <c r="K50" s="100">
        <v>45361</v>
      </c>
      <c r="L50" s="105">
        <v>40.69</v>
      </c>
      <c r="M50" s="22">
        <f t="shared" si="2"/>
        <v>3.0126582278480956E-2</v>
      </c>
      <c r="N50" s="2"/>
      <c r="O50" s="100">
        <v>45361</v>
      </c>
      <c r="P50" s="105">
        <v>163.57</v>
      </c>
      <c r="Q50" s="22">
        <f t="shared" si="3"/>
        <v>-6.7126725219573455E-2</v>
      </c>
      <c r="R50" s="2"/>
      <c r="S50" s="100">
        <v>45361</v>
      </c>
      <c r="T50" s="105">
        <v>424.54</v>
      </c>
      <c r="U50" s="22">
        <f t="shared" si="4"/>
        <v>9.0317060417360161E-3</v>
      </c>
      <c r="V50" s="2"/>
      <c r="W50" s="100">
        <v>45361</v>
      </c>
      <c r="X50" s="105">
        <v>12.06</v>
      </c>
      <c r="Y50" s="22">
        <f t="shared" si="5"/>
        <v>-9.8522167487684088E-3</v>
      </c>
      <c r="Z50" s="2"/>
      <c r="AA50" s="100">
        <v>45361</v>
      </c>
      <c r="AB50" s="105">
        <v>28.5</v>
      </c>
      <c r="AC50" s="22">
        <f t="shared" si="6"/>
        <v>4.3956043956043932E-2</v>
      </c>
      <c r="AD50" s="2"/>
      <c r="AE50" s="100">
        <v>45361</v>
      </c>
      <c r="AF50" s="105">
        <v>234.62</v>
      </c>
      <c r="AG50" s="22">
        <f t="shared" si="7"/>
        <v>-3.3769870686104889E-2</v>
      </c>
    </row>
    <row r="51" spans="7:33" x14ac:dyDescent="0.25">
      <c r="G51" s="100">
        <v>45354</v>
      </c>
      <c r="H51" s="105">
        <v>5123.6899999999996</v>
      </c>
      <c r="I51" s="22">
        <f t="shared" si="1"/>
        <v>-2.6065391233931197E-3</v>
      </c>
      <c r="J51" s="2"/>
      <c r="K51" s="100">
        <v>45354</v>
      </c>
      <c r="L51" s="105">
        <v>39.5</v>
      </c>
      <c r="M51" s="22">
        <f t="shared" si="2"/>
        <v>-3.635032934862166E-2</v>
      </c>
      <c r="N51" s="2"/>
      <c r="O51" s="100">
        <v>45354</v>
      </c>
      <c r="P51" s="105">
        <v>175.34</v>
      </c>
      <c r="Q51" s="22">
        <f t="shared" si="3"/>
        <v>-0.13472167390446105</v>
      </c>
      <c r="R51" s="2"/>
      <c r="S51" s="100">
        <v>45354</v>
      </c>
      <c r="T51" s="105">
        <v>420.74</v>
      </c>
      <c r="U51" s="22">
        <f t="shared" si="4"/>
        <v>-1.083813330198663E-2</v>
      </c>
      <c r="V51" s="2"/>
      <c r="W51" s="100">
        <v>45354</v>
      </c>
      <c r="X51" s="105">
        <v>12.18</v>
      </c>
      <c r="Y51" s="22">
        <f t="shared" si="5"/>
        <v>-2.1686746987951776E-2</v>
      </c>
      <c r="Z51" s="2"/>
      <c r="AA51" s="100">
        <v>45354</v>
      </c>
      <c r="AB51" s="105">
        <v>27.3</v>
      </c>
      <c r="AC51" s="22">
        <f t="shared" si="6"/>
        <v>3.0577576443941198E-2</v>
      </c>
      <c r="AD51" s="2"/>
      <c r="AE51" s="100">
        <v>45354</v>
      </c>
      <c r="AF51" s="105">
        <v>242.82</v>
      </c>
      <c r="AG51" s="22">
        <f t="shared" si="7"/>
        <v>-1.3087302877580876E-2</v>
      </c>
    </row>
    <row r="52" spans="7:33" x14ac:dyDescent="0.25">
      <c r="G52" s="100">
        <v>45347</v>
      </c>
      <c r="H52" s="105">
        <v>5137.08</v>
      </c>
      <c r="I52" s="22">
        <f t="shared" si="1"/>
        <v>9.4875019650997768E-3</v>
      </c>
      <c r="J52" s="2"/>
      <c r="K52" s="100">
        <v>45347</v>
      </c>
      <c r="L52" s="105">
        <v>40.99</v>
      </c>
      <c r="M52" s="22">
        <f t="shared" si="2"/>
        <v>3.4317436285642176E-2</v>
      </c>
      <c r="N52" s="2"/>
      <c r="O52" s="100">
        <v>45347</v>
      </c>
      <c r="P52" s="105">
        <v>202.64</v>
      </c>
      <c r="Q52" s="22">
        <f t="shared" si="3"/>
        <v>5.5581601291868454E-2</v>
      </c>
      <c r="R52" s="2"/>
      <c r="S52" s="100">
        <v>45347</v>
      </c>
      <c r="T52" s="105">
        <v>425.35</v>
      </c>
      <c r="U52" s="22">
        <f t="shared" si="4"/>
        <v>2.2303939240993175E-2</v>
      </c>
      <c r="V52" s="2"/>
      <c r="W52" s="100">
        <v>45347</v>
      </c>
      <c r="X52" s="105">
        <v>12.45</v>
      </c>
      <c r="Y52" s="22">
        <f t="shared" si="5"/>
        <v>2.553542009884668E-2</v>
      </c>
      <c r="Z52" s="2"/>
      <c r="AA52" s="100">
        <v>45347</v>
      </c>
      <c r="AB52" s="105">
        <v>26.49</v>
      </c>
      <c r="AC52" s="22">
        <f t="shared" si="6"/>
        <v>-7.5443228970211709E-4</v>
      </c>
      <c r="AD52" s="2"/>
      <c r="AE52" s="100">
        <v>45347</v>
      </c>
      <c r="AF52" s="105">
        <v>246.04</v>
      </c>
      <c r="AG52" s="22">
        <f t="shared" si="7"/>
        <v>4.6978723404255282E-2</v>
      </c>
    </row>
    <row r="53" spans="7:33" x14ac:dyDescent="0.25">
      <c r="G53" s="100">
        <v>45340</v>
      </c>
      <c r="H53" s="105">
        <v>5088.8</v>
      </c>
      <c r="I53" s="22">
        <f t="shared" si="1"/>
        <v>1.662747699063253E-2</v>
      </c>
      <c r="J53" s="2"/>
      <c r="K53" s="100">
        <v>45340</v>
      </c>
      <c r="L53" s="105">
        <v>39.630000000000003</v>
      </c>
      <c r="M53" s="22">
        <f t="shared" si="2"/>
        <v>2.4031007751937974E-2</v>
      </c>
      <c r="N53" s="2"/>
      <c r="O53" s="100">
        <v>45340</v>
      </c>
      <c r="P53" s="105">
        <v>191.97</v>
      </c>
      <c r="Q53" s="22">
        <f t="shared" si="3"/>
        <v>-3.9909977494373541E-2</v>
      </c>
      <c r="R53" s="2"/>
      <c r="S53" s="100">
        <v>45340</v>
      </c>
      <c r="T53" s="105">
        <v>416.07</v>
      </c>
      <c r="U53" s="22">
        <f t="shared" si="4"/>
        <v>6.8956658017110636E-2</v>
      </c>
      <c r="V53" s="2"/>
      <c r="W53" s="100">
        <v>45340</v>
      </c>
      <c r="X53" s="105">
        <v>12.14</v>
      </c>
      <c r="Y53" s="22">
        <f t="shared" si="5"/>
        <v>-1.3008130081300823E-2</v>
      </c>
      <c r="Z53" s="2"/>
      <c r="AA53" s="100">
        <v>45340</v>
      </c>
      <c r="AB53" s="105">
        <v>26.51</v>
      </c>
      <c r="AC53" s="22">
        <f t="shared" si="6"/>
        <v>3.1919034643830294E-2</v>
      </c>
      <c r="AD53" s="2"/>
      <c r="AE53" s="100">
        <v>45340</v>
      </c>
      <c r="AF53" s="105">
        <v>235</v>
      </c>
      <c r="AG53" s="22">
        <f t="shared" si="7"/>
        <v>3.3603096410978125E-2</v>
      </c>
    </row>
    <row r="54" spans="7:33" x14ac:dyDescent="0.25">
      <c r="G54" s="100">
        <v>45333</v>
      </c>
      <c r="H54" s="105">
        <v>5005.57</v>
      </c>
      <c r="I54" s="22">
        <f t="shared" si="1"/>
        <v>-4.1857235791119595E-3</v>
      </c>
      <c r="J54" s="2"/>
      <c r="K54" s="100">
        <v>45333</v>
      </c>
      <c r="L54" s="105">
        <v>38.700000000000003</v>
      </c>
      <c r="M54" s="22">
        <f t="shared" si="2"/>
        <v>3.6307053941908858E-3</v>
      </c>
      <c r="N54" s="2"/>
      <c r="O54" s="100">
        <v>45333</v>
      </c>
      <c r="P54" s="105">
        <v>199.95</v>
      </c>
      <c r="Q54" s="22">
        <f t="shared" si="3"/>
        <v>3.2959652838766312E-2</v>
      </c>
      <c r="R54" s="2"/>
      <c r="S54" s="100">
        <v>45333</v>
      </c>
      <c r="T54" s="105">
        <v>389.23</v>
      </c>
      <c r="U54" s="22">
        <f t="shared" si="4"/>
        <v>-8.4827797024658244E-3</v>
      </c>
      <c r="V54" s="2"/>
      <c r="W54" s="100">
        <v>45333</v>
      </c>
      <c r="X54" s="105">
        <v>12.3</v>
      </c>
      <c r="Y54" s="22">
        <f t="shared" si="5"/>
        <v>-1.5999999999999945E-2</v>
      </c>
      <c r="Z54" s="2"/>
      <c r="AA54" s="100">
        <v>45333</v>
      </c>
      <c r="AB54" s="105">
        <v>25.69</v>
      </c>
      <c r="AC54" s="22">
        <f t="shared" si="6"/>
        <v>5.2437525604260599E-2</v>
      </c>
      <c r="AD54" s="2"/>
      <c r="AE54" s="100">
        <v>45333</v>
      </c>
      <c r="AF54" s="105">
        <v>227.36</v>
      </c>
      <c r="AG54" s="22">
        <f t="shared" si="7"/>
        <v>1.2919896640826899E-2</v>
      </c>
    </row>
    <row r="55" spans="7:33" x14ac:dyDescent="0.25">
      <c r="G55" s="100">
        <v>45326</v>
      </c>
      <c r="H55" s="105">
        <v>5026.6099999999997</v>
      </c>
      <c r="I55" s="22">
        <f t="shared" si="1"/>
        <v>1.3713520522888472E-2</v>
      </c>
      <c r="J55" s="2"/>
      <c r="K55" s="100">
        <v>45326</v>
      </c>
      <c r="L55" s="105">
        <v>38.56</v>
      </c>
      <c r="M55" s="22">
        <f t="shared" si="2"/>
        <v>-8.9951169365200291E-3</v>
      </c>
      <c r="N55" s="2"/>
      <c r="O55" s="100">
        <v>45326</v>
      </c>
      <c r="P55" s="105">
        <v>193.57</v>
      </c>
      <c r="Q55" s="22">
        <f t="shared" si="3"/>
        <v>3.0120802511840756E-2</v>
      </c>
      <c r="R55" s="2"/>
      <c r="S55" s="100">
        <v>45326</v>
      </c>
      <c r="T55" s="105">
        <v>392.56</v>
      </c>
      <c r="U55" s="22">
        <f t="shared" si="4"/>
        <v>3.5095583388266322E-2</v>
      </c>
      <c r="V55" s="2"/>
      <c r="W55" s="100">
        <v>45326</v>
      </c>
      <c r="X55" s="105">
        <v>12.5</v>
      </c>
      <c r="Y55" s="22">
        <f t="shared" si="5"/>
        <v>4.4277360066833693E-2</v>
      </c>
      <c r="Z55" s="2"/>
      <c r="AA55" s="100">
        <v>45326</v>
      </c>
      <c r="AB55" s="105">
        <v>24.41</v>
      </c>
      <c r="AC55" s="22">
        <f t="shared" si="6"/>
        <v>5.762564991334497E-2</v>
      </c>
      <c r="AD55" s="2"/>
      <c r="AE55" s="100">
        <v>45326</v>
      </c>
      <c r="AF55" s="105">
        <v>224.46</v>
      </c>
      <c r="AG55" s="22">
        <f t="shared" si="7"/>
        <v>0.10822553569665259</v>
      </c>
    </row>
    <row r="56" spans="7:33" x14ac:dyDescent="0.25">
      <c r="G56" s="100">
        <v>45319</v>
      </c>
      <c r="H56" s="105">
        <v>4958.6099999999997</v>
      </c>
      <c r="I56" s="22">
        <f t="shared" si="1"/>
        <v>1.3829567549995075E-2</v>
      </c>
      <c r="J56" s="2"/>
      <c r="K56" s="100">
        <v>45319</v>
      </c>
      <c r="L56" s="105">
        <v>38.909999999999997</v>
      </c>
      <c r="M56" s="22">
        <f t="shared" si="2"/>
        <v>0.1060261512222853</v>
      </c>
      <c r="N56" s="2"/>
      <c r="O56" s="100">
        <v>45319</v>
      </c>
      <c r="P56" s="105">
        <v>187.91</v>
      </c>
      <c r="Q56" s="22">
        <f t="shared" si="3"/>
        <v>2.5429740791268741E-2</v>
      </c>
      <c r="R56" s="2"/>
      <c r="S56" s="100">
        <v>45319</v>
      </c>
      <c r="T56" s="105">
        <v>379.25</v>
      </c>
      <c r="U56" s="22">
        <f t="shared" si="4"/>
        <v>0.11488373460328653</v>
      </c>
      <c r="V56" s="2"/>
      <c r="W56" s="100">
        <v>45319</v>
      </c>
      <c r="X56" s="105">
        <v>11.97</v>
      </c>
      <c r="Y56" s="22">
        <f t="shared" si="5"/>
        <v>6.5894924309884251E-2</v>
      </c>
      <c r="Z56" s="2"/>
      <c r="AA56" s="100">
        <v>45319</v>
      </c>
      <c r="AB56" s="105">
        <v>23.08</v>
      </c>
      <c r="AC56" s="22">
        <f t="shared" si="6"/>
        <v>8.8165959453088041E-2</v>
      </c>
      <c r="AD56" s="2"/>
      <c r="AE56" s="100">
        <v>45319</v>
      </c>
      <c r="AF56" s="105">
        <v>202.54</v>
      </c>
      <c r="AG56" s="22">
        <f t="shared" si="7"/>
        <v>2.2619408260123142E-2</v>
      </c>
    </row>
    <row r="57" spans="7:33" x14ac:dyDescent="0.25">
      <c r="G57" s="100">
        <v>45312</v>
      </c>
      <c r="H57" s="105">
        <v>4890.97</v>
      </c>
      <c r="I57" s="22">
        <f t="shared" si="1"/>
        <v>1.0570662897923648E-2</v>
      </c>
      <c r="J57" s="2"/>
      <c r="K57" s="100">
        <v>45312</v>
      </c>
      <c r="L57" s="105">
        <v>35.18</v>
      </c>
      <c r="M57" s="22">
        <f t="shared" si="2"/>
        <v>-9.2931568572232701E-3</v>
      </c>
      <c r="N57" s="2"/>
      <c r="O57" s="100">
        <v>45312</v>
      </c>
      <c r="P57" s="105">
        <v>183.25</v>
      </c>
      <c r="Q57" s="22">
        <f t="shared" si="3"/>
        <v>-0.13638720015080824</v>
      </c>
      <c r="R57" s="2"/>
      <c r="S57" s="100">
        <v>45312</v>
      </c>
      <c r="T57" s="105">
        <v>340.17</v>
      </c>
      <c r="U57" s="22">
        <f t="shared" si="4"/>
        <v>-2.6444578002919231E-2</v>
      </c>
      <c r="V57" s="2"/>
      <c r="W57" s="100">
        <v>45312</v>
      </c>
      <c r="X57" s="105">
        <v>11.23</v>
      </c>
      <c r="Y57" s="22">
        <f t="shared" si="5"/>
        <v>1.721014492753635E-2</v>
      </c>
      <c r="Z57" s="2"/>
      <c r="AA57" s="100">
        <v>45312</v>
      </c>
      <c r="AB57" s="105">
        <v>21.21</v>
      </c>
      <c r="AC57" s="22">
        <f t="shared" si="6"/>
        <v>-1.896392229417207E-2</v>
      </c>
      <c r="AD57" s="2"/>
      <c r="AE57" s="100">
        <v>45312</v>
      </c>
      <c r="AF57" s="105">
        <v>198.06</v>
      </c>
      <c r="AG57" s="22">
        <f t="shared" si="7"/>
        <v>-1.3006428464643371E-2</v>
      </c>
    </row>
    <row r="58" spans="7:33" x14ac:dyDescent="0.25">
      <c r="G58" s="100">
        <v>45305</v>
      </c>
      <c r="H58" s="105">
        <v>4839.8100000000004</v>
      </c>
      <c r="I58" s="22">
        <f t="shared" si="1"/>
        <v>1.1701920845849555E-2</v>
      </c>
      <c r="J58" s="2"/>
      <c r="K58" s="100">
        <v>45305</v>
      </c>
      <c r="L58" s="105">
        <v>35.51</v>
      </c>
      <c r="M58" s="22">
        <f t="shared" si="2"/>
        <v>7.0901871809415772E-3</v>
      </c>
      <c r="N58" s="2"/>
      <c r="O58" s="100">
        <v>45305</v>
      </c>
      <c r="P58" s="105">
        <v>212.19</v>
      </c>
      <c r="Q58" s="22">
        <f t="shared" si="3"/>
        <v>-3.060898168029599E-2</v>
      </c>
      <c r="R58" s="2"/>
      <c r="S58" s="100">
        <v>45305</v>
      </c>
      <c r="T58" s="105">
        <v>349.41</v>
      </c>
      <c r="U58" s="22">
        <f t="shared" si="4"/>
        <v>-5.3800170794192611E-3</v>
      </c>
      <c r="V58" s="2"/>
      <c r="W58" s="100">
        <v>45305</v>
      </c>
      <c r="X58" s="105">
        <v>11.04</v>
      </c>
      <c r="Y58" s="22">
        <f t="shared" si="5"/>
        <v>-2.3008849557522262E-2</v>
      </c>
      <c r="Z58" s="2"/>
      <c r="AA58" s="100">
        <v>45305</v>
      </c>
      <c r="AB58" s="105">
        <v>21.62</v>
      </c>
      <c r="AC58" s="22">
        <f t="shared" si="6"/>
        <v>-3.0493273542600882E-2</v>
      </c>
      <c r="AD58" s="2"/>
      <c r="AE58" s="100">
        <v>45305</v>
      </c>
      <c r="AF58" s="105">
        <v>200.67</v>
      </c>
      <c r="AG58" s="22">
        <f t="shared" si="7"/>
        <v>2.5500817661488043E-2</v>
      </c>
    </row>
    <row r="59" spans="7:33" x14ac:dyDescent="0.25">
      <c r="G59" s="100">
        <v>45298</v>
      </c>
      <c r="H59" s="105">
        <v>4783.83</v>
      </c>
      <c r="I59" s="22">
        <f t="shared" si="1"/>
        <v>1.8434229462407744E-2</v>
      </c>
      <c r="J59" s="2"/>
      <c r="K59" s="100">
        <v>45298</v>
      </c>
      <c r="L59" s="105">
        <v>35.26</v>
      </c>
      <c r="M59" s="22">
        <f t="shared" si="2"/>
        <v>-2.028341205890536E-2</v>
      </c>
      <c r="N59" s="2"/>
      <c r="O59" s="100">
        <v>45298</v>
      </c>
      <c r="P59" s="105">
        <v>218.89</v>
      </c>
      <c r="Q59" s="22">
        <f t="shared" si="3"/>
        <v>-7.8319087119457759E-2</v>
      </c>
      <c r="R59" s="2"/>
      <c r="S59" s="100">
        <v>45298</v>
      </c>
      <c r="T59" s="105">
        <v>351.3</v>
      </c>
      <c r="U59" s="22">
        <f t="shared" si="4"/>
        <v>4.8875884513181873E-2</v>
      </c>
      <c r="V59" s="2"/>
      <c r="W59" s="100">
        <v>45298</v>
      </c>
      <c r="X59" s="105">
        <v>11.3</v>
      </c>
      <c r="Y59" s="22">
        <f t="shared" si="5"/>
        <v>-3.2534246575342381E-2</v>
      </c>
      <c r="Z59" s="2"/>
      <c r="AA59" s="100">
        <v>45298</v>
      </c>
      <c r="AB59" s="105">
        <v>22.3</v>
      </c>
      <c r="AC59" s="22">
        <f t="shared" si="6"/>
        <v>-6.6815144766146362E-3</v>
      </c>
      <c r="AD59" s="2"/>
      <c r="AE59" s="100">
        <v>45298</v>
      </c>
      <c r="AF59" s="105">
        <v>195.68</v>
      </c>
      <c r="AG59" s="22">
        <f t="shared" si="7"/>
        <v>4.6025551932431782E-2</v>
      </c>
    </row>
    <row r="60" spans="7:33" x14ac:dyDescent="0.25">
      <c r="G60" s="100">
        <v>45291</v>
      </c>
      <c r="H60" s="105">
        <v>4697.24</v>
      </c>
      <c r="I60" s="22">
        <f t="shared" si="1"/>
        <v>-1.5218571731068014E-2</v>
      </c>
      <c r="J60" s="2"/>
      <c r="K60" s="100">
        <v>45291</v>
      </c>
      <c r="L60" s="105">
        <v>35.99</v>
      </c>
      <c r="M60" s="22">
        <f t="shared" si="2"/>
        <v>1.9487750556792952E-3</v>
      </c>
      <c r="N60" s="2"/>
      <c r="O60" s="100">
        <v>45291</v>
      </c>
      <c r="P60" s="105">
        <v>237.49</v>
      </c>
      <c r="Q60" s="22">
        <f t="shared" si="3"/>
        <v>-4.4228911783644485E-2</v>
      </c>
      <c r="R60" s="2"/>
      <c r="S60" s="100">
        <v>45291</v>
      </c>
      <c r="T60" s="105">
        <v>334.93</v>
      </c>
      <c r="U60" s="22">
        <f t="shared" si="4"/>
        <v>-1.0341872765416777E-2</v>
      </c>
      <c r="V60" s="2"/>
      <c r="W60" s="100">
        <v>45291</v>
      </c>
      <c r="X60" s="105">
        <v>11.68</v>
      </c>
      <c r="Y60" s="22">
        <f t="shared" si="5"/>
        <v>-2.8286189683860222E-2</v>
      </c>
      <c r="Z60" s="2"/>
      <c r="AA60" s="100">
        <v>45291</v>
      </c>
      <c r="AB60" s="105">
        <v>22.45</v>
      </c>
      <c r="AC60" s="22">
        <f t="shared" si="6"/>
        <v>-3.7307032590051498E-2</v>
      </c>
      <c r="AD60" s="2"/>
      <c r="AE60" s="100">
        <v>45291</v>
      </c>
      <c r="AF60" s="105">
        <v>187.07</v>
      </c>
      <c r="AG60" s="22">
        <f t="shared" si="7"/>
        <v>2.0122150725269919E-2</v>
      </c>
    </row>
    <row r="61" spans="7:33" x14ac:dyDescent="0.25">
      <c r="G61" s="100">
        <v>45284</v>
      </c>
      <c r="H61" s="105">
        <v>4769.83</v>
      </c>
      <c r="I61" s="22">
        <f t="shared" si="1"/>
        <v>3.1968838795026779E-3</v>
      </c>
      <c r="J61" s="2"/>
      <c r="K61" s="100">
        <v>45284</v>
      </c>
      <c r="L61" s="105">
        <v>35.92</v>
      </c>
      <c r="M61" s="22">
        <f t="shared" si="2"/>
        <v>-2.7762354247640592E-3</v>
      </c>
      <c r="N61" s="2"/>
      <c r="O61" s="100">
        <v>45284</v>
      </c>
      <c r="P61" s="105">
        <v>248.48</v>
      </c>
      <c r="Q61" s="22">
        <f t="shared" si="3"/>
        <v>-1.6076661122990426E-2</v>
      </c>
      <c r="R61" s="2"/>
      <c r="S61" s="100">
        <v>45284</v>
      </c>
      <c r="T61" s="105">
        <v>338.43</v>
      </c>
      <c r="U61" s="22">
        <f t="shared" si="4"/>
        <v>1.1386049847588316E-2</v>
      </c>
      <c r="V61" s="2"/>
      <c r="W61" s="100">
        <v>45284</v>
      </c>
      <c r="X61" s="105">
        <v>12.02</v>
      </c>
      <c r="Y61" s="22">
        <f t="shared" si="5"/>
        <v>-1.2325390304026324E-2</v>
      </c>
      <c r="Z61" s="2"/>
      <c r="AA61" s="100">
        <v>45284</v>
      </c>
      <c r="AB61" s="105">
        <v>23.32</v>
      </c>
      <c r="AC61" s="22">
        <f t="shared" si="6"/>
        <v>-4.2863266180874461E-4</v>
      </c>
      <c r="AD61" s="2"/>
      <c r="AE61" s="100">
        <v>45284</v>
      </c>
      <c r="AF61" s="105">
        <v>183.38</v>
      </c>
      <c r="AG61" s="22">
        <f t="shared" si="7"/>
        <v>2.7166302582199039E-2</v>
      </c>
    </row>
    <row r="62" spans="7:33" x14ac:dyDescent="0.25">
      <c r="G62" s="100">
        <v>45277</v>
      </c>
      <c r="H62" s="105">
        <v>4754.63</v>
      </c>
      <c r="I62" s="22">
        <f t="shared" si="1"/>
        <v>7.5097633280288593E-3</v>
      </c>
      <c r="J62" s="2"/>
      <c r="K62" s="100">
        <v>45277</v>
      </c>
      <c r="L62" s="105">
        <v>36.020000000000003</v>
      </c>
      <c r="M62" s="22">
        <f t="shared" si="2"/>
        <v>8.1164287713407866E-3</v>
      </c>
      <c r="N62" s="2"/>
      <c r="O62" s="100">
        <v>45277</v>
      </c>
      <c r="P62" s="105">
        <v>252.54</v>
      </c>
      <c r="Q62" s="22">
        <f t="shared" si="3"/>
        <v>-3.7869822485207412E-3</v>
      </c>
      <c r="R62" s="2"/>
      <c r="S62" s="100">
        <v>45277</v>
      </c>
      <c r="T62" s="105">
        <v>334.62</v>
      </c>
      <c r="U62" s="22">
        <f t="shared" si="4"/>
        <v>-5.6078984485190393E-2</v>
      </c>
      <c r="V62" s="2"/>
      <c r="W62" s="100">
        <v>45277</v>
      </c>
      <c r="X62" s="105">
        <v>12.17</v>
      </c>
      <c r="Y62" s="22">
        <f t="shared" si="5"/>
        <v>2.7004219409282725E-2</v>
      </c>
      <c r="Z62" s="2"/>
      <c r="AA62" s="100">
        <v>45277</v>
      </c>
      <c r="AB62" s="105">
        <v>23.33</v>
      </c>
      <c r="AC62" s="22">
        <f t="shared" si="6"/>
        <v>-5.5413469735721465E-3</v>
      </c>
      <c r="AD62" s="2"/>
      <c r="AE62" s="100">
        <v>45277</v>
      </c>
      <c r="AF62" s="105">
        <v>178.53</v>
      </c>
      <c r="AG62" s="22">
        <f t="shared" si="7"/>
        <v>-1.1571254567600506E-2</v>
      </c>
    </row>
    <row r="63" spans="7:33" x14ac:dyDescent="0.25">
      <c r="G63" s="100">
        <v>45270</v>
      </c>
      <c r="H63" s="105">
        <v>4719.1899999999996</v>
      </c>
      <c r="I63" s="22">
        <f t="shared" si="1"/>
        <v>2.4937179244934642E-2</v>
      </c>
      <c r="J63" s="2"/>
      <c r="K63" s="100">
        <v>45270</v>
      </c>
      <c r="L63" s="105">
        <v>35.729999999999997</v>
      </c>
      <c r="M63" s="22">
        <f t="shared" si="2"/>
        <v>5.8666666666666575E-2</v>
      </c>
      <c r="N63" s="2"/>
      <c r="O63" s="100">
        <v>45270</v>
      </c>
      <c r="P63" s="105">
        <v>253.5</v>
      </c>
      <c r="Q63" s="22">
        <f t="shared" si="3"/>
        <v>3.961614173228345E-2</v>
      </c>
      <c r="R63" s="2"/>
      <c r="S63" s="100">
        <v>45270</v>
      </c>
      <c r="T63" s="105">
        <v>354.5</v>
      </c>
      <c r="U63" s="22">
        <f t="shared" si="4"/>
        <v>-3.3401499659168374E-2</v>
      </c>
      <c r="V63" s="2"/>
      <c r="W63" s="100">
        <v>45270</v>
      </c>
      <c r="X63" s="105">
        <v>11.85</v>
      </c>
      <c r="Y63" s="22">
        <f t="shared" si="5"/>
        <v>9.2165898617511524E-2</v>
      </c>
      <c r="Z63" s="2"/>
      <c r="AA63" s="100">
        <v>45270</v>
      </c>
      <c r="AB63" s="105">
        <v>23.46</v>
      </c>
      <c r="AC63" s="22">
        <f t="shared" si="6"/>
        <v>3.8053097345132715E-2</v>
      </c>
      <c r="AD63" s="2"/>
      <c r="AE63" s="100">
        <v>45270</v>
      </c>
      <c r="AF63" s="105">
        <v>180.62</v>
      </c>
      <c r="AG63" s="22">
        <f t="shared" si="7"/>
        <v>-3.5561725758222966E-2</v>
      </c>
    </row>
    <row r="64" spans="7:33" x14ac:dyDescent="0.25">
      <c r="G64" s="100">
        <v>45263</v>
      </c>
      <c r="H64" s="105">
        <v>4604.37</v>
      </c>
      <c r="I64" s="22">
        <f t="shared" si="1"/>
        <v>2.119866017502994E-3</v>
      </c>
      <c r="J64" s="2"/>
      <c r="K64" s="100">
        <v>45263</v>
      </c>
      <c r="L64" s="105">
        <v>33.75</v>
      </c>
      <c r="M64" s="22">
        <f t="shared" si="2"/>
        <v>4.295426452410385E-2</v>
      </c>
      <c r="N64" s="2"/>
      <c r="O64" s="100">
        <v>45263</v>
      </c>
      <c r="P64" s="105">
        <v>243.84</v>
      </c>
      <c r="Q64" s="22">
        <f t="shared" si="3"/>
        <v>2.097726416279358E-2</v>
      </c>
      <c r="R64" s="2"/>
      <c r="S64" s="100">
        <v>45263</v>
      </c>
      <c r="T64" s="105">
        <v>366.75</v>
      </c>
      <c r="U64" s="22">
        <f t="shared" si="4"/>
        <v>2.7339701392195832E-2</v>
      </c>
      <c r="V64" s="2"/>
      <c r="W64" s="100">
        <v>45263</v>
      </c>
      <c r="X64" s="105">
        <v>10.85</v>
      </c>
      <c r="Y64" s="22">
        <f t="shared" si="5"/>
        <v>4.0268456375838924E-2</v>
      </c>
      <c r="Z64" s="2"/>
      <c r="AA64" s="100">
        <v>45263</v>
      </c>
      <c r="AB64" s="105">
        <v>22.6</v>
      </c>
      <c r="AC64" s="22">
        <f t="shared" si="6"/>
        <v>2.6805997273966372E-2</v>
      </c>
      <c r="AD64" s="2"/>
      <c r="AE64" s="100">
        <v>45263</v>
      </c>
      <c r="AF64" s="105">
        <v>187.28</v>
      </c>
      <c r="AG64" s="22">
        <f t="shared" si="7"/>
        <v>-2.8328317941268069E-2</v>
      </c>
    </row>
    <row r="65" spans="7:33" x14ac:dyDescent="0.25">
      <c r="G65" s="100">
        <v>45256</v>
      </c>
      <c r="H65" s="105">
        <v>4594.63</v>
      </c>
      <c r="I65" s="22">
        <f t="shared" si="1"/>
        <v>7.7401553733654352E-3</v>
      </c>
      <c r="J65" s="2"/>
      <c r="K65" s="100">
        <v>45256</v>
      </c>
      <c r="L65" s="105">
        <v>32.36</v>
      </c>
      <c r="M65" s="22">
        <f t="shared" si="2"/>
        <v>0.14833215046132009</v>
      </c>
      <c r="N65" s="2"/>
      <c r="O65" s="100">
        <v>45256</v>
      </c>
      <c r="P65" s="105">
        <v>238.83</v>
      </c>
      <c r="Q65" s="22">
        <f t="shared" si="3"/>
        <v>1.4355489488214161E-2</v>
      </c>
      <c r="R65" s="2"/>
      <c r="S65" s="100">
        <v>45256</v>
      </c>
      <c r="T65" s="105">
        <v>356.99</v>
      </c>
      <c r="U65" s="22">
        <f t="shared" si="4"/>
        <v>-2.8440017417809681E-2</v>
      </c>
      <c r="V65" s="2"/>
      <c r="W65" s="100">
        <v>45256</v>
      </c>
      <c r="X65" s="105">
        <v>10.43</v>
      </c>
      <c r="Y65" s="22">
        <f t="shared" si="5"/>
        <v>1.7560975609756072E-2</v>
      </c>
      <c r="Z65" s="2"/>
      <c r="AA65" s="100">
        <v>45256</v>
      </c>
      <c r="AB65" s="105">
        <v>22.01</v>
      </c>
      <c r="AC65" s="22">
        <f t="shared" si="6"/>
        <v>7.5757575757575787E-2</v>
      </c>
      <c r="AD65" s="2"/>
      <c r="AE65" s="100">
        <v>45256</v>
      </c>
      <c r="AF65" s="105">
        <v>192.74</v>
      </c>
      <c r="AG65" s="22">
        <f t="shared" si="7"/>
        <v>2.3579394583112041E-2</v>
      </c>
    </row>
    <row r="66" spans="7:33" x14ac:dyDescent="0.25">
      <c r="G66" s="100">
        <v>45249</v>
      </c>
      <c r="H66" s="105">
        <v>4559.34</v>
      </c>
      <c r="I66" s="22">
        <f t="shared" si="1"/>
        <v>1.003983145843388E-2</v>
      </c>
      <c r="J66" s="2"/>
      <c r="K66" s="100">
        <v>45249</v>
      </c>
      <c r="L66" s="105">
        <v>28.18</v>
      </c>
      <c r="M66" s="22">
        <f t="shared" si="2"/>
        <v>5.3514092044237805E-3</v>
      </c>
      <c r="N66" s="2"/>
      <c r="O66" s="100">
        <v>45249</v>
      </c>
      <c r="P66" s="105">
        <v>235.45</v>
      </c>
      <c r="Q66" s="22">
        <f t="shared" si="3"/>
        <v>4.9082373026034026E-3</v>
      </c>
      <c r="R66" s="2"/>
      <c r="S66" s="100">
        <v>45249</v>
      </c>
      <c r="T66" s="105">
        <v>367.44</v>
      </c>
      <c r="U66" s="22">
        <f t="shared" si="4"/>
        <v>2.2541325763900548E-2</v>
      </c>
      <c r="V66" s="2"/>
      <c r="W66" s="100">
        <v>45249</v>
      </c>
      <c r="X66" s="105">
        <v>10.25</v>
      </c>
      <c r="Y66" s="22">
        <f t="shared" si="5"/>
        <v>1.284584980237162E-2</v>
      </c>
      <c r="Z66" s="2"/>
      <c r="AA66" s="100">
        <v>45249</v>
      </c>
      <c r="AB66" s="105">
        <v>20.46</v>
      </c>
      <c r="AC66" s="22">
        <f t="shared" si="6"/>
        <v>1.1369253583786477E-2</v>
      </c>
      <c r="AD66" s="2"/>
      <c r="AE66" s="100">
        <v>45249</v>
      </c>
      <c r="AF66" s="105">
        <v>188.3</v>
      </c>
      <c r="AG66" s="22">
        <f t="shared" si="7"/>
        <v>-2.616880430285479E-2</v>
      </c>
    </row>
    <row r="67" spans="7:33" x14ac:dyDescent="0.25">
      <c r="G67" s="100">
        <v>45242</v>
      </c>
      <c r="H67" s="105">
        <v>4514.0200000000004</v>
      </c>
      <c r="I67" s="22">
        <f t="shared" si="1"/>
        <v>2.237250976164391E-2</v>
      </c>
      <c r="J67" s="2"/>
      <c r="K67" s="100">
        <v>45242</v>
      </c>
      <c r="L67" s="105">
        <v>28.03</v>
      </c>
      <c r="M67" s="22">
        <f t="shared" si="2"/>
        <v>4.3947858472998126E-2</v>
      </c>
      <c r="N67" s="2"/>
      <c r="O67" s="100">
        <v>45242</v>
      </c>
      <c r="P67" s="105">
        <v>234.3</v>
      </c>
      <c r="Q67" s="22">
        <f t="shared" si="3"/>
        <v>9.1544374563242506E-2</v>
      </c>
      <c r="R67" s="2"/>
      <c r="S67" s="100">
        <v>45242</v>
      </c>
      <c r="T67" s="105">
        <v>359.34</v>
      </c>
      <c r="U67" s="22">
        <f t="shared" si="4"/>
        <v>5.8251855342207483E-2</v>
      </c>
      <c r="V67" s="2"/>
      <c r="W67" s="100">
        <v>45242</v>
      </c>
      <c r="X67" s="105">
        <v>10.119999999999999</v>
      </c>
      <c r="Y67" s="22">
        <f t="shared" si="5"/>
        <v>4.1152263374485451E-2</v>
      </c>
      <c r="Z67" s="2"/>
      <c r="AA67" s="100">
        <v>45242</v>
      </c>
      <c r="AB67" s="105">
        <v>20.23</v>
      </c>
      <c r="AC67" s="22">
        <f t="shared" si="6"/>
        <v>4.3859649122807091E-2</v>
      </c>
      <c r="AD67" s="2"/>
      <c r="AE67" s="100">
        <v>45242</v>
      </c>
      <c r="AF67" s="105">
        <v>193.36</v>
      </c>
      <c r="AG67" s="22">
        <f t="shared" si="7"/>
        <v>3.4010695187165846E-2</v>
      </c>
    </row>
    <row r="68" spans="7:33" x14ac:dyDescent="0.25">
      <c r="G68" s="100">
        <v>45235</v>
      </c>
      <c r="H68" s="105">
        <v>4415.24</v>
      </c>
      <c r="I68" s="22">
        <f t="shared" si="1"/>
        <v>1.3055429360719822E-2</v>
      </c>
      <c r="J68" s="2"/>
      <c r="K68" s="100">
        <v>45235</v>
      </c>
      <c r="L68" s="105">
        <v>26.85</v>
      </c>
      <c r="M68" s="22">
        <f t="shared" si="2"/>
        <v>-9.8085320792744318E-2</v>
      </c>
      <c r="N68" s="2"/>
      <c r="O68" s="100">
        <v>45235</v>
      </c>
      <c r="P68" s="105">
        <v>214.65</v>
      </c>
      <c r="Q68" s="22">
        <f t="shared" si="3"/>
        <v>-2.4140752864157129E-2</v>
      </c>
      <c r="R68" s="2"/>
      <c r="S68" s="100">
        <v>45235</v>
      </c>
      <c r="T68" s="105">
        <v>339.56</v>
      </c>
      <c r="U68" s="22">
        <f t="shared" si="4"/>
        <v>2.4591895235508816E-2</v>
      </c>
      <c r="V68" s="2"/>
      <c r="W68" s="100">
        <v>45235</v>
      </c>
      <c r="X68" s="105">
        <v>9.7200000000000006</v>
      </c>
      <c r="Y68" s="22">
        <f t="shared" si="5"/>
        <v>-6.6282420749279494E-2</v>
      </c>
      <c r="Z68" s="2"/>
      <c r="AA68" s="100">
        <v>45235</v>
      </c>
      <c r="AB68" s="105">
        <v>19.38</v>
      </c>
      <c r="AC68" s="22">
        <f t="shared" si="6"/>
        <v>-3.6300348085529607E-2</v>
      </c>
      <c r="AD68" s="2"/>
      <c r="AE68" s="100">
        <v>45235</v>
      </c>
      <c r="AF68" s="105">
        <v>187</v>
      </c>
      <c r="AG68" s="22">
        <f t="shared" si="7"/>
        <v>-1.3661058072683176E-2</v>
      </c>
    </row>
    <row r="69" spans="7:33" x14ac:dyDescent="0.25">
      <c r="G69" s="100">
        <v>45228</v>
      </c>
      <c r="H69" s="105">
        <v>4358.34</v>
      </c>
      <c r="I69" s="22">
        <f t="shared" si="1"/>
        <v>5.8525223625761166E-2</v>
      </c>
      <c r="J69" s="2"/>
      <c r="K69" s="100">
        <v>45228</v>
      </c>
      <c r="L69" s="105">
        <v>29.77</v>
      </c>
      <c r="M69" s="22">
        <f t="shared" si="2"/>
        <v>9.3681116825863373E-2</v>
      </c>
      <c r="N69" s="2"/>
      <c r="O69" s="100">
        <v>45228</v>
      </c>
      <c r="P69" s="105">
        <v>219.96</v>
      </c>
      <c r="Q69" s="22">
        <f t="shared" si="3"/>
        <v>6.1070911722141803E-2</v>
      </c>
      <c r="R69" s="2"/>
      <c r="S69" s="100">
        <v>45228</v>
      </c>
      <c r="T69" s="105">
        <v>331.41</v>
      </c>
      <c r="U69" s="22">
        <f t="shared" si="4"/>
        <v>0.11121915236051508</v>
      </c>
      <c r="V69" s="2"/>
      <c r="W69" s="100">
        <v>45228</v>
      </c>
      <c r="X69" s="105">
        <v>10.41</v>
      </c>
      <c r="Y69" s="22">
        <f t="shared" si="5"/>
        <v>6.0081466395111999E-2</v>
      </c>
      <c r="Z69" s="2"/>
      <c r="AA69" s="100">
        <v>45228</v>
      </c>
      <c r="AB69" s="105">
        <v>20.11</v>
      </c>
      <c r="AC69" s="22">
        <f t="shared" si="6"/>
        <v>0.11474501108647452</v>
      </c>
      <c r="AD69" s="2"/>
      <c r="AE69" s="100">
        <v>45228</v>
      </c>
      <c r="AF69" s="105">
        <v>189.59</v>
      </c>
      <c r="AG69" s="22">
        <f t="shared" si="7"/>
        <v>9.7100862218621617E-2</v>
      </c>
    </row>
    <row r="70" spans="7:33" x14ac:dyDescent="0.25">
      <c r="G70" s="100">
        <v>45221</v>
      </c>
      <c r="H70" s="105">
        <v>4117.37</v>
      </c>
      <c r="I70" s="22">
        <f t="shared" si="1"/>
        <v>-2.5280765880080294E-2</v>
      </c>
      <c r="J70" s="2"/>
      <c r="K70" s="100">
        <v>45221</v>
      </c>
      <c r="L70" s="105">
        <v>27.22</v>
      </c>
      <c r="M70" s="22">
        <f t="shared" si="2"/>
        <v>-8.2265677680377652E-2</v>
      </c>
      <c r="N70" s="2"/>
      <c r="O70" s="100">
        <v>45221</v>
      </c>
      <c r="P70" s="105">
        <v>207.3</v>
      </c>
      <c r="Q70" s="22">
        <f t="shared" si="3"/>
        <v>-2.2123685079484871E-2</v>
      </c>
      <c r="R70" s="2"/>
      <c r="S70" s="100">
        <v>45221</v>
      </c>
      <c r="T70" s="105">
        <v>298.24</v>
      </c>
      <c r="U70" s="22">
        <f t="shared" si="4"/>
        <v>-1.1468346039111633E-2</v>
      </c>
      <c r="V70" s="2"/>
      <c r="W70" s="100">
        <v>45221</v>
      </c>
      <c r="X70" s="105">
        <v>9.82</v>
      </c>
      <c r="Y70" s="22">
        <f t="shared" si="5"/>
        <v>-0.14385353095030518</v>
      </c>
      <c r="Z70" s="2"/>
      <c r="AA70" s="100">
        <v>45221</v>
      </c>
      <c r="AB70" s="105">
        <v>18.04</v>
      </c>
      <c r="AC70" s="22">
        <f t="shared" si="6"/>
        <v>-4.4491525423728806E-2</v>
      </c>
      <c r="AD70" s="2"/>
      <c r="AE70" s="100">
        <v>45221</v>
      </c>
      <c r="AF70" s="105">
        <v>172.81</v>
      </c>
      <c r="AG70" s="22">
        <f t="shared" si="7"/>
        <v>-3.862116670509497E-3</v>
      </c>
    </row>
    <row r="71" spans="7:33" x14ac:dyDescent="0.25">
      <c r="G71" s="100">
        <v>45214</v>
      </c>
      <c r="H71" s="105">
        <v>4224.16</v>
      </c>
      <c r="I71" s="22">
        <f t="shared" si="1"/>
        <v>-2.394299155687209E-2</v>
      </c>
      <c r="J71" s="2"/>
      <c r="K71" s="100">
        <v>45214</v>
      </c>
      <c r="L71" s="105">
        <v>29.66</v>
      </c>
      <c r="M71" s="22">
        <f t="shared" si="2"/>
        <v>0</v>
      </c>
      <c r="N71" s="2"/>
      <c r="O71" s="100">
        <v>45214</v>
      </c>
      <c r="P71" s="105">
        <v>211.99</v>
      </c>
      <c r="Q71" s="22">
        <f t="shared" si="3"/>
        <v>-0.15582191780821916</v>
      </c>
      <c r="R71" s="2"/>
      <c r="S71" s="100">
        <v>45214</v>
      </c>
      <c r="T71" s="105">
        <v>301.7</v>
      </c>
      <c r="U71" s="22">
        <f t="shared" si="4"/>
        <v>-3.3074802897250156E-2</v>
      </c>
      <c r="V71" s="2"/>
      <c r="W71" s="100">
        <v>45214</v>
      </c>
      <c r="X71" s="105">
        <v>11.47</v>
      </c>
      <c r="Y71" s="22">
        <f t="shared" si="5"/>
        <v>-1.4604810996563567E-2</v>
      </c>
      <c r="Z71" s="2"/>
      <c r="AA71" s="100">
        <v>45214</v>
      </c>
      <c r="AB71" s="105">
        <v>18.88</v>
      </c>
      <c r="AC71" s="22">
        <f t="shared" si="6"/>
        <v>-4.0650406504065074E-2</v>
      </c>
      <c r="AD71" s="2"/>
      <c r="AE71" s="100">
        <v>45214</v>
      </c>
      <c r="AF71" s="105">
        <v>173.48</v>
      </c>
      <c r="AG71" s="22">
        <f t="shared" si="7"/>
        <v>-2.3638000900495369E-2</v>
      </c>
    </row>
    <row r="72" spans="7:33" x14ac:dyDescent="0.25">
      <c r="G72" s="100">
        <v>45207</v>
      </c>
      <c r="H72" s="105">
        <v>4327.78</v>
      </c>
      <c r="I72" s="22">
        <f t="shared" si="1"/>
        <v>4.4748752466054883E-3</v>
      </c>
      <c r="J72" s="2"/>
      <c r="K72" s="100">
        <v>45207</v>
      </c>
      <c r="L72" s="105">
        <v>29.66</v>
      </c>
      <c r="M72" s="22">
        <f t="shared" si="2"/>
        <v>-4.0129449838187656E-2</v>
      </c>
      <c r="N72" s="2"/>
      <c r="O72" s="100">
        <v>45207</v>
      </c>
      <c r="P72" s="105">
        <v>251.12</v>
      </c>
      <c r="Q72" s="22">
        <f t="shared" si="3"/>
        <v>-3.6118681149963416E-2</v>
      </c>
      <c r="R72" s="2"/>
      <c r="S72" s="100">
        <v>45207</v>
      </c>
      <c r="T72" s="105">
        <v>312.02</v>
      </c>
      <c r="U72" s="22">
        <f t="shared" si="4"/>
        <v>2.1676489849377881E-2</v>
      </c>
      <c r="V72" s="2"/>
      <c r="W72" s="100">
        <v>45207</v>
      </c>
      <c r="X72" s="105">
        <v>11.64</v>
      </c>
      <c r="Y72" s="22">
        <f t="shared" si="5"/>
        <v>-1.6060862214708326E-2</v>
      </c>
      <c r="Z72" s="2"/>
      <c r="AA72" s="100">
        <v>45207</v>
      </c>
      <c r="AB72" s="105">
        <v>19.68</v>
      </c>
      <c r="AC72" s="22">
        <f t="shared" si="6"/>
        <v>1.13052415210688E-2</v>
      </c>
      <c r="AD72" s="2"/>
      <c r="AE72" s="100">
        <v>45207</v>
      </c>
      <c r="AF72" s="105">
        <v>177.68</v>
      </c>
      <c r="AG72" s="22">
        <f t="shared" si="7"/>
        <v>2.5984524771913615E-2</v>
      </c>
    </row>
    <row r="73" spans="7:33" x14ac:dyDescent="0.25">
      <c r="G73" s="100">
        <v>45200</v>
      </c>
      <c r="H73" s="105">
        <v>4308.5</v>
      </c>
      <c r="I73" s="22">
        <f t="shared" ref="I73:I136" si="8">(H73-H74)/H74</f>
        <v>4.7690675248655721E-3</v>
      </c>
      <c r="J73" s="2"/>
      <c r="K73" s="100">
        <v>45200</v>
      </c>
      <c r="L73" s="105">
        <v>30.9</v>
      </c>
      <c r="M73" s="22">
        <f t="shared" ref="M73:M136" si="9">(L73-L74)/L74</f>
        <v>-6.2784349408553236E-2</v>
      </c>
      <c r="N73" s="2"/>
      <c r="O73" s="100">
        <v>45200</v>
      </c>
      <c r="P73" s="105">
        <v>260.52999999999997</v>
      </c>
      <c r="Q73" s="22">
        <f t="shared" ref="Q73:Q136" si="10">(P73-P74)/P74</f>
        <v>4.12037407081767E-2</v>
      </c>
      <c r="R73" s="2"/>
      <c r="S73" s="100">
        <v>45200</v>
      </c>
      <c r="T73" s="105">
        <v>305.39999999999998</v>
      </c>
      <c r="U73" s="22">
        <f t="shared" ref="U73:U136" si="11">(T73-T74)/T74</f>
        <v>3.3362658185017109E-2</v>
      </c>
      <c r="V73" s="2"/>
      <c r="W73" s="100">
        <v>45200</v>
      </c>
      <c r="X73" s="105">
        <v>11.83</v>
      </c>
      <c r="Y73" s="22">
        <f t="shared" ref="Y73:Y136" si="12">(X73-X74)/X74</f>
        <v>-3.3496732026143804E-2</v>
      </c>
      <c r="Z73" s="2"/>
      <c r="AA73" s="100">
        <v>45200</v>
      </c>
      <c r="AB73" s="105">
        <v>19.46</v>
      </c>
      <c r="AC73" s="22">
        <f t="shared" ref="AC73:AC136" si="13">(AB73-AB74)/AB74</f>
        <v>1.7250392054364971E-2</v>
      </c>
      <c r="AD73" s="2"/>
      <c r="AE73" s="100">
        <v>45200</v>
      </c>
      <c r="AF73" s="105">
        <v>173.18</v>
      </c>
      <c r="AG73" s="22">
        <f t="shared" ref="AG73:AG136" si="14">(AF73-AF74)/AF74</f>
        <v>-3.6550764951321243E-2</v>
      </c>
    </row>
    <row r="74" spans="7:33" x14ac:dyDescent="0.25">
      <c r="G74" s="100">
        <v>45193</v>
      </c>
      <c r="H74" s="105">
        <v>4288.05</v>
      </c>
      <c r="I74" s="22">
        <f t="shared" si="8"/>
        <v>-7.4096193108429548E-3</v>
      </c>
      <c r="J74" s="2"/>
      <c r="K74" s="100">
        <v>45193</v>
      </c>
      <c r="L74" s="105">
        <v>32.97</v>
      </c>
      <c r="M74" s="22">
        <f t="shared" si="9"/>
        <v>1.1970534069981602E-2</v>
      </c>
      <c r="N74" s="2"/>
      <c r="O74" s="100">
        <v>45193</v>
      </c>
      <c r="P74" s="105">
        <v>250.22</v>
      </c>
      <c r="Q74" s="22">
        <f t="shared" si="10"/>
        <v>2.1806599150604393E-2</v>
      </c>
      <c r="R74" s="2"/>
      <c r="S74" s="100">
        <v>45193</v>
      </c>
      <c r="T74" s="105">
        <v>295.54000000000002</v>
      </c>
      <c r="U74" s="22">
        <f t="shared" si="11"/>
        <v>2.5290546400693913E-2</v>
      </c>
      <c r="V74" s="2"/>
      <c r="W74" s="100">
        <v>45193</v>
      </c>
      <c r="X74" s="105">
        <v>12.24</v>
      </c>
      <c r="Y74" s="22">
        <f t="shared" si="12"/>
        <v>-8.1632653061222747E-4</v>
      </c>
      <c r="Z74" s="2"/>
      <c r="AA74" s="100">
        <v>45193</v>
      </c>
      <c r="AB74" s="105">
        <v>19.13</v>
      </c>
      <c r="AC74" s="22">
        <f t="shared" si="13"/>
        <v>-1.1369509043927773E-2</v>
      </c>
      <c r="AD74" s="2"/>
      <c r="AE74" s="100">
        <v>45193</v>
      </c>
      <c r="AF74" s="105">
        <v>179.75</v>
      </c>
      <c r="AG74" s="22">
        <f t="shared" si="14"/>
        <v>-3.9283805451630113E-2</v>
      </c>
    </row>
    <row r="75" spans="7:33" x14ac:dyDescent="0.25">
      <c r="G75" s="100">
        <v>45186</v>
      </c>
      <c r="H75" s="105">
        <v>4320.0600000000004</v>
      </c>
      <c r="I75" s="22">
        <f t="shared" si="8"/>
        <v>-2.9269805317370282E-2</v>
      </c>
      <c r="J75" s="2"/>
      <c r="K75" s="100">
        <v>45186</v>
      </c>
      <c r="L75" s="105">
        <v>32.58</v>
      </c>
      <c r="M75" s="22">
        <f t="shared" si="9"/>
        <v>-4.03534609720178E-2</v>
      </c>
      <c r="N75" s="2"/>
      <c r="O75" s="100">
        <v>45186</v>
      </c>
      <c r="P75" s="105">
        <v>244.88</v>
      </c>
      <c r="Q75" s="22">
        <f t="shared" si="10"/>
        <v>-0.10754765115346766</v>
      </c>
      <c r="R75" s="2"/>
      <c r="S75" s="100">
        <v>45186</v>
      </c>
      <c r="T75" s="105">
        <v>288.25</v>
      </c>
      <c r="U75" s="22">
        <f t="shared" si="11"/>
        <v>-4.2231525784157301E-2</v>
      </c>
      <c r="V75" s="2"/>
      <c r="W75" s="100">
        <v>45186</v>
      </c>
      <c r="X75" s="105">
        <v>12.25</v>
      </c>
      <c r="Y75" s="22">
        <f t="shared" si="12"/>
        <v>-1.4481094127111804E-2</v>
      </c>
      <c r="Z75" s="2"/>
      <c r="AA75" s="100">
        <v>45186</v>
      </c>
      <c r="AB75" s="105">
        <v>19.350000000000001</v>
      </c>
      <c r="AC75" s="22">
        <f t="shared" si="13"/>
        <v>5.1948051948052685E-3</v>
      </c>
      <c r="AD75" s="2"/>
      <c r="AE75" s="100">
        <v>45186</v>
      </c>
      <c r="AF75" s="105">
        <v>187.1</v>
      </c>
      <c r="AG75" s="22">
        <f t="shared" si="14"/>
        <v>-1.1099365750528513E-2</v>
      </c>
    </row>
    <row r="76" spans="7:33" x14ac:dyDescent="0.25">
      <c r="G76" s="100">
        <v>45179</v>
      </c>
      <c r="H76" s="105">
        <v>4450.32</v>
      </c>
      <c r="I76" s="22">
        <f t="shared" si="8"/>
        <v>-1.6085285665251236E-3</v>
      </c>
      <c r="J76" s="2"/>
      <c r="K76" s="100">
        <v>45179</v>
      </c>
      <c r="L76" s="105">
        <v>33.950000000000003</v>
      </c>
      <c r="M76" s="22">
        <f t="shared" si="9"/>
        <v>3.0349013657056143E-2</v>
      </c>
      <c r="N76" s="2"/>
      <c r="O76" s="100">
        <v>45179</v>
      </c>
      <c r="P76" s="105">
        <v>274.39</v>
      </c>
      <c r="Q76" s="22">
        <f t="shared" si="10"/>
        <v>0.10418511066398385</v>
      </c>
      <c r="R76" s="2"/>
      <c r="S76" s="100">
        <v>45179</v>
      </c>
      <c r="T76" s="105">
        <v>300.95999999999998</v>
      </c>
      <c r="U76" s="22">
        <f t="shared" si="11"/>
        <v>1.2685487398633809E-2</v>
      </c>
      <c r="V76" s="2"/>
      <c r="W76" s="100">
        <v>45179</v>
      </c>
      <c r="X76" s="105">
        <v>12.43</v>
      </c>
      <c r="Y76" s="22">
        <f t="shared" si="12"/>
        <v>2.557755775577562E-2</v>
      </c>
      <c r="Z76" s="2"/>
      <c r="AA76" s="100">
        <v>45179</v>
      </c>
      <c r="AB76" s="105">
        <v>19.25</v>
      </c>
      <c r="AC76" s="22">
        <f t="shared" si="13"/>
        <v>5.5951727921009303E-2</v>
      </c>
      <c r="AD76" s="2"/>
      <c r="AE76" s="100">
        <v>45179</v>
      </c>
      <c r="AF76" s="105">
        <v>189.2</v>
      </c>
      <c r="AG76" s="22">
        <f t="shared" si="14"/>
        <v>6.8142042567605671E-2</v>
      </c>
    </row>
    <row r="77" spans="7:33" x14ac:dyDescent="0.25">
      <c r="G77" s="100">
        <v>45172</v>
      </c>
      <c r="H77" s="105">
        <v>4457.49</v>
      </c>
      <c r="I77" s="22">
        <f t="shared" si="8"/>
        <v>-1.2905883160568551E-2</v>
      </c>
      <c r="J77" s="2"/>
      <c r="K77" s="100">
        <v>45172</v>
      </c>
      <c r="L77" s="105">
        <v>32.950000000000003</v>
      </c>
      <c r="M77" s="22">
        <f t="shared" si="9"/>
        <v>-1.7590936195587249E-2</v>
      </c>
      <c r="N77" s="2"/>
      <c r="O77" s="100">
        <v>45172</v>
      </c>
      <c r="P77" s="105">
        <v>248.5</v>
      </c>
      <c r="Q77" s="22">
        <f t="shared" si="10"/>
        <v>1.4244316558507854E-2</v>
      </c>
      <c r="R77" s="2"/>
      <c r="S77" s="100">
        <v>45172</v>
      </c>
      <c r="T77" s="105">
        <v>297.19</v>
      </c>
      <c r="U77" s="22">
        <f t="shared" si="11"/>
        <v>-3.6098858329008811E-2</v>
      </c>
      <c r="V77" s="2"/>
      <c r="W77" s="100">
        <v>45172</v>
      </c>
      <c r="X77" s="105">
        <v>12.12</v>
      </c>
      <c r="Y77" s="22">
        <f t="shared" si="12"/>
        <v>1.2531328320801886E-2</v>
      </c>
      <c r="Z77" s="2"/>
      <c r="AA77" s="100">
        <v>45172</v>
      </c>
      <c r="AB77" s="105">
        <v>18.23</v>
      </c>
      <c r="AC77" s="22">
        <f t="shared" si="13"/>
        <v>0</v>
      </c>
      <c r="AD77" s="2"/>
      <c r="AE77" s="100">
        <v>45172</v>
      </c>
      <c r="AF77" s="105">
        <v>177.13</v>
      </c>
      <c r="AG77" s="22">
        <f t="shared" si="14"/>
        <v>2.6602526950272421E-2</v>
      </c>
    </row>
    <row r="78" spans="7:33" x14ac:dyDescent="0.25">
      <c r="G78" s="100">
        <v>45165</v>
      </c>
      <c r="H78" s="105">
        <v>4515.7700000000004</v>
      </c>
      <c r="I78" s="22">
        <f t="shared" si="8"/>
        <v>2.4981217556307701E-2</v>
      </c>
      <c r="J78" s="2"/>
      <c r="K78" s="100">
        <v>45165</v>
      </c>
      <c r="L78" s="105">
        <v>33.54</v>
      </c>
      <c r="M78" s="22">
        <f t="shared" si="9"/>
        <v>1.7905918057663013E-2</v>
      </c>
      <c r="N78" s="2"/>
      <c r="O78" s="100">
        <v>45165</v>
      </c>
      <c r="P78" s="105">
        <v>245.01</v>
      </c>
      <c r="Q78" s="22">
        <f t="shared" si="10"/>
        <v>2.6908084999371255E-2</v>
      </c>
      <c r="R78" s="2"/>
      <c r="S78" s="100">
        <v>45165</v>
      </c>
      <c r="T78" s="105">
        <v>308.32</v>
      </c>
      <c r="U78" s="22">
        <f t="shared" si="11"/>
        <v>-9.4454796633039826E-3</v>
      </c>
      <c r="V78" s="2"/>
      <c r="W78" s="100">
        <v>45165</v>
      </c>
      <c r="X78" s="105">
        <v>11.97</v>
      </c>
      <c r="Y78" s="22">
        <f t="shared" si="12"/>
        <v>1.9591141396933597E-2</v>
      </c>
      <c r="Z78" s="2"/>
      <c r="AA78" s="100">
        <v>45165</v>
      </c>
      <c r="AB78" s="105">
        <v>18.23</v>
      </c>
      <c r="AC78" s="22">
        <f t="shared" si="13"/>
        <v>2.7502750275027895E-3</v>
      </c>
      <c r="AD78" s="2"/>
      <c r="AE78" s="100">
        <v>45165</v>
      </c>
      <c r="AF78" s="105">
        <v>172.54</v>
      </c>
      <c r="AG78" s="22">
        <f t="shared" si="14"/>
        <v>4.9130487656572928E-2</v>
      </c>
    </row>
    <row r="79" spans="7:33" x14ac:dyDescent="0.25">
      <c r="G79" s="100">
        <v>45158</v>
      </c>
      <c r="H79" s="105">
        <v>4405.71</v>
      </c>
      <c r="I79" s="22">
        <f t="shared" si="8"/>
        <v>8.2385329918919104E-3</v>
      </c>
      <c r="J79" s="2"/>
      <c r="K79" s="100">
        <v>45158</v>
      </c>
      <c r="L79" s="105">
        <v>32.950000000000003</v>
      </c>
      <c r="M79" s="22">
        <f t="shared" si="9"/>
        <v>-5.1328502415457309E-3</v>
      </c>
      <c r="N79" s="2"/>
      <c r="O79" s="100">
        <v>45158</v>
      </c>
      <c r="P79" s="105">
        <v>238.59</v>
      </c>
      <c r="Q79" s="22">
        <f t="shared" si="10"/>
        <v>0.10719754977029093</v>
      </c>
      <c r="R79" s="2"/>
      <c r="S79" s="100">
        <v>45158</v>
      </c>
      <c r="T79" s="105">
        <v>311.26</v>
      </c>
      <c r="U79" s="22">
        <f t="shared" si="11"/>
        <v>1.802125919869171E-2</v>
      </c>
      <c r="V79" s="2"/>
      <c r="W79" s="100">
        <v>45158</v>
      </c>
      <c r="X79" s="105">
        <v>11.74</v>
      </c>
      <c r="Y79" s="22">
        <f t="shared" si="12"/>
        <v>-4.2408821034774329E-3</v>
      </c>
      <c r="Z79" s="2"/>
      <c r="AA79" s="100">
        <v>45158</v>
      </c>
      <c r="AB79" s="105">
        <v>18.18</v>
      </c>
      <c r="AC79" s="22">
        <f t="shared" si="13"/>
        <v>2.0202020202020169E-2</v>
      </c>
      <c r="AD79" s="2"/>
      <c r="AE79" s="100">
        <v>45158</v>
      </c>
      <c r="AF79" s="105">
        <v>164.46</v>
      </c>
      <c r="AG79" s="22">
        <f t="shared" si="14"/>
        <v>1.6000494223759827E-2</v>
      </c>
    </row>
    <row r="80" spans="7:33" x14ac:dyDescent="0.25">
      <c r="G80" s="100">
        <v>45151</v>
      </c>
      <c r="H80" s="105">
        <v>4369.71</v>
      </c>
      <c r="I80" s="22">
        <f t="shared" si="8"/>
        <v>-2.1133275836964224E-2</v>
      </c>
      <c r="J80" s="2"/>
      <c r="K80" s="100">
        <v>45151</v>
      </c>
      <c r="L80" s="105">
        <v>33.119999999999997</v>
      </c>
      <c r="M80" s="22">
        <f t="shared" si="9"/>
        <v>-2.2720566538802098E-2</v>
      </c>
      <c r="N80" s="2"/>
      <c r="O80" s="100">
        <v>45151</v>
      </c>
      <c r="P80" s="105">
        <v>215.49</v>
      </c>
      <c r="Q80" s="22">
        <f t="shared" si="10"/>
        <v>-0.1119307644755821</v>
      </c>
      <c r="R80" s="2"/>
      <c r="S80" s="100">
        <v>45151</v>
      </c>
      <c r="T80" s="105">
        <v>305.75</v>
      </c>
      <c r="U80" s="22">
        <f t="shared" si="11"/>
        <v>-1.7481281532182903E-2</v>
      </c>
      <c r="V80" s="2"/>
      <c r="W80" s="100">
        <v>45151</v>
      </c>
      <c r="X80" s="105">
        <v>11.79</v>
      </c>
      <c r="Y80" s="22">
        <f t="shared" si="12"/>
        <v>-1.503759398496253E-2</v>
      </c>
      <c r="Z80" s="2"/>
      <c r="AA80" s="100">
        <v>45151</v>
      </c>
      <c r="AB80" s="105">
        <v>17.82</v>
      </c>
      <c r="AC80" s="22">
        <f t="shared" si="13"/>
        <v>-3.2047800108636601E-2</v>
      </c>
      <c r="AD80" s="2"/>
      <c r="AE80" s="100">
        <v>45151</v>
      </c>
      <c r="AF80" s="105">
        <v>161.87</v>
      </c>
      <c r="AG80" s="22">
        <f t="shared" si="14"/>
        <v>-3.2340985174557607E-2</v>
      </c>
    </row>
    <row r="81" spans="7:33" x14ac:dyDescent="0.25">
      <c r="G81" s="100">
        <v>45144</v>
      </c>
      <c r="H81" s="105">
        <v>4464.05</v>
      </c>
      <c r="I81" s="22">
        <f t="shared" si="8"/>
        <v>-3.1219085178079567E-3</v>
      </c>
      <c r="J81" s="2"/>
      <c r="K81" s="100">
        <v>45144</v>
      </c>
      <c r="L81" s="105">
        <v>33.89</v>
      </c>
      <c r="M81" s="22">
        <f t="shared" si="9"/>
        <v>-7.3284112660650796E-2</v>
      </c>
      <c r="N81" s="2"/>
      <c r="O81" s="100">
        <v>45144</v>
      </c>
      <c r="P81" s="105">
        <v>242.65</v>
      </c>
      <c r="Q81" s="22">
        <f t="shared" si="10"/>
        <v>-4.415819743165527E-2</v>
      </c>
      <c r="R81" s="2"/>
      <c r="S81" s="100">
        <v>45144</v>
      </c>
      <c r="T81" s="105">
        <v>311.19</v>
      </c>
      <c r="U81" s="22">
        <f t="shared" si="11"/>
        <v>-8.3480494461387353E-4</v>
      </c>
      <c r="V81" s="2"/>
      <c r="W81" s="100">
        <v>45144</v>
      </c>
      <c r="X81" s="105">
        <v>11.97</v>
      </c>
      <c r="Y81" s="22">
        <f t="shared" si="12"/>
        <v>-5.822187254130607E-2</v>
      </c>
      <c r="Z81" s="2"/>
      <c r="AA81" s="100">
        <v>45144</v>
      </c>
      <c r="AB81" s="105">
        <v>18.41</v>
      </c>
      <c r="AC81" s="22">
        <f t="shared" si="13"/>
        <v>-5.2496139989706619E-2</v>
      </c>
      <c r="AD81" s="2"/>
      <c r="AE81" s="100">
        <v>45144</v>
      </c>
      <c r="AF81" s="105">
        <v>167.28</v>
      </c>
      <c r="AG81" s="22">
        <f t="shared" si="14"/>
        <v>-2.055155454066392E-2</v>
      </c>
    </row>
    <row r="82" spans="7:33" x14ac:dyDescent="0.25">
      <c r="G82" s="100">
        <v>45137</v>
      </c>
      <c r="H82" s="105">
        <v>4478.03</v>
      </c>
      <c r="I82" s="22">
        <f t="shared" si="8"/>
        <v>-2.2740019597444875E-2</v>
      </c>
      <c r="J82" s="2"/>
      <c r="K82" s="100">
        <v>45137</v>
      </c>
      <c r="L82" s="105">
        <v>36.57</v>
      </c>
      <c r="M82" s="22">
        <f t="shared" si="9"/>
        <v>-3.889618922470426E-2</v>
      </c>
      <c r="N82" s="2"/>
      <c r="O82" s="100">
        <v>45137</v>
      </c>
      <c r="P82" s="105">
        <v>253.86</v>
      </c>
      <c r="Q82" s="22">
        <f t="shared" si="10"/>
        <v>-4.7215132862933433E-2</v>
      </c>
      <c r="R82" s="2"/>
      <c r="S82" s="100">
        <v>45137</v>
      </c>
      <c r="T82" s="105">
        <v>311.45</v>
      </c>
      <c r="U82" s="22">
        <f t="shared" si="11"/>
        <v>-3.2222981791063345E-2</v>
      </c>
      <c r="V82" s="2"/>
      <c r="W82" s="100">
        <v>45137</v>
      </c>
      <c r="X82" s="105">
        <v>12.71</v>
      </c>
      <c r="Y82" s="22">
        <f t="shared" si="12"/>
        <v>-2.7543993879112428E-2</v>
      </c>
      <c r="Z82" s="2"/>
      <c r="AA82" s="100">
        <v>45137</v>
      </c>
      <c r="AB82" s="105">
        <v>19.43</v>
      </c>
      <c r="AC82" s="22">
        <f t="shared" si="13"/>
        <v>-5.4501216545012214E-2</v>
      </c>
      <c r="AD82" s="2"/>
      <c r="AE82" s="100">
        <v>45137</v>
      </c>
      <c r="AF82" s="105">
        <v>170.79</v>
      </c>
      <c r="AG82" s="22">
        <f t="shared" si="14"/>
        <v>2.1776847143284393E-2</v>
      </c>
    </row>
    <row r="83" spans="7:33" x14ac:dyDescent="0.25">
      <c r="G83" s="100">
        <v>45130</v>
      </c>
      <c r="H83" s="105">
        <v>4582.2299999999996</v>
      </c>
      <c r="I83" s="22">
        <f t="shared" si="8"/>
        <v>1.0116084773187066E-2</v>
      </c>
      <c r="J83" s="2"/>
      <c r="K83" s="100">
        <v>45130</v>
      </c>
      <c r="L83" s="105">
        <v>38.049999999999997</v>
      </c>
      <c r="M83" s="22">
        <f t="shared" si="9"/>
        <v>-1.2970168612191959E-2</v>
      </c>
      <c r="N83" s="2"/>
      <c r="O83" s="100">
        <v>45130</v>
      </c>
      <c r="P83" s="105">
        <v>266.44</v>
      </c>
      <c r="Q83" s="22">
        <f t="shared" si="10"/>
        <v>2.4690408430120821E-2</v>
      </c>
      <c r="R83" s="2"/>
      <c r="S83" s="100">
        <v>45130</v>
      </c>
      <c r="T83" s="105">
        <v>321.82</v>
      </c>
      <c r="U83" s="22">
        <f t="shared" si="11"/>
        <v>1.1980755322159689E-2</v>
      </c>
      <c r="V83" s="2"/>
      <c r="W83" s="100">
        <v>45130</v>
      </c>
      <c r="X83" s="105">
        <v>13.07</v>
      </c>
      <c r="Y83" s="22">
        <f t="shared" si="12"/>
        <v>-4.8069919883466872E-2</v>
      </c>
      <c r="Z83" s="2"/>
      <c r="AA83" s="100">
        <v>45130</v>
      </c>
      <c r="AB83" s="105">
        <v>20.55</v>
      </c>
      <c r="AC83" s="22">
        <f t="shared" si="13"/>
        <v>0.11989100817438687</v>
      </c>
      <c r="AD83" s="2"/>
      <c r="AE83" s="100">
        <v>45130</v>
      </c>
      <c r="AF83" s="105">
        <v>167.15</v>
      </c>
      <c r="AG83" s="22">
        <f t="shared" si="14"/>
        <v>2.6656839260487706E-2</v>
      </c>
    </row>
    <row r="84" spans="7:33" x14ac:dyDescent="0.25">
      <c r="G84" s="100">
        <v>45123</v>
      </c>
      <c r="H84" s="105">
        <v>4536.34</v>
      </c>
      <c r="I84" s="22">
        <f t="shared" si="8"/>
        <v>6.862845195342515E-3</v>
      </c>
      <c r="J84" s="2"/>
      <c r="K84" s="100">
        <v>45123</v>
      </c>
      <c r="L84" s="105">
        <v>38.549999999999997</v>
      </c>
      <c r="M84" s="22">
        <f t="shared" si="9"/>
        <v>-3.6250000000000074E-2</v>
      </c>
      <c r="N84" s="2"/>
      <c r="O84" s="100">
        <v>45123</v>
      </c>
      <c r="P84" s="105">
        <v>260.02</v>
      </c>
      <c r="Q84" s="22">
        <f t="shared" si="10"/>
        <v>-7.5911578648091602E-2</v>
      </c>
      <c r="R84" s="2"/>
      <c r="S84" s="100">
        <v>45123</v>
      </c>
      <c r="T84" s="105">
        <v>318.01</v>
      </c>
      <c r="U84" s="22">
        <f t="shared" si="11"/>
        <v>-3.2757466999209145E-2</v>
      </c>
      <c r="V84" s="2"/>
      <c r="W84" s="100">
        <v>45123</v>
      </c>
      <c r="X84" s="105">
        <v>13.73</v>
      </c>
      <c r="Y84" s="22">
        <f t="shared" si="12"/>
        <v>-7.0412999322951877E-2</v>
      </c>
      <c r="Z84" s="2"/>
      <c r="AA84" s="100">
        <v>45123</v>
      </c>
      <c r="AB84" s="105">
        <v>18.350000000000001</v>
      </c>
      <c r="AC84" s="22">
        <f t="shared" si="13"/>
        <v>-2.1855010660980816E-2</v>
      </c>
      <c r="AD84" s="2"/>
      <c r="AE84" s="100">
        <v>45123</v>
      </c>
      <c r="AF84" s="105">
        <v>162.81</v>
      </c>
      <c r="AG84" s="22">
        <f t="shared" si="14"/>
        <v>2.2997172478793567E-2</v>
      </c>
    </row>
    <row r="85" spans="7:33" x14ac:dyDescent="0.25">
      <c r="G85" s="100">
        <v>45116</v>
      </c>
      <c r="H85" s="105">
        <v>4505.42</v>
      </c>
      <c r="I85" s="22">
        <f t="shared" si="8"/>
        <v>2.4203503108696452E-2</v>
      </c>
      <c r="J85" s="2"/>
      <c r="K85" s="100">
        <v>45116</v>
      </c>
      <c r="L85" s="105">
        <v>40</v>
      </c>
      <c r="M85" s="22">
        <f t="shared" si="9"/>
        <v>9.8459984852310167E-3</v>
      </c>
      <c r="N85" s="2"/>
      <c r="O85" s="100">
        <v>45116</v>
      </c>
      <c r="P85" s="105">
        <v>281.38</v>
      </c>
      <c r="Q85" s="22">
        <f t="shared" si="10"/>
        <v>2.5325219545967965E-2</v>
      </c>
      <c r="R85" s="2"/>
      <c r="S85" s="100">
        <v>45116</v>
      </c>
      <c r="T85" s="105">
        <v>328.78</v>
      </c>
      <c r="U85" s="22">
        <f t="shared" si="11"/>
        <v>4.5438646697828114E-2</v>
      </c>
      <c r="V85" s="2"/>
      <c r="W85" s="100">
        <v>45116</v>
      </c>
      <c r="X85" s="105">
        <v>14.77</v>
      </c>
      <c r="Y85" s="22">
        <f t="shared" si="12"/>
        <v>0</v>
      </c>
      <c r="Z85" s="2"/>
      <c r="AA85" s="100">
        <v>45116</v>
      </c>
      <c r="AB85" s="105">
        <v>18.760000000000002</v>
      </c>
      <c r="AC85" s="22">
        <f t="shared" si="13"/>
        <v>5.7497181510710441E-2</v>
      </c>
      <c r="AD85" s="2"/>
      <c r="AE85" s="100">
        <v>45116</v>
      </c>
      <c r="AF85" s="105">
        <v>159.15</v>
      </c>
      <c r="AG85" s="22">
        <f t="shared" si="14"/>
        <v>-1.6195833590900689E-2</v>
      </c>
    </row>
    <row r="86" spans="7:33" x14ac:dyDescent="0.25">
      <c r="G86" s="100">
        <v>45109</v>
      </c>
      <c r="H86" s="105">
        <v>4398.95</v>
      </c>
      <c r="I86" s="22">
        <f t="shared" si="8"/>
        <v>-1.155631653926188E-2</v>
      </c>
      <c r="J86" s="2"/>
      <c r="K86" s="100">
        <v>45109</v>
      </c>
      <c r="L86" s="105">
        <v>39.61</v>
      </c>
      <c r="M86" s="22">
        <f t="shared" si="9"/>
        <v>2.7230290456431459E-2</v>
      </c>
      <c r="N86" s="2"/>
      <c r="O86" s="100">
        <v>45109</v>
      </c>
      <c r="P86" s="105">
        <v>274.43</v>
      </c>
      <c r="Q86" s="22">
        <f t="shared" si="10"/>
        <v>4.8363066814379137E-2</v>
      </c>
      <c r="R86" s="2"/>
      <c r="S86" s="100">
        <v>45109</v>
      </c>
      <c r="T86" s="105">
        <v>314.49</v>
      </c>
      <c r="U86" s="22">
        <f t="shared" si="11"/>
        <v>-3.2963316011192678E-2</v>
      </c>
      <c r="V86" s="2"/>
      <c r="W86" s="100">
        <v>45109</v>
      </c>
      <c r="X86" s="105">
        <v>14.77</v>
      </c>
      <c r="Y86" s="22">
        <f t="shared" si="12"/>
        <v>-9.3896713615023858E-3</v>
      </c>
      <c r="Z86" s="2"/>
      <c r="AA86" s="100">
        <v>45109</v>
      </c>
      <c r="AB86" s="105">
        <v>17.739999999999998</v>
      </c>
      <c r="AC86" s="22">
        <f t="shared" si="13"/>
        <v>1.1402508551881374E-2</v>
      </c>
      <c r="AD86" s="2"/>
      <c r="AE86" s="100">
        <v>45109</v>
      </c>
      <c r="AF86" s="105">
        <v>161.77000000000001</v>
      </c>
      <c r="AG86" s="22">
        <f t="shared" si="14"/>
        <v>6.3452566096423657E-3</v>
      </c>
    </row>
    <row r="87" spans="7:33" x14ac:dyDescent="0.25">
      <c r="G87" s="100">
        <v>45102</v>
      </c>
      <c r="H87" s="105">
        <v>4450.38</v>
      </c>
      <c r="I87" s="22">
        <f t="shared" si="8"/>
        <v>2.3468779968401705E-2</v>
      </c>
      <c r="J87" s="2"/>
      <c r="K87" s="100">
        <v>45102</v>
      </c>
      <c r="L87" s="105">
        <v>38.56</v>
      </c>
      <c r="M87" s="22">
        <f t="shared" si="9"/>
        <v>6.5782200110558395E-2</v>
      </c>
      <c r="N87" s="2"/>
      <c r="O87" s="100">
        <v>45102</v>
      </c>
      <c r="P87" s="105">
        <v>261.77</v>
      </c>
      <c r="Q87" s="22">
        <f t="shared" si="10"/>
        <v>2.014809041309415E-2</v>
      </c>
      <c r="R87" s="2"/>
      <c r="S87" s="100">
        <v>45102</v>
      </c>
      <c r="T87" s="105">
        <v>325.20999999999998</v>
      </c>
      <c r="U87" s="22">
        <f t="shared" si="11"/>
        <v>5.7524713839750254E-2</v>
      </c>
      <c r="V87" s="2"/>
      <c r="W87" s="100">
        <v>45102</v>
      </c>
      <c r="X87" s="105">
        <v>14.91</v>
      </c>
      <c r="Y87" s="22">
        <f t="shared" si="12"/>
        <v>7.887120115774239E-2</v>
      </c>
      <c r="Z87" s="2"/>
      <c r="AA87" s="100">
        <v>45102</v>
      </c>
      <c r="AB87" s="105">
        <v>17.54</v>
      </c>
      <c r="AC87" s="22">
        <f t="shared" si="13"/>
        <v>6.5613608748481059E-2</v>
      </c>
      <c r="AD87" s="2"/>
      <c r="AE87" s="100">
        <v>45102</v>
      </c>
      <c r="AF87" s="105">
        <v>160.75</v>
      </c>
      <c r="AG87" s="22">
        <f t="shared" si="14"/>
        <v>4.805059329769204E-2</v>
      </c>
    </row>
    <row r="88" spans="7:33" x14ac:dyDescent="0.25">
      <c r="G88" s="100">
        <v>45095</v>
      </c>
      <c r="H88" s="105">
        <v>4348.33</v>
      </c>
      <c r="I88" s="22">
        <f t="shared" si="8"/>
        <v>-1.3892448050725854E-2</v>
      </c>
      <c r="J88" s="2"/>
      <c r="K88" s="100">
        <v>45095</v>
      </c>
      <c r="L88" s="105">
        <v>36.18</v>
      </c>
      <c r="M88" s="22">
        <f t="shared" si="9"/>
        <v>-4.6891464699683909E-2</v>
      </c>
      <c r="N88" s="2"/>
      <c r="O88" s="100">
        <v>45095</v>
      </c>
      <c r="P88" s="105">
        <v>256.60000000000002</v>
      </c>
      <c r="Q88" s="22">
        <f t="shared" si="10"/>
        <v>-1.5122438013356864E-2</v>
      </c>
      <c r="R88" s="2"/>
      <c r="S88" s="100">
        <v>45095</v>
      </c>
      <c r="T88" s="105">
        <v>307.52</v>
      </c>
      <c r="U88" s="22">
        <f t="shared" si="11"/>
        <v>-1.6232712161547952E-3</v>
      </c>
      <c r="V88" s="2"/>
      <c r="W88" s="100">
        <v>45095</v>
      </c>
      <c r="X88" s="105">
        <v>13.82</v>
      </c>
      <c r="Y88" s="22">
        <f t="shared" si="12"/>
        <v>-2.7445460942997928E-2</v>
      </c>
      <c r="Z88" s="2"/>
      <c r="AA88" s="100">
        <v>45095</v>
      </c>
      <c r="AB88" s="105">
        <v>16.46</v>
      </c>
      <c r="AC88" s="22">
        <f t="shared" si="13"/>
        <v>-5.0749711649365571E-2</v>
      </c>
      <c r="AD88" s="2"/>
      <c r="AE88" s="100">
        <v>45095</v>
      </c>
      <c r="AF88" s="105">
        <v>153.38</v>
      </c>
      <c r="AG88" s="22">
        <f t="shared" si="14"/>
        <v>-6.6747794341344688E-2</v>
      </c>
    </row>
    <row r="89" spans="7:33" x14ac:dyDescent="0.25">
      <c r="G89" s="100">
        <v>45088</v>
      </c>
      <c r="H89" s="105">
        <v>4409.59</v>
      </c>
      <c r="I89" s="22">
        <f t="shared" si="8"/>
        <v>2.5757991653601299E-2</v>
      </c>
      <c r="J89" s="2"/>
      <c r="K89" s="100">
        <v>45088</v>
      </c>
      <c r="L89" s="105">
        <v>37.96</v>
      </c>
      <c r="M89" s="22">
        <f t="shared" si="9"/>
        <v>4.7750483025117418E-2</v>
      </c>
      <c r="N89" s="2"/>
      <c r="O89" s="100">
        <v>45088</v>
      </c>
      <c r="P89" s="105">
        <v>260.54000000000002</v>
      </c>
      <c r="Q89" s="22">
        <f t="shared" si="10"/>
        <v>6.6039279869067158E-2</v>
      </c>
      <c r="R89" s="2"/>
      <c r="S89" s="100">
        <v>45088</v>
      </c>
      <c r="T89" s="105">
        <v>308.02</v>
      </c>
      <c r="U89" s="22">
        <f t="shared" si="11"/>
        <v>3.4318334452652685E-2</v>
      </c>
      <c r="V89" s="2"/>
      <c r="W89" s="100">
        <v>45088</v>
      </c>
      <c r="X89" s="105">
        <v>14.21</v>
      </c>
      <c r="Y89" s="22">
        <f t="shared" si="12"/>
        <v>4.9483013293944E-2</v>
      </c>
      <c r="Z89" s="2"/>
      <c r="AA89" s="100">
        <v>45088</v>
      </c>
      <c r="AB89" s="105">
        <v>17.34</v>
      </c>
      <c r="AC89" s="22">
        <f t="shared" si="13"/>
        <v>6.7733990147783349E-2</v>
      </c>
      <c r="AD89" s="2"/>
      <c r="AE89" s="100">
        <v>45088</v>
      </c>
      <c r="AF89" s="105">
        <v>164.35</v>
      </c>
      <c r="AG89" s="22">
        <f t="shared" si="14"/>
        <v>0.10569160387513461</v>
      </c>
    </row>
    <row r="90" spans="7:33" x14ac:dyDescent="0.25">
      <c r="G90" s="100">
        <v>45081</v>
      </c>
      <c r="H90" s="105">
        <v>4298.8599999999997</v>
      </c>
      <c r="I90" s="22">
        <f t="shared" si="8"/>
        <v>3.8506714739734733E-3</v>
      </c>
      <c r="J90" s="2"/>
      <c r="K90" s="100">
        <v>45081</v>
      </c>
      <c r="L90" s="105">
        <v>36.229999999999997</v>
      </c>
      <c r="M90" s="22">
        <f t="shared" si="9"/>
        <v>5.6884480746791005E-2</v>
      </c>
      <c r="N90" s="2"/>
      <c r="O90" s="100">
        <v>45081</v>
      </c>
      <c r="P90" s="105">
        <v>244.4</v>
      </c>
      <c r="Q90" s="22">
        <f t="shared" si="10"/>
        <v>0.14221619853250458</v>
      </c>
      <c r="R90" s="2"/>
      <c r="S90" s="100">
        <v>45081</v>
      </c>
      <c r="T90" s="105">
        <v>297.8</v>
      </c>
      <c r="U90" s="22">
        <f t="shared" si="11"/>
        <v>-2.6791694574682229E-3</v>
      </c>
      <c r="V90" s="2"/>
      <c r="W90" s="100">
        <v>45081</v>
      </c>
      <c r="X90" s="105">
        <v>13.54</v>
      </c>
      <c r="Y90" s="22">
        <f t="shared" si="12"/>
        <v>0.10892710892710877</v>
      </c>
      <c r="Z90" s="2"/>
      <c r="AA90" s="100">
        <v>45081</v>
      </c>
      <c r="AB90" s="105">
        <v>16.239999999999998</v>
      </c>
      <c r="AC90" s="22">
        <f t="shared" si="13"/>
        <v>2.3314429741650867E-2</v>
      </c>
      <c r="AD90" s="2"/>
      <c r="AE90" s="100">
        <v>45081</v>
      </c>
      <c r="AF90" s="105">
        <v>148.63999999999999</v>
      </c>
      <c r="AG90" s="22">
        <f t="shared" si="14"/>
        <v>1.8082191780821825E-2</v>
      </c>
    </row>
    <row r="91" spans="7:33" x14ac:dyDescent="0.25">
      <c r="G91" s="100">
        <v>45074</v>
      </c>
      <c r="H91" s="105">
        <v>4282.37</v>
      </c>
      <c r="I91" s="22">
        <f t="shared" si="8"/>
        <v>1.8290551546207914E-2</v>
      </c>
      <c r="J91" s="2"/>
      <c r="K91" s="100">
        <v>45074</v>
      </c>
      <c r="L91" s="105">
        <v>34.28</v>
      </c>
      <c r="M91" s="22">
        <f t="shared" si="9"/>
        <v>2.9738660258335898E-2</v>
      </c>
      <c r="N91" s="2"/>
      <c r="O91" s="100">
        <v>45074</v>
      </c>
      <c r="P91" s="105">
        <v>213.97</v>
      </c>
      <c r="Q91" s="22">
        <f t="shared" si="10"/>
        <v>0.10767717554485692</v>
      </c>
      <c r="R91" s="2"/>
      <c r="S91" s="100">
        <v>45074</v>
      </c>
      <c r="T91" s="105">
        <v>298.60000000000002</v>
      </c>
      <c r="U91" s="22">
        <f t="shared" si="11"/>
        <v>2.6963818957215682E-2</v>
      </c>
      <c r="V91" s="2"/>
      <c r="W91" s="100">
        <v>45074</v>
      </c>
      <c r="X91" s="105">
        <v>12.21</v>
      </c>
      <c r="Y91" s="22">
        <f t="shared" si="12"/>
        <v>2.432885906040276E-2</v>
      </c>
      <c r="Z91" s="2"/>
      <c r="AA91" s="100">
        <v>45074</v>
      </c>
      <c r="AB91" s="105">
        <v>15.87</v>
      </c>
      <c r="AC91" s="22">
        <f t="shared" si="13"/>
        <v>-1.88679245283026E-3</v>
      </c>
      <c r="AD91" s="2"/>
      <c r="AE91" s="100">
        <v>45074</v>
      </c>
      <c r="AF91" s="105">
        <v>146</v>
      </c>
      <c r="AG91" s="22">
        <f t="shared" si="14"/>
        <v>4.2261564820102702E-2</v>
      </c>
    </row>
    <row r="92" spans="7:33" x14ac:dyDescent="0.25">
      <c r="G92" s="100">
        <v>45067</v>
      </c>
      <c r="H92" s="105">
        <v>4205.45</v>
      </c>
      <c r="I92" s="22">
        <f t="shared" si="8"/>
        <v>3.2132786893067848E-3</v>
      </c>
      <c r="J92" s="2"/>
      <c r="K92" s="100">
        <v>45067</v>
      </c>
      <c r="L92" s="105">
        <v>33.29</v>
      </c>
      <c r="M92" s="22">
        <f t="shared" si="9"/>
        <v>1.9289650949173381E-2</v>
      </c>
      <c r="N92" s="2"/>
      <c r="O92" s="100">
        <v>45067</v>
      </c>
      <c r="P92" s="105">
        <v>193.17</v>
      </c>
      <c r="Q92" s="22">
        <f t="shared" si="10"/>
        <v>7.2332630176529383E-2</v>
      </c>
      <c r="R92" s="2"/>
      <c r="S92" s="100">
        <v>45067</v>
      </c>
      <c r="T92" s="105">
        <v>290.76</v>
      </c>
      <c r="U92" s="22">
        <f t="shared" si="11"/>
        <v>-2.5080472103004351E-2</v>
      </c>
      <c r="V92" s="2"/>
      <c r="W92" s="100">
        <v>45067</v>
      </c>
      <c r="X92" s="105">
        <v>11.92</v>
      </c>
      <c r="Y92" s="22">
        <f t="shared" si="12"/>
        <v>3.8327526132404137E-2</v>
      </c>
      <c r="Z92" s="2"/>
      <c r="AA92" s="100">
        <v>45067</v>
      </c>
      <c r="AB92" s="105">
        <v>15.9</v>
      </c>
      <c r="AC92" s="22">
        <f t="shared" si="13"/>
        <v>-5.2443384982121616E-2</v>
      </c>
      <c r="AD92" s="2"/>
      <c r="AE92" s="100">
        <v>45067</v>
      </c>
      <c r="AF92" s="105">
        <v>140.08000000000001</v>
      </c>
      <c r="AG92" s="22">
        <f t="shared" si="14"/>
        <v>-1.5047110111095391E-2</v>
      </c>
    </row>
    <row r="93" spans="7:33" x14ac:dyDescent="0.25">
      <c r="G93" s="100">
        <v>45060</v>
      </c>
      <c r="H93" s="105">
        <v>4191.9799999999996</v>
      </c>
      <c r="I93" s="22">
        <f t="shared" si="8"/>
        <v>1.646427809353835E-2</v>
      </c>
      <c r="J93" s="2"/>
      <c r="K93" s="100">
        <v>45060</v>
      </c>
      <c r="L93" s="105">
        <v>32.659999999999997</v>
      </c>
      <c r="M93" s="22">
        <f t="shared" si="9"/>
        <v>8.0246913580246295E-3</v>
      </c>
      <c r="N93" s="2"/>
      <c r="O93" s="100">
        <v>45060</v>
      </c>
      <c r="P93" s="105">
        <v>180.14</v>
      </c>
      <c r="Q93" s="22">
        <f t="shared" si="10"/>
        <v>7.2389570186927002E-2</v>
      </c>
      <c r="R93" s="2"/>
      <c r="S93" s="100">
        <v>45060</v>
      </c>
      <c r="T93" s="105">
        <v>298.24</v>
      </c>
      <c r="U93" s="22">
        <f t="shared" si="11"/>
        <v>6.649340128936536E-3</v>
      </c>
      <c r="V93" s="2"/>
      <c r="W93" s="100">
        <v>45060</v>
      </c>
      <c r="X93" s="105">
        <v>11.48</v>
      </c>
      <c r="Y93" s="22">
        <f t="shared" si="12"/>
        <v>-1.7391304347825717E-3</v>
      </c>
      <c r="Z93" s="2"/>
      <c r="AA93" s="100">
        <v>45060</v>
      </c>
      <c r="AB93" s="105">
        <v>16.78</v>
      </c>
      <c r="AC93" s="22">
        <f t="shared" si="13"/>
        <v>3.5802469135802588E-2</v>
      </c>
      <c r="AD93" s="2"/>
      <c r="AE93" s="100">
        <v>45060</v>
      </c>
      <c r="AF93" s="105">
        <v>142.22</v>
      </c>
      <c r="AG93" s="22">
        <f t="shared" si="14"/>
        <v>-7.3288197110351876E-3</v>
      </c>
    </row>
    <row r="94" spans="7:33" x14ac:dyDescent="0.25">
      <c r="G94" s="100">
        <v>45053</v>
      </c>
      <c r="H94" s="105">
        <v>4124.08</v>
      </c>
      <c r="I94" s="22">
        <f t="shared" si="8"/>
        <v>-2.9422786340284248E-3</v>
      </c>
      <c r="J94" s="2"/>
      <c r="K94" s="100">
        <v>45053</v>
      </c>
      <c r="L94" s="105">
        <v>32.4</v>
      </c>
      <c r="M94" s="22">
        <f t="shared" si="9"/>
        <v>-2.5856885147324097E-2</v>
      </c>
      <c r="N94" s="2"/>
      <c r="O94" s="100">
        <v>45053</v>
      </c>
      <c r="P94" s="105">
        <v>167.98</v>
      </c>
      <c r="Q94" s="22">
        <f t="shared" si="10"/>
        <v>-1.2230977302128734E-2</v>
      </c>
      <c r="R94" s="2"/>
      <c r="S94" s="100">
        <v>45053</v>
      </c>
      <c r="T94" s="105">
        <v>296.27</v>
      </c>
      <c r="U94" s="22">
        <f t="shared" si="11"/>
        <v>-1.8193457093764376E-3</v>
      </c>
      <c r="V94" s="2"/>
      <c r="W94" s="100">
        <v>45053</v>
      </c>
      <c r="X94" s="105">
        <v>11.5</v>
      </c>
      <c r="Y94" s="22">
        <f t="shared" si="12"/>
        <v>-2.7072758037225066E-2</v>
      </c>
      <c r="Z94" s="2"/>
      <c r="AA94" s="100">
        <v>45053</v>
      </c>
      <c r="AB94" s="105">
        <v>16.2</v>
      </c>
      <c r="AC94" s="22">
        <f t="shared" si="13"/>
        <v>-6.1349693251534611E-3</v>
      </c>
      <c r="AD94" s="2"/>
      <c r="AE94" s="100">
        <v>45053</v>
      </c>
      <c r="AF94" s="105">
        <v>143.27000000000001</v>
      </c>
      <c r="AG94" s="22">
        <f t="shared" si="14"/>
        <v>4.1660607823178847E-2</v>
      </c>
    </row>
    <row r="95" spans="7:33" x14ac:dyDescent="0.25">
      <c r="G95" s="100">
        <v>45046</v>
      </c>
      <c r="H95" s="105">
        <v>4136.25</v>
      </c>
      <c r="I95" s="22">
        <f t="shared" si="8"/>
        <v>-7.9698187783607474E-3</v>
      </c>
      <c r="J95" s="2"/>
      <c r="K95" s="100">
        <v>45046</v>
      </c>
      <c r="L95" s="105">
        <v>33.26</v>
      </c>
      <c r="M95" s="22">
        <f t="shared" si="9"/>
        <v>6.6585956416464545E-3</v>
      </c>
      <c r="N95" s="2"/>
      <c r="O95" s="100">
        <v>45046</v>
      </c>
      <c r="P95" s="105">
        <v>170.06</v>
      </c>
      <c r="Q95" s="22">
        <f t="shared" si="10"/>
        <v>3.4994826851682793E-2</v>
      </c>
      <c r="R95" s="2"/>
      <c r="S95" s="100">
        <v>45046</v>
      </c>
      <c r="T95" s="105">
        <v>296.81</v>
      </c>
      <c r="U95" s="22">
        <f t="shared" si="11"/>
        <v>6.5209589434395698E-2</v>
      </c>
      <c r="V95" s="2"/>
      <c r="W95" s="100">
        <v>45046</v>
      </c>
      <c r="X95" s="105">
        <v>11.82</v>
      </c>
      <c r="Y95" s="22">
        <f t="shared" si="12"/>
        <v>9.3936806148590454E-3</v>
      </c>
      <c r="Z95" s="2"/>
      <c r="AA95" s="100">
        <v>45046</v>
      </c>
      <c r="AB95" s="105">
        <v>16.3</v>
      </c>
      <c r="AC95" s="22">
        <f t="shared" si="13"/>
        <v>-1.984365604329515E-2</v>
      </c>
      <c r="AD95" s="2"/>
      <c r="AE95" s="100">
        <v>45046</v>
      </c>
      <c r="AF95" s="105">
        <v>137.54</v>
      </c>
      <c r="AG95" s="22">
        <f t="shared" si="14"/>
        <v>1.5291633292068704E-3</v>
      </c>
    </row>
    <row r="96" spans="7:33" x14ac:dyDescent="0.25">
      <c r="G96" s="100">
        <v>45039</v>
      </c>
      <c r="H96" s="105">
        <v>4169.4799999999996</v>
      </c>
      <c r="I96" s="22">
        <f t="shared" si="8"/>
        <v>8.6996071145171959E-3</v>
      </c>
      <c r="J96" s="2"/>
      <c r="K96" s="100">
        <v>45039</v>
      </c>
      <c r="L96" s="105">
        <v>33.04</v>
      </c>
      <c r="M96" s="22">
        <f t="shared" si="9"/>
        <v>-1.520119225037252E-2</v>
      </c>
      <c r="N96" s="2"/>
      <c r="O96" s="100">
        <v>45039</v>
      </c>
      <c r="P96" s="105">
        <v>164.31</v>
      </c>
      <c r="Q96" s="22">
        <f t="shared" si="10"/>
        <v>-4.6644051369033809E-3</v>
      </c>
      <c r="R96" s="2"/>
      <c r="S96" s="100">
        <v>45039</v>
      </c>
      <c r="T96" s="105">
        <v>278.64</v>
      </c>
      <c r="U96" s="22">
        <f t="shared" si="11"/>
        <v>2.1940078408805297E-3</v>
      </c>
      <c r="V96" s="2"/>
      <c r="W96" s="100">
        <v>45039</v>
      </c>
      <c r="X96" s="105">
        <v>11.71</v>
      </c>
      <c r="Y96" s="22">
        <f t="shared" si="12"/>
        <v>6.0137457044673777E-3</v>
      </c>
      <c r="Z96" s="2"/>
      <c r="AA96" s="100">
        <v>45039</v>
      </c>
      <c r="AB96" s="105">
        <v>16.63</v>
      </c>
      <c r="AC96" s="22">
        <f t="shared" si="13"/>
        <v>-5.9389140271493251E-2</v>
      </c>
      <c r="AD96" s="2"/>
      <c r="AE96" s="100">
        <v>45039</v>
      </c>
      <c r="AF96" s="105">
        <v>137.33000000000001</v>
      </c>
      <c r="AG96" s="22">
        <f t="shared" si="14"/>
        <v>1.9751986336972043E-2</v>
      </c>
    </row>
    <row r="97" spans="7:33" x14ac:dyDescent="0.25">
      <c r="G97" s="100">
        <v>45032</v>
      </c>
      <c r="H97" s="105">
        <v>4133.5200000000004</v>
      </c>
      <c r="I97" s="22">
        <f t="shared" si="8"/>
        <v>-9.95736700147884E-4</v>
      </c>
      <c r="J97" s="2"/>
      <c r="K97" s="100">
        <v>45032</v>
      </c>
      <c r="L97" s="105">
        <v>33.549999999999997</v>
      </c>
      <c r="M97" s="22">
        <f t="shared" si="9"/>
        <v>-2.7254276601913735E-2</v>
      </c>
      <c r="N97" s="2"/>
      <c r="O97" s="100">
        <v>45032</v>
      </c>
      <c r="P97" s="105">
        <v>165.08</v>
      </c>
      <c r="Q97" s="22">
        <f t="shared" si="10"/>
        <v>-0.10767567567567561</v>
      </c>
      <c r="R97" s="2"/>
      <c r="S97" s="100">
        <v>45032</v>
      </c>
      <c r="T97" s="105">
        <v>278.02999999999997</v>
      </c>
      <c r="U97" s="22">
        <f t="shared" si="11"/>
        <v>-2.6266942177704623E-2</v>
      </c>
      <c r="V97" s="2"/>
      <c r="W97" s="100">
        <v>45032</v>
      </c>
      <c r="X97" s="105">
        <v>11.64</v>
      </c>
      <c r="Y97" s="22">
        <f t="shared" si="12"/>
        <v>-5.6726094003241433E-2</v>
      </c>
      <c r="Z97" s="2"/>
      <c r="AA97" s="100">
        <v>45032</v>
      </c>
      <c r="AB97" s="105">
        <v>17.68</v>
      </c>
      <c r="AC97" s="22">
        <f t="shared" si="13"/>
        <v>-6.25662778366914E-2</v>
      </c>
      <c r="AD97" s="2"/>
      <c r="AE97" s="100">
        <v>45032</v>
      </c>
      <c r="AF97" s="105">
        <v>134.66999999999999</v>
      </c>
      <c r="AG97" s="22">
        <f t="shared" si="14"/>
        <v>-9.4880847308033266E-3</v>
      </c>
    </row>
    <row r="98" spans="7:33" x14ac:dyDescent="0.25">
      <c r="G98" s="100">
        <v>45025</v>
      </c>
      <c r="H98" s="105">
        <v>4137.6400000000003</v>
      </c>
      <c r="I98" s="22">
        <f t="shared" si="8"/>
        <v>7.9463681053928824E-3</v>
      </c>
      <c r="J98" s="2"/>
      <c r="K98" s="100">
        <v>45025</v>
      </c>
      <c r="L98" s="105">
        <v>34.49</v>
      </c>
      <c r="M98" s="22">
        <f t="shared" si="9"/>
        <v>-2.8910089621278232E-3</v>
      </c>
      <c r="N98" s="2"/>
      <c r="O98" s="100">
        <v>45025</v>
      </c>
      <c r="P98" s="105">
        <v>185</v>
      </c>
      <c r="Q98" s="22">
        <f t="shared" si="10"/>
        <v>-3.2421917216039271E-4</v>
      </c>
      <c r="R98" s="2"/>
      <c r="S98" s="100">
        <v>45025</v>
      </c>
      <c r="T98" s="105">
        <v>285.52999999999997</v>
      </c>
      <c r="U98" s="22">
        <f t="shared" si="11"/>
        <v>4.9974259027726613E-2</v>
      </c>
      <c r="V98" s="2"/>
      <c r="W98" s="100">
        <v>45025</v>
      </c>
      <c r="X98" s="105">
        <v>12.34</v>
      </c>
      <c r="Y98" s="22">
        <f t="shared" si="12"/>
        <v>1.5637860082304486E-2</v>
      </c>
      <c r="Z98" s="2"/>
      <c r="AA98" s="100">
        <v>45025</v>
      </c>
      <c r="AB98" s="105">
        <v>18.86</v>
      </c>
      <c r="AC98" s="22">
        <f t="shared" si="13"/>
        <v>6.8555240793201189E-2</v>
      </c>
      <c r="AD98" s="2"/>
      <c r="AE98" s="100">
        <v>45025</v>
      </c>
      <c r="AF98" s="105">
        <v>135.96</v>
      </c>
      <c r="AG98" s="22">
        <f t="shared" si="14"/>
        <v>-2.0954849859580876E-2</v>
      </c>
    </row>
    <row r="99" spans="7:33" x14ac:dyDescent="0.25">
      <c r="G99" s="100">
        <v>45018</v>
      </c>
      <c r="H99" s="105">
        <v>4105.0200000000004</v>
      </c>
      <c r="I99" s="22">
        <f t="shared" si="8"/>
        <v>-1.0439708856231249E-3</v>
      </c>
      <c r="J99" s="2"/>
      <c r="K99" s="100">
        <v>45018</v>
      </c>
      <c r="L99" s="105">
        <v>34.590000000000003</v>
      </c>
      <c r="M99" s="22">
        <f t="shared" si="9"/>
        <v>-5.6979280261722907E-2</v>
      </c>
      <c r="N99" s="2"/>
      <c r="O99" s="100">
        <v>45018</v>
      </c>
      <c r="P99" s="105">
        <v>185.06</v>
      </c>
      <c r="Q99" s="22">
        <f t="shared" si="10"/>
        <v>-0.10797262122818858</v>
      </c>
      <c r="R99" s="2"/>
      <c r="S99" s="100">
        <v>45018</v>
      </c>
      <c r="T99" s="105">
        <v>271.94</v>
      </c>
      <c r="U99" s="22">
        <f t="shared" si="11"/>
        <v>3.690854063630324E-3</v>
      </c>
      <c r="V99" s="2"/>
      <c r="W99" s="100">
        <v>45018</v>
      </c>
      <c r="X99" s="105">
        <v>12.15</v>
      </c>
      <c r="Y99" s="22">
        <f t="shared" si="12"/>
        <v>-2.1739130434782573E-2</v>
      </c>
      <c r="Z99" s="2"/>
      <c r="AA99" s="100">
        <v>45018</v>
      </c>
      <c r="AB99" s="105">
        <v>17.649999999999999</v>
      </c>
      <c r="AC99" s="22">
        <f t="shared" si="13"/>
        <v>-2.9686641011544952E-2</v>
      </c>
      <c r="AD99" s="2"/>
      <c r="AE99" s="100">
        <v>45018</v>
      </c>
      <c r="AF99" s="105">
        <v>138.87</v>
      </c>
      <c r="AG99" s="22">
        <f t="shared" si="14"/>
        <v>-1.9902604276942574E-2</v>
      </c>
    </row>
    <row r="100" spans="7:33" x14ac:dyDescent="0.25">
      <c r="G100" s="100">
        <v>45011</v>
      </c>
      <c r="H100" s="105">
        <v>4109.3100000000004</v>
      </c>
      <c r="I100" s="22">
        <f t="shared" si="8"/>
        <v>3.4832623602678581E-2</v>
      </c>
      <c r="J100" s="2"/>
      <c r="K100" s="100">
        <v>45011</v>
      </c>
      <c r="L100" s="105">
        <v>36.68</v>
      </c>
      <c r="M100" s="22">
        <f t="shared" si="9"/>
        <v>8.8104420053396582E-2</v>
      </c>
      <c r="N100" s="2"/>
      <c r="O100" s="100">
        <v>45011</v>
      </c>
      <c r="P100" s="105">
        <v>207.46</v>
      </c>
      <c r="Q100" s="22">
        <f t="shared" si="10"/>
        <v>8.9543616406701387E-2</v>
      </c>
      <c r="R100" s="2"/>
      <c r="S100" s="100">
        <v>45011</v>
      </c>
      <c r="T100" s="105">
        <v>270.94</v>
      </c>
      <c r="U100" s="22">
        <f t="shared" si="11"/>
        <v>2.0989561743980076E-2</v>
      </c>
      <c r="V100" s="2"/>
      <c r="W100" s="100">
        <v>45011</v>
      </c>
      <c r="X100" s="105">
        <v>12.42</v>
      </c>
      <c r="Y100" s="22">
        <f t="shared" si="12"/>
        <v>9.4273127753303987E-2</v>
      </c>
      <c r="Z100" s="2"/>
      <c r="AA100" s="100">
        <v>45011</v>
      </c>
      <c r="AB100" s="105">
        <v>18.190000000000001</v>
      </c>
      <c r="AC100" s="22">
        <f t="shared" si="13"/>
        <v>5.4492753623188478E-2</v>
      </c>
      <c r="AD100" s="2"/>
      <c r="AE100" s="100">
        <v>45011</v>
      </c>
      <c r="AF100" s="105">
        <v>141.69</v>
      </c>
      <c r="AG100" s="22">
        <f t="shared" si="14"/>
        <v>3.6882546652030675E-2</v>
      </c>
    </row>
    <row r="101" spans="7:33" x14ac:dyDescent="0.25">
      <c r="G101" s="100">
        <v>45004</v>
      </c>
      <c r="H101" s="105">
        <v>3970.99</v>
      </c>
      <c r="I101" s="22">
        <f t="shared" si="8"/>
        <v>1.3876690224273845E-2</v>
      </c>
      <c r="J101" s="2"/>
      <c r="K101" s="100">
        <v>45004</v>
      </c>
      <c r="L101" s="105">
        <v>33.71</v>
      </c>
      <c r="M101" s="22">
        <f t="shared" si="9"/>
        <v>9.886159376872327E-3</v>
      </c>
      <c r="N101" s="2"/>
      <c r="O101" s="100">
        <v>45004</v>
      </c>
      <c r="P101" s="105">
        <v>190.41</v>
      </c>
      <c r="Q101" s="22">
        <f t="shared" si="10"/>
        <v>5.7069893965469388E-2</v>
      </c>
      <c r="R101" s="2"/>
      <c r="S101" s="100">
        <v>45004</v>
      </c>
      <c r="T101" s="105">
        <v>265.37</v>
      </c>
      <c r="U101" s="22">
        <f t="shared" si="11"/>
        <v>2.3804012345679075E-2</v>
      </c>
      <c r="V101" s="2"/>
      <c r="W101" s="100">
        <v>45004</v>
      </c>
      <c r="X101" s="105">
        <v>11.35</v>
      </c>
      <c r="Y101" s="22">
        <f t="shared" si="12"/>
        <v>1.8850987432674961E-2</v>
      </c>
      <c r="Z101" s="2"/>
      <c r="AA101" s="100">
        <v>45004</v>
      </c>
      <c r="AB101" s="105">
        <v>17.25</v>
      </c>
      <c r="AC101" s="22">
        <f t="shared" si="13"/>
        <v>2.7397260273972653E-2</v>
      </c>
      <c r="AD101" s="2"/>
      <c r="AE101" s="100">
        <v>45004</v>
      </c>
      <c r="AF101" s="105">
        <v>136.65</v>
      </c>
      <c r="AG101" s="22">
        <f t="shared" si="14"/>
        <v>2.3748876236140366E-2</v>
      </c>
    </row>
    <row r="102" spans="7:33" x14ac:dyDescent="0.25">
      <c r="G102" s="100">
        <v>44997</v>
      </c>
      <c r="H102" s="105">
        <v>3916.64</v>
      </c>
      <c r="I102" s="22">
        <f t="shared" si="8"/>
        <v>1.4255785829153204E-2</v>
      </c>
      <c r="J102" s="2"/>
      <c r="K102" s="100">
        <v>44997</v>
      </c>
      <c r="L102" s="105">
        <v>33.380000000000003</v>
      </c>
      <c r="M102" s="22">
        <f t="shared" si="9"/>
        <v>-8.5980284775465501E-2</v>
      </c>
      <c r="N102" s="2"/>
      <c r="O102" s="100">
        <v>44997</v>
      </c>
      <c r="P102" s="105">
        <v>180.13</v>
      </c>
      <c r="Q102" s="22">
        <f t="shared" si="10"/>
        <v>3.8572416974169729E-2</v>
      </c>
      <c r="R102" s="2"/>
      <c r="S102" s="100">
        <v>44997</v>
      </c>
      <c r="T102" s="105">
        <v>259.2</v>
      </c>
      <c r="U102" s="22">
        <f t="shared" si="11"/>
        <v>-7.77092983194897E-3</v>
      </c>
      <c r="V102" s="2"/>
      <c r="W102" s="100">
        <v>44997</v>
      </c>
      <c r="X102" s="105">
        <v>11.14</v>
      </c>
      <c r="Y102" s="22">
        <f t="shared" si="12"/>
        <v>-6.6219614417434972E-2</v>
      </c>
      <c r="Z102" s="2"/>
      <c r="AA102" s="100">
        <v>44997</v>
      </c>
      <c r="AB102" s="105">
        <v>16.79</v>
      </c>
      <c r="AC102" s="22">
        <f t="shared" si="13"/>
        <v>-4.6022727272727396E-2</v>
      </c>
      <c r="AD102" s="2"/>
      <c r="AE102" s="100">
        <v>44997</v>
      </c>
      <c r="AF102" s="105">
        <v>133.47999999999999</v>
      </c>
      <c r="AG102" s="22">
        <f t="shared" si="14"/>
        <v>-3.2543306515909323E-2</v>
      </c>
    </row>
    <row r="103" spans="7:33" x14ac:dyDescent="0.25">
      <c r="G103" s="100">
        <v>44990</v>
      </c>
      <c r="H103" s="105">
        <v>3861.59</v>
      </c>
      <c r="I103" s="22">
        <f t="shared" si="8"/>
        <v>-4.5493420076922253E-2</v>
      </c>
      <c r="J103" s="2"/>
      <c r="K103" s="100">
        <v>44990</v>
      </c>
      <c r="L103" s="105">
        <v>36.520000000000003</v>
      </c>
      <c r="M103" s="22">
        <f t="shared" si="9"/>
        <v>-0.10948549134357462</v>
      </c>
      <c r="N103" s="2"/>
      <c r="O103" s="100">
        <v>44990</v>
      </c>
      <c r="P103" s="105">
        <v>173.44</v>
      </c>
      <c r="Q103" s="22">
        <f t="shared" si="10"/>
        <v>-0.12311036958390209</v>
      </c>
      <c r="R103" s="2"/>
      <c r="S103" s="100">
        <v>44990</v>
      </c>
      <c r="T103" s="105">
        <v>261.23</v>
      </c>
      <c r="U103" s="22">
        <f t="shared" si="11"/>
        <v>-3.7649659237428516E-2</v>
      </c>
      <c r="V103" s="2"/>
      <c r="W103" s="100">
        <v>44990</v>
      </c>
      <c r="X103" s="105">
        <v>11.93</v>
      </c>
      <c r="Y103" s="22">
        <f t="shared" si="12"/>
        <v>-7.4476338246702939E-2</v>
      </c>
      <c r="Z103" s="2"/>
      <c r="AA103" s="100">
        <v>44990</v>
      </c>
      <c r="AB103" s="105">
        <v>17.600000000000001</v>
      </c>
      <c r="AC103" s="22">
        <f t="shared" si="13"/>
        <v>-6.5321295804567026E-2</v>
      </c>
      <c r="AD103" s="2"/>
      <c r="AE103" s="100">
        <v>44990</v>
      </c>
      <c r="AF103" s="105">
        <v>137.97</v>
      </c>
      <c r="AG103" s="22">
        <f t="shared" si="14"/>
        <v>-1.3301866552242105E-2</v>
      </c>
    </row>
    <row r="104" spans="7:33" x14ac:dyDescent="0.25">
      <c r="G104" s="100">
        <v>44983</v>
      </c>
      <c r="H104" s="105">
        <v>4045.64</v>
      </c>
      <c r="I104" s="22">
        <f t="shared" si="8"/>
        <v>1.9042629293407599E-2</v>
      </c>
      <c r="J104" s="2"/>
      <c r="K104" s="100">
        <v>44983</v>
      </c>
      <c r="L104" s="105">
        <v>41.01</v>
      </c>
      <c r="M104" s="22">
        <f t="shared" si="9"/>
        <v>4.6707503828483876E-2</v>
      </c>
      <c r="N104" s="2"/>
      <c r="O104" s="100">
        <v>44983</v>
      </c>
      <c r="P104" s="105">
        <v>197.79</v>
      </c>
      <c r="Q104" s="22">
        <f t="shared" si="10"/>
        <v>4.6221048354327336E-3</v>
      </c>
      <c r="R104" s="2"/>
      <c r="S104" s="100">
        <v>44983</v>
      </c>
      <c r="T104" s="105">
        <v>271.45</v>
      </c>
      <c r="U104" s="22">
        <f t="shared" si="11"/>
        <v>4.762456099725975E-2</v>
      </c>
      <c r="V104" s="2"/>
      <c r="W104" s="100">
        <v>44983</v>
      </c>
      <c r="X104" s="105">
        <v>12.89</v>
      </c>
      <c r="Y104" s="22">
        <f t="shared" si="12"/>
        <v>0.10076857386848843</v>
      </c>
      <c r="Z104" s="2"/>
      <c r="AA104" s="100">
        <v>44983</v>
      </c>
      <c r="AB104" s="105">
        <v>18.829999999999998</v>
      </c>
      <c r="AC104" s="22">
        <f t="shared" si="13"/>
        <v>7.1713147410358447E-2</v>
      </c>
      <c r="AD104" s="2"/>
      <c r="AE104" s="100">
        <v>44983</v>
      </c>
      <c r="AF104" s="105">
        <v>139.83000000000001</v>
      </c>
      <c r="AG104" s="22">
        <f t="shared" si="14"/>
        <v>2.7783902976846752E-2</v>
      </c>
    </row>
    <row r="105" spans="7:33" x14ac:dyDescent="0.25">
      <c r="G105" s="100">
        <v>44976</v>
      </c>
      <c r="H105" s="105">
        <v>3970.04</v>
      </c>
      <c r="I105" s="22">
        <f t="shared" si="8"/>
        <v>-2.6733903885425469E-2</v>
      </c>
      <c r="J105" s="2"/>
      <c r="K105" s="100">
        <v>44976</v>
      </c>
      <c r="L105" s="105">
        <v>39.18</v>
      </c>
      <c r="M105" s="22">
        <f t="shared" si="9"/>
        <v>-9.2425295343988925E-2</v>
      </c>
      <c r="N105" s="2"/>
      <c r="O105" s="100">
        <v>44976</v>
      </c>
      <c r="P105" s="105">
        <v>196.88</v>
      </c>
      <c r="Q105" s="22">
        <f t="shared" si="10"/>
        <v>-5.4870145456291139E-2</v>
      </c>
      <c r="R105" s="2"/>
      <c r="S105" s="100">
        <v>44976</v>
      </c>
      <c r="T105" s="105">
        <v>259.11</v>
      </c>
      <c r="U105" s="22">
        <f t="shared" si="11"/>
        <v>-2.9114208633093459E-2</v>
      </c>
      <c r="V105" s="2"/>
      <c r="W105" s="100">
        <v>44976</v>
      </c>
      <c r="X105" s="105">
        <v>11.71</v>
      </c>
      <c r="Y105" s="22">
        <f t="shared" si="12"/>
        <v>-7.8678206136900075E-2</v>
      </c>
      <c r="Z105" s="2"/>
      <c r="AA105" s="100">
        <v>44976</v>
      </c>
      <c r="AB105" s="105">
        <v>17.57</v>
      </c>
      <c r="AC105" s="22">
        <f t="shared" si="13"/>
        <v>1.6194331983805734E-2</v>
      </c>
      <c r="AD105" s="2"/>
      <c r="AE105" s="100">
        <v>44976</v>
      </c>
      <c r="AF105" s="105">
        <v>136.05000000000001</v>
      </c>
      <c r="AG105" s="22">
        <f t="shared" si="14"/>
        <v>-4.7602380119005833E-2</v>
      </c>
    </row>
    <row r="106" spans="7:33" x14ac:dyDescent="0.25">
      <c r="G106" s="100">
        <v>44969</v>
      </c>
      <c r="H106" s="105">
        <v>4079.09</v>
      </c>
      <c r="I106" s="22">
        <f t="shared" si="8"/>
        <v>-2.779638475868213E-3</v>
      </c>
      <c r="J106" s="2"/>
      <c r="K106" s="100">
        <v>44969</v>
      </c>
      <c r="L106" s="105">
        <v>43.17</v>
      </c>
      <c r="M106" s="22">
        <f t="shared" si="9"/>
        <v>4.4014510278113671E-2</v>
      </c>
      <c r="N106" s="2"/>
      <c r="O106" s="100">
        <v>44969</v>
      </c>
      <c r="P106" s="105">
        <v>208.31</v>
      </c>
      <c r="Q106" s="22">
        <f t="shared" si="10"/>
        <v>5.8001930011681732E-2</v>
      </c>
      <c r="R106" s="2"/>
      <c r="S106" s="100">
        <v>44969</v>
      </c>
      <c r="T106" s="105">
        <v>266.88</v>
      </c>
      <c r="U106" s="22">
        <f t="shared" si="11"/>
        <v>2.772643253234746E-2</v>
      </c>
      <c r="V106" s="2"/>
      <c r="W106" s="100">
        <v>44969</v>
      </c>
      <c r="X106" s="105">
        <v>12.71</v>
      </c>
      <c r="Y106" s="22">
        <f t="shared" si="12"/>
        <v>1.2749003984063756E-2</v>
      </c>
      <c r="Z106" s="2"/>
      <c r="AA106" s="100">
        <v>44969</v>
      </c>
      <c r="AB106" s="105">
        <v>17.29</v>
      </c>
      <c r="AC106" s="22">
        <f t="shared" si="13"/>
        <v>5.4268292682926871E-2</v>
      </c>
      <c r="AD106" s="2"/>
      <c r="AE106" s="100">
        <v>44969</v>
      </c>
      <c r="AF106" s="105">
        <v>142.85</v>
      </c>
      <c r="AG106" s="22">
        <f t="shared" si="14"/>
        <v>-3.9743410960813921E-3</v>
      </c>
    </row>
    <row r="107" spans="7:33" x14ac:dyDescent="0.25">
      <c r="G107" s="100">
        <v>44962</v>
      </c>
      <c r="H107" s="105">
        <v>4090.46</v>
      </c>
      <c r="I107" s="22">
        <f t="shared" si="8"/>
        <v>-1.1125401307391678E-2</v>
      </c>
      <c r="J107" s="2"/>
      <c r="K107" s="100">
        <v>44962</v>
      </c>
      <c r="L107" s="105">
        <v>41.35</v>
      </c>
      <c r="M107" s="22">
        <f t="shared" si="9"/>
        <v>5.348893751519544E-3</v>
      </c>
      <c r="N107" s="2"/>
      <c r="O107" s="100">
        <v>44962</v>
      </c>
      <c r="P107" s="105">
        <v>196.89</v>
      </c>
      <c r="Q107" s="22">
        <f t="shared" si="10"/>
        <v>3.6372249710495824E-2</v>
      </c>
      <c r="R107" s="2"/>
      <c r="S107" s="100">
        <v>44962</v>
      </c>
      <c r="T107" s="105">
        <v>259.68</v>
      </c>
      <c r="U107" s="22">
        <f t="shared" si="11"/>
        <v>-1.3844023996308784E-3</v>
      </c>
      <c r="V107" s="2"/>
      <c r="W107" s="100">
        <v>44962</v>
      </c>
      <c r="X107" s="105">
        <v>12.55</v>
      </c>
      <c r="Y107" s="22">
        <f t="shared" si="12"/>
        <v>1.1281224818694646E-2</v>
      </c>
      <c r="Z107" s="2"/>
      <c r="AA107" s="100">
        <v>44962</v>
      </c>
      <c r="AB107" s="105">
        <v>16.399999999999999</v>
      </c>
      <c r="AC107" s="22">
        <f t="shared" si="13"/>
        <v>4.2865890998163066E-3</v>
      </c>
      <c r="AD107" s="2"/>
      <c r="AE107" s="100">
        <v>44962</v>
      </c>
      <c r="AF107" s="105">
        <v>143.41999999999999</v>
      </c>
      <c r="AG107" s="22">
        <f t="shared" si="14"/>
        <v>-8.9143804851082881E-3</v>
      </c>
    </row>
    <row r="108" spans="7:33" x14ac:dyDescent="0.25">
      <c r="G108" s="100">
        <v>44955</v>
      </c>
      <c r="H108" s="105">
        <v>4136.4799999999996</v>
      </c>
      <c r="I108" s="22">
        <f t="shared" si="8"/>
        <v>1.6194331983805575E-2</v>
      </c>
      <c r="J108" s="2"/>
      <c r="K108" s="100">
        <v>44955</v>
      </c>
      <c r="L108" s="105">
        <v>41.13</v>
      </c>
      <c r="M108" s="22">
        <f t="shared" si="9"/>
        <v>8.3794466403162043E-2</v>
      </c>
      <c r="N108" s="2"/>
      <c r="O108" s="100">
        <v>44955</v>
      </c>
      <c r="P108" s="105">
        <v>189.98</v>
      </c>
      <c r="Q108" s="22">
        <f t="shared" si="10"/>
        <v>6.7903316469926839E-2</v>
      </c>
      <c r="R108" s="2"/>
      <c r="S108" s="100">
        <v>44955</v>
      </c>
      <c r="T108" s="105">
        <v>260.04000000000002</v>
      </c>
      <c r="U108" s="22">
        <f t="shared" si="11"/>
        <v>2.4909348888538633E-2</v>
      </c>
      <c r="V108" s="2"/>
      <c r="W108" s="100">
        <v>44955</v>
      </c>
      <c r="X108" s="105">
        <v>12.41</v>
      </c>
      <c r="Y108" s="22">
        <f t="shared" si="12"/>
        <v>-3.2128514056224216E-3</v>
      </c>
      <c r="Z108" s="2"/>
      <c r="AA108" s="100">
        <v>44955</v>
      </c>
      <c r="AB108" s="105">
        <v>16.329999999999998</v>
      </c>
      <c r="AC108" s="22">
        <f t="shared" si="13"/>
        <v>5.0836550836550781E-2</v>
      </c>
      <c r="AD108" s="2"/>
      <c r="AE108" s="100">
        <v>44955</v>
      </c>
      <c r="AF108" s="105">
        <v>144.71</v>
      </c>
      <c r="AG108" s="22">
        <f t="shared" si="14"/>
        <v>-1.6648545800489186E-2</v>
      </c>
    </row>
    <row r="109" spans="7:33" x14ac:dyDescent="0.25">
      <c r="G109" s="100">
        <v>44948</v>
      </c>
      <c r="H109" s="105">
        <v>4070.56</v>
      </c>
      <c r="I109" s="22">
        <f t="shared" si="8"/>
        <v>2.4656334248768397E-2</v>
      </c>
      <c r="J109" s="2"/>
      <c r="K109" s="100">
        <v>44948</v>
      </c>
      <c r="L109" s="105">
        <v>37.950000000000003</v>
      </c>
      <c r="M109" s="22">
        <f t="shared" si="9"/>
        <v>7.3550212164073592E-2</v>
      </c>
      <c r="N109" s="2"/>
      <c r="O109" s="100">
        <v>44948</v>
      </c>
      <c r="P109" s="105">
        <v>177.9</v>
      </c>
      <c r="Q109" s="22">
        <f t="shared" si="10"/>
        <v>0.33338330085444479</v>
      </c>
      <c r="R109" s="2"/>
      <c r="S109" s="100">
        <v>44948</v>
      </c>
      <c r="T109" s="105">
        <v>253.72</v>
      </c>
      <c r="U109" s="22">
        <f t="shared" si="11"/>
        <v>4.6786038452017509E-2</v>
      </c>
      <c r="V109" s="2"/>
      <c r="W109" s="100">
        <v>44948</v>
      </c>
      <c r="X109" s="105">
        <v>12.45</v>
      </c>
      <c r="Y109" s="22">
        <f t="shared" si="12"/>
        <v>7.0507308684436665E-2</v>
      </c>
      <c r="Z109" s="2"/>
      <c r="AA109" s="100">
        <v>44948</v>
      </c>
      <c r="AB109" s="105">
        <v>15.54</v>
      </c>
      <c r="AC109" s="22">
        <f t="shared" si="13"/>
        <v>2.2368421052631572E-2</v>
      </c>
      <c r="AD109" s="2"/>
      <c r="AE109" s="100">
        <v>44948</v>
      </c>
      <c r="AF109" s="105">
        <v>147.16</v>
      </c>
      <c r="AG109" s="22">
        <f t="shared" si="14"/>
        <v>7.1863664362465463E-3</v>
      </c>
    </row>
    <row r="110" spans="7:33" x14ac:dyDescent="0.25">
      <c r="G110" s="100">
        <v>44941</v>
      </c>
      <c r="H110" s="105">
        <v>3972.61</v>
      </c>
      <c r="I110" s="22">
        <f t="shared" si="8"/>
        <v>-6.6215063927043448E-3</v>
      </c>
      <c r="J110" s="2"/>
      <c r="K110" s="100">
        <v>44941</v>
      </c>
      <c r="L110" s="105">
        <v>35.35</v>
      </c>
      <c r="M110" s="22">
        <f t="shared" si="9"/>
        <v>-3.1772117228156579E-2</v>
      </c>
      <c r="N110" s="2"/>
      <c r="O110" s="100">
        <v>44941</v>
      </c>
      <c r="P110" s="105">
        <v>133.41999999999999</v>
      </c>
      <c r="Q110" s="22">
        <f t="shared" si="10"/>
        <v>9.0032679738561938E-2</v>
      </c>
      <c r="R110" s="2"/>
      <c r="S110" s="100">
        <v>44941</v>
      </c>
      <c r="T110" s="105">
        <v>242.38</v>
      </c>
      <c r="U110" s="22">
        <f t="shared" si="11"/>
        <v>2.7382163445235707E-2</v>
      </c>
      <c r="V110" s="2"/>
      <c r="W110" s="100">
        <v>44941</v>
      </c>
      <c r="X110" s="105">
        <v>11.63</v>
      </c>
      <c r="Y110" s="22">
        <f t="shared" si="12"/>
        <v>-2.514668901927904E-2</v>
      </c>
      <c r="Z110" s="2"/>
      <c r="AA110" s="100">
        <v>44941</v>
      </c>
      <c r="AB110" s="105">
        <v>15.2</v>
      </c>
      <c r="AC110" s="22">
        <f t="shared" si="13"/>
        <v>-1.4267185473411196E-2</v>
      </c>
      <c r="AD110" s="2"/>
      <c r="AE110" s="100">
        <v>44941</v>
      </c>
      <c r="AF110" s="105">
        <v>146.11000000000001</v>
      </c>
      <c r="AG110" s="22">
        <f t="shared" si="14"/>
        <v>4.1411261582323604E-2</v>
      </c>
    </row>
    <row r="111" spans="7:33" x14ac:dyDescent="0.25">
      <c r="G111" s="100">
        <v>44934</v>
      </c>
      <c r="H111" s="105">
        <v>3999.09</v>
      </c>
      <c r="I111" s="22">
        <f t="shared" si="8"/>
        <v>2.6702917526726079E-2</v>
      </c>
      <c r="J111" s="2"/>
      <c r="K111" s="100">
        <v>44934</v>
      </c>
      <c r="L111" s="105">
        <v>36.51</v>
      </c>
      <c r="M111" s="22">
        <f t="shared" si="9"/>
        <v>1.6708437761069381E-2</v>
      </c>
      <c r="N111" s="2"/>
      <c r="O111" s="100">
        <v>44934</v>
      </c>
      <c r="P111" s="105">
        <v>122.4</v>
      </c>
      <c r="Q111" s="22">
        <f t="shared" si="10"/>
        <v>8.2611003007252812E-2</v>
      </c>
      <c r="R111" s="2"/>
      <c r="S111" s="100">
        <v>44934</v>
      </c>
      <c r="T111" s="105">
        <v>235.92</v>
      </c>
      <c r="U111" s="22">
        <f t="shared" si="11"/>
        <v>5.2838272045697854E-2</v>
      </c>
      <c r="V111" s="2"/>
      <c r="W111" s="100">
        <v>44934</v>
      </c>
      <c r="X111" s="105">
        <v>11.93</v>
      </c>
      <c r="Y111" s="22">
        <f t="shared" si="12"/>
        <v>1.1016949152542288E-2</v>
      </c>
      <c r="Z111" s="2"/>
      <c r="AA111" s="100">
        <v>44934</v>
      </c>
      <c r="AB111" s="105">
        <v>15.42</v>
      </c>
      <c r="AC111" s="22">
        <f t="shared" si="13"/>
        <v>-1.9417475728154927E-3</v>
      </c>
      <c r="AD111" s="2"/>
      <c r="AE111" s="100">
        <v>44934</v>
      </c>
      <c r="AF111" s="105">
        <v>140.30000000000001</v>
      </c>
      <c r="AG111" s="22">
        <f t="shared" si="14"/>
        <v>9.5704108800461433E-3</v>
      </c>
    </row>
    <row r="112" spans="7:33" x14ac:dyDescent="0.25">
      <c r="G112" s="100">
        <v>44927</v>
      </c>
      <c r="H112" s="105">
        <v>3895.08</v>
      </c>
      <c r="I112" s="22">
        <f t="shared" si="8"/>
        <v>1.4475843208751121E-2</v>
      </c>
      <c r="J112" s="2"/>
      <c r="K112" s="100">
        <v>44927</v>
      </c>
      <c r="L112" s="105">
        <v>35.909999999999997</v>
      </c>
      <c r="M112" s="22">
        <f t="shared" si="9"/>
        <v>6.7479191438763256E-2</v>
      </c>
      <c r="N112" s="2"/>
      <c r="O112" s="100">
        <v>44927</v>
      </c>
      <c r="P112" s="105">
        <v>113.06</v>
      </c>
      <c r="Q112" s="22">
        <f t="shared" si="10"/>
        <v>-8.2156194187368109E-2</v>
      </c>
      <c r="R112" s="2"/>
      <c r="S112" s="100">
        <v>44927</v>
      </c>
      <c r="T112" s="105">
        <v>224.08</v>
      </c>
      <c r="U112" s="22">
        <f t="shared" si="11"/>
        <v>4.6027448417514771E-2</v>
      </c>
      <c r="V112" s="2"/>
      <c r="W112" s="100">
        <v>44927</v>
      </c>
      <c r="X112" s="105">
        <v>11.8</v>
      </c>
      <c r="Y112" s="22">
        <f t="shared" si="12"/>
        <v>8.1576535288725993E-2</v>
      </c>
      <c r="Z112" s="2"/>
      <c r="AA112" s="100">
        <v>44927</v>
      </c>
      <c r="AB112" s="105">
        <v>15.45</v>
      </c>
      <c r="AC112" s="22">
        <f t="shared" si="13"/>
        <v>8.8028169014084515E-2</v>
      </c>
      <c r="AD112" s="2"/>
      <c r="AE112" s="100">
        <v>44927</v>
      </c>
      <c r="AF112" s="105">
        <v>138.97</v>
      </c>
      <c r="AG112" s="22">
        <f t="shared" si="14"/>
        <v>1.7498901742568358E-2</v>
      </c>
    </row>
    <row r="113" spans="7:33" x14ac:dyDescent="0.25">
      <c r="G113" s="100">
        <v>44920</v>
      </c>
      <c r="H113" s="105">
        <v>3839.5</v>
      </c>
      <c r="I113" s="22">
        <f t="shared" si="8"/>
        <v>-1.3836798601755513E-3</v>
      </c>
      <c r="J113" s="2"/>
      <c r="K113" s="100">
        <v>44920</v>
      </c>
      <c r="L113" s="105">
        <v>33.64</v>
      </c>
      <c r="M113" s="22">
        <f t="shared" si="9"/>
        <v>-5.6163168785101315E-3</v>
      </c>
      <c r="N113" s="2"/>
      <c r="O113" s="100">
        <v>44920</v>
      </c>
      <c r="P113" s="105">
        <v>123.18</v>
      </c>
      <c r="Q113" s="22">
        <f t="shared" si="10"/>
        <v>2.4360535931791422E-4</v>
      </c>
      <c r="R113" s="2"/>
      <c r="S113" s="100">
        <v>44920</v>
      </c>
      <c r="T113" s="105">
        <v>214.22</v>
      </c>
      <c r="U113" s="22">
        <f t="shared" si="11"/>
        <v>1.5212549168285901E-2</v>
      </c>
      <c r="V113" s="2"/>
      <c r="W113" s="100">
        <v>44920</v>
      </c>
      <c r="X113" s="105">
        <v>10.91</v>
      </c>
      <c r="Y113" s="22">
        <f t="shared" si="12"/>
        <v>2.3452157598499061E-2</v>
      </c>
      <c r="Z113" s="2"/>
      <c r="AA113" s="100">
        <v>44920</v>
      </c>
      <c r="AB113" s="105">
        <v>14.2</v>
      </c>
      <c r="AC113" s="22">
        <f t="shared" si="13"/>
        <v>1.0676156583629791E-2</v>
      </c>
      <c r="AD113" s="2"/>
      <c r="AE113" s="100">
        <v>44920</v>
      </c>
      <c r="AF113" s="105">
        <v>136.58000000000001</v>
      </c>
      <c r="AG113" s="22">
        <f t="shared" si="14"/>
        <v>-4.0834184045499041E-3</v>
      </c>
    </row>
    <row r="114" spans="7:33" x14ac:dyDescent="0.25">
      <c r="G114" s="100">
        <v>44913</v>
      </c>
      <c r="H114" s="105">
        <v>3844.82</v>
      </c>
      <c r="I114" s="22">
        <f t="shared" si="8"/>
        <v>-1.957241794640159E-3</v>
      </c>
      <c r="J114" s="2"/>
      <c r="K114" s="100">
        <v>44913</v>
      </c>
      <c r="L114" s="105">
        <v>33.83</v>
      </c>
      <c r="M114" s="22">
        <f t="shared" si="9"/>
        <v>-6.4177040110650077E-2</v>
      </c>
      <c r="N114" s="2"/>
      <c r="O114" s="100">
        <v>44913</v>
      </c>
      <c r="P114" s="105">
        <v>123.15</v>
      </c>
      <c r="Q114" s="22">
        <f t="shared" si="10"/>
        <v>-0.18025693935964845</v>
      </c>
      <c r="R114" s="2"/>
      <c r="S114" s="100">
        <v>44913</v>
      </c>
      <c r="T114" s="105">
        <v>211.01</v>
      </c>
      <c r="U114" s="22">
        <f t="shared" si="11"/>
        <v>-3.2552381825684387E-2</v>
      </c>
      <c r="V114" s="2"/>
      <c r="W114" s="100">
        <v>44913</v>
      </c>
      <c r="X114" s="105">
        <v>10.66</v>
      </c>
      <c r="Y114" s="22">
        <f t="shared" si="12"/>
        <v>-6.2445030782761576E-2</v>
      </c>
      <c r="Z114" s="2"/>
      <c r="AA114" s="100">
        <v>44913</v>
      </c>
      <c r="AB114" s="105">
        <v>14.05</v>
      </c>
      <c r="AC114" s="22">
        <f t="shared" si="13"/>
        <v>-6.3649222065063548E-3</v>
      </c>
      <c r="AD114" s="2"/>
      <c r="AE114" s="100">
        <v>44913</v>
      </c>
      <c r="AF114" s="105">
        <v>137.13999999999999</v>
      </c>
      <c r="AG114" s="22">
        <f t="shared" si="14"/>
        <v>-2.3428042441073989E-2</v>
      </c>
    </row>
    <row r="115" spans="7:33" x14ac:dyDescent="0.25">
      <c r="G115" s="100">
        <v>44906</v>
      </c>
      <c r="H115" s="105">
        <v>3852.36</v>
      </c>
      <c r="I115" s="22">
        <f t="shared" si="8"/>
        <v>-2.0846994952190685E-2</v>
      </c>
      <c r="J115" s="2"/>
      <c r="K115" s="100">
        <v>44906</v>
      </c>
      <c r="L115" s="105">
        <v>36.15</v>
      </c>
      <c r="M115" s="22">
        <f t="shared" si="9"/>
        <v>-5.5642633228840194E-2</v>
      </c>
      <c r="N115" s="2"/>
      <c r="O115" s="100">
        <v>44906</v>
      </c>
      <c r="P115" s="105">
        <v>150.22999999999999</v>
      </c>
      <c r="Q115" s="22">
        <f t="shared" si="10"/>
        <v>-0.16096062552359688</v>
      </c>
      <c r="R115" s="2"/>
      <c r="S115" s="100">
        <v>44906</v>
      </c>
      <c r="T115" s="105">
        <v>218.11</v>
      </c>
      <c r="U115" s="22">
        <f t="shared" si="11"/>
        <v>-1.1824936571221391E-2</v>
      </c>
      <c r="V115" s="2"/>
      <c r="W115" s="100">
        <v>44906</v>
      </c>
      <c r="X115" s="105">
        <v>11.37</v>
      </c>
      <c r="Y115" s="22">
        <f t="shared" si="12"/>
        <v>-8.084074373484236E-2</v>
      </c>
      <c r="Z115" s="2"/>
      <c r="AA115" s="100">
        <v>44906</v>
      </c>
      <c r="AB115" s="105">
        <v>14.14</v>
      </c>
      <c r="AC115" s="22">
        <f t="shared" si="13"/>
        <v>-2.0775623268697987E-2</v>
      </c>
      <c r="AD115" s="2"/>
      <c r="AE115" s="100">
        <v>44906</v>
      </c>
      <c r="AF115" s="105">
        <v>140.43</v>
      </c>
      <c r="AG115" s="22">
        <f t="shared" si="14"/>
        <v>-2.0301381331100855E-2</v>
      </c>
    </row>
    <row r="116" spans="7:33" x14ac:dyDescent="0.25">
      <c r="G116" s="100">
        <v>44899</v>
      </c>
      <c r="H116" s="105">
        <v>3934.38</v>
      </c>
      <c r="I116" s="22">
        <f t="shared" si="8"/>
        <v>-3.3725470933516646E-2</v>
      </c>
      <c r="J116" s="2"/>
      <c r="K116" s="100">
        <v>44899</v>
      </c>
      <c r="L116" s="105">
        <v>38.28</v>
      </c>
      <c r="M116" s="22">
        <f t="shared" si="9"/>
        <v>-4.060150375939843E-2</v>
      </c>
      <c r="N116" s="2"/>
      <c r="O116" s="100">
        <v>44899</v>
      </c>
      <c r="P116" s="105">
        <v>179.05</v>
      </c>
      <c r="Q116" s="22">
        <f t="shared" si="10"/>
        <v>-8.1135173971056143E-2</v>
      </c>
      <c r="R116" s="2"/>
      <c r="S116" s="100">
        <v>44899</v>
      </c>
      <c r="T116" s="105">
        <v>220.72</v>
      </c>
      <c r="U116" s="22">
        <f t="shared" si="11"/>
        <v>-2.5862829905552182E-2</v>
      </c>
      <c r="V116" s="2"/>
      <c r="W116" s="100">
        <v>44899</v>
      </c>
      <c r="X116" s="105">
        <v>12.37</v>
      </c>
      <c r="Y116" s="22">
        <f t="shared" si="12"/>
        <v>-4.8461538461538521E-2</v>
      </c>
      <c r="Z116" s="2"/>
      <c r="AA116" s="100">
        <v>44899</v>
      </c>
      <c r="AB116" s="105">
        <v>14.44</v>
      </c>
      <c r="AC116" s="22">
        <f t="shared" si="13"/>
        <v>-6.0507482108002587E-2</v>
      </c>
      <c r="AD116" s="2"/>
      <c r="AE116" s="100">
        <v>44899</v>
      </c>
      <c r="AF116" s="105">
        <v>143.34</v>
      </c>
      <c r="AG116" s="22">
        <f t="shared" si="14"/>
        <v>-2.1770285948269963E-2</v>
      </c>
    </row>
    <row r="117" spans="7:33" x14ac:dyDescent="0.25">
      <c r="G117" s="100">
        <v>44892</v>
      </c>
      <c r="H117" s="105">
        <v>4071.7</v>
      </c>
      <c r="I117" s="22">
        <f t="shared" si="8"/>
        <v>1.1321073390758329E-2</v>
      </c>
      <c r="J117" s="2"/>
      <c r="K117" s="100">
        <v>44892</v>
      </c>
      <c r="L117" s="105">
        <v>39.9</v>
      </c>
      <c r="M117" s="22">
        <f t="shared" si="9"/>
        <v>-1.3840830449827046E-2</v>
      </c>
      <c r="N117" s="2"/>
      <c r="O117" s="100">
        <v>44892</v>
      </c>
      <c r="P117" s="105">
        <v>194.86</v>
      </c>
      <c r="Q117" s="22">
        <f t="shared" si="10"/>
        <v>6.5623974625396472E-2</v>
      </c>
      <c r="R117" s="2"/>
      <c r="S117" s="100">
        <v>44892</v>
      </c>
      <c r="T117" s="105">
        <v>226.58</v>
      </c>
      <c r="U117" s="22">
        <f t="shared" si="11"/>
        <v>3.8690749060236666E-2</v>
      </c>
      <c r="V117" s="2"/>
      <c r="W117" s="100">
        <v>44892</v>
      </c>
      <c r="X117" s="105">
        <v>13</v>
      </c>
      <c r="Y117" s="22">
        <f t="shared" si="12"/>
        <v>-1.5897047691143137E-2</v>
      </c>
      <c r="Z117" s="2"/>
      <c r="AA117" s="100">
        <v>44892</v>
      </c>
      <c r="AB117" s="105">
        <v>15.37</v>
      </c>
      <c r="AC117" s="22">
        <f t="shared" si="13"/>
        <v>1.0519395134779641E-2</v>
      </c>
      <c r="AD117" s="2"/>
      <c r="AE117" s="100">
        <v>44892</v>
      </c>
      <c r="AF117" s="105">
        <v>146.53</v>
      </c>
      <c r="AG117" s="22">
        <f t="shared" si="14"/>
        <v>-1.173534767653611E-2</v>
      </c>
    </row>
    <row r="118" spans="7:33" x14ac:dyDescent="0.25">
      <c r="G118" s="100">
        <v>44885</v>
      </c>
      <c r="H118" s="105">
        <v>4026.12</v>
      </c>
      <c r="I118" s="22">
        <f t="shared" si="8"/>
        <v>1.5327815521493678E-2</v>
      </c>
      <c r="J118" s="2"/>
      <c r="K118" s="100">
        <v>44885</v>
      </c>
      <c r="L118" s="105">
        <v>40.46</v>
      </c>
      <c r="M118" s="22">
        <f t="shared" si="9"/>
        <v>1.7349761126477185E-2</v>
      </c>
      <c r="N118" s="2"/>
      <c r="O118" s="100">
        <v>44885</v>
      </c>
      <c r="P118" s="105">
        <v>182.86</v>
      </c>
      <c r="Q118" s="22">
        <f t="shared" si="10"/>
        <v>1.481769243576234E-2</v>
      </c>
      <c r="R118" s="2"/>
      <c r="S118" s="100">
        <v>44885</v>
      </c>
      <c r="T118" s="105">
        <v>218.14</v>
      </c>
      <c r="U118" s="22">
        <f t="shared" si="11"/>
        <v>8.3668469467941282E-3</v>
      </c>
      <c r="V118" s="2"/>
      <c r="W118" s="100">
        <v>44885</v>
      </c>
      <c r="X118" s="105">
        <v>13.21</v>
      </c>
      <c r="Y118" s="22">
        <f t="shared" si="12"/>
        <v>6.0929169840060983E-3</v>
      </c>
      <c r="Z118" s="2"/>
      <c r="AA118" s="100">
        <v>44885</v>
      </c>
      <c r="AB118" s="105">
        <v>15.21</v>
      </c>
      <c r="AC118" s="22">
        <f t="shared" si="13"/>
        <v>1.8754186202277371E-2</v>
      </c>
      <c r="AD118" s="2"/>
      <c r="AE118" s="100">
        <v>44885</v>
      </c>
      <c r="AF118" s="105">
        <v>148.27000000000001</v>
      </c>
      <c r="AG118" s="22">
        <f t="shared" si="14"/>
        <v>3.5477337802919284E-2</v>
      </c>
    </row>
    <row r="119" spans="7:33" x14ac:dyDescent="0.25">
      <c r="G119" s="100">
        <v>44878</v>
      </c>
      <c r="H119" s="105">
        <v>3965.34</v>
      </c>
      <c r="I119" s="22">
        <f t="shared" si="8"/>
        <v>-6.9097129175817486E-3</v>
      </c>
      <c r="J119" s="2"/>
      <c r="K119" s="100">
        <v>44878</v>
      </c>
      <c r="L119" s="105">
        <v>39.770000000000003</v>
      </c>
      <c r="M119" s="22">
        <f t="shared" si="9"/>
        <v>-3.2830739299610757E-2</v>
      </c>
      <c r="N119" s="2"/>
      <c r="O119" s="100">
        <v>44878</v>
      </c>
      <c r="P119" s="105">
        <v>180.19</v>
      </c>
      <c r="Q119" s="22">
        <f t="shared" si="10"/>
        <v>-8.052252895851407E-2</v>
      </c>
      <c r="R119" s="2"/>
      <c r="S119" s="100">
        <v>44878</v>
      </c>
      <c r="T119" s="105">
        <v>216.33</v>
      </c>
      <c r="U119" s="22">
        <f t="shared" si="11"/>
        <v>-2.4439730701835338E-3</v>
      </c>
      <c r="V119" s="2"/>
      <c r="W119" s="100">
        <v>44878</v>
      </c>
      <c r="X119" s="105">
        <v>13.13</v>
      </c>
      <c r="Y119" s="22">
        <f t="shared" si="12"/>
        <v>-3.4558823529411684E-2</v>
      </c>
      <c r="Z119" s="2"/>
      <c r="AA119" s="100">
        <v>44878</v>
      </c>
      <c r="AB119" s="105">
        <v>14.93</v>
      </c>
      <c r="AC119" s="22">
        <f t="shared" si="13"/>
        <v>4.0349697377270004E-3</v>
      </c>
      <c r="AD119" s="2"/>
      <c r="AE119" s="100">
        <v>44878</v>
      </c>
      <c r="AF119" s="105">
        <v>143.19</v>
      </c>
      <c r="AG119" s="22">
        <f t="shared" si="14"/>
        <v>-4.8862208571822687E-4</v>
      </c>
    </row>
    <row r="120" spans="7:33" x14ac:dyDescent="0.25">
      <c r="G120" s="100">
        <v>44871</v>
      </c>
      <c r="H120" s="105">
        <v>3992.93</v>
      </c>
      <c r="I120" s="22">
        <f t="shared" si="8"/>
        <v>5.8978133163596728E-2</v>
      </c>
      <c r="J120" s="2"/>
      <c r="K120" s="100">
        <v>44871</v>
      </c>
      <c r="L120" s="105">
        <v>41.12</v>
      </c>
      <c r="M120" s="22">
        <f t="shared" si="9"/>
        <v>5.4358974358974292E-2</v>
      </c>
      <c r="N120" s="2"/>
      <c r="O120" s="100">
        <v>44871</v>
      </c>
      <c r="P120" s="105">
        <v>195.97</v>
      </c>
      <c r="Q120" s="22">
        <f t="shared" si="10"/>
        <v>-5.5429700679616327E-2</v>
      </c>
      <c r="R120" s="2"/>
      <c r="S120" s="100">
        <v>44871</v>
      </c>
      <c r="T120" s="105">
        <v>216.86</v>
      </c>
      <c r="U120" s="22">
        <f t="shared" si="11"/>
        <v>8.8654618473895719E-2</v>
      </c>
      <c r="V120" s="2"/>
      <c r="W120" s="100">
        <v>44871</v>
      </c>
      <c r="X120" s="105">
        <v>13.6</v>
      </c>
      <c r="Y120" s="22">
        <f t="shared" si="12"/>
        <v>7.3401736385161773E-2</v>
      </c>
      <c r="Z120" s="2"/>
      <c r="AA120" s="100">
        <v>44871</v>
      </c>
      <c r="AB120" s="105">
        <v>14.87</v>
      </c>
      <c r="AC120" s="22">
        <f t="shared" si="13"/>
        <v>9.8227474150664712E-2</v>
      </c>
      <c r="AD120" s="2"/>
      <c r="AE120" s="100">
        <v>44871</v>
      </c>
      <c r="AF120" s="105">
        <v>143.26</v>
      </c>
      <c r="AG120" s="22">
        <f t="shared" si="14"/>
        <v>4.302875864579539E-2</v>
      </c>
    </row>
    <row r="121" spans="7:33" x14ac:dyDescent="0.25">
      <c r="G121" s="100">
        <v>44864</v>
      </c>
      <c r="H121" s="105">
        <v>3770.55</v>
      </c>
      <c r="I121" s="22">
        <f t="shared" si="8"/>
        <v>-3.345500966403997E-2</v>
      </c>
      <c r="J121" s="2"/>
      <c r="K121" s="100">
        <v>44864</v>
      </c>
      <c r="L121" s="105">
        <v>39</v>
      </c>
      <c r="M121" s="22">
        <f t="shared" si="9"/>
        <v>3.8610038610038242E-3</v>
      </c>
      <c r="N121" s="2"/>
      <c r="O121" s="100">
        <v>44864</v>
      </c>
      <c r="P121" s="105">
        <v>207.47</v>
      </c>
      <c r="Q121" s="22">
        <f t="shared" si="10"/>
        <v>-9.2114475757045386E-2</v>
      </c>
      <c r="R121" s="2"/>
      <c r="S121" s="100">
        <v>44864</v>
      </c>
      <c r="T121" s="105">
        <v>199.2</v>
      </c>
      <c r="U121" s="22">
        <f t="shared" si="11"/>
        <v>2.7686886483764559E-3</v>
      </c>
      <c r="V121" s="2"/>
      <c r="W121" s="100">
        <v>44864</v>
      </c>
      <c r="X121" s="105">
        <v>12.67</v>
      </c>
      <c r="Y121" s="22">
        <f t="shared" si="12"/>
        <v>1.8488745980707429E-2</v>
      </c>
      <c r="Z121" s="2"/>
      <c r="AA121" s="100">
        <v>44864</v>
      </c>
      <c r="AB121" s="105">
        <v>13.54</v>
      </c>
      <c r="AC121" s="22">
        <f t="shared" si="13"/>
        <v>-2.2107590272661118E-3</v>
      </c>
      <c r="AD121" s="2"/>
      <c r="AE121" s="100">
        <v>44864</v>
      </c>
      <c r="AF121" s="105">
        <v>137.35</v>
      </c>
      <c r="AG121" s="22">
        <f t="shared" si="14"/>
        <v>-1.5553325688073508E-2</v>
      </c>
    </row>
    <row r="122" spans="7:33" x14ac:dyDescent="0.25">
      <c r="G122" s="100">
        <v>44857</v>
      </c>
      <c r="H122" s="105">
        <v>3901.06</v>
      </c>
      <c r="I122" s="22">
        <f t="shared" si="8"/>
        <v>3.9520351742055808E-2</v>
      </c>
      <c r="J122" s="2"/>
      <c r="K122" s="100">
        <v>44857</v>
      </c>
      <c r="L122" s="105">
        <v>38.85</v>
      </c>
      <c r="M122" s="22">
        <f t="shared" si="9"/>
        <v>0.11000000000000004</v>
      </c>
      <c r="N122" s="2"/>
      <c r="O122" s="100">
        <v>44857</v>
      </c>
      <c r="P122" s="105">
        <v>228.52</v>
      </c>
      <c r="Q122" s="22">
        <f t="shared" si="10"/>
        <v>6.565939190449549E-2</v>
      </c>
      <c r="R122" s="2"/>
      <c r="S122" s="100">
        <v>44857</v>
      </c>
      <c r="T122" s="105">
        <v>198.65</v>
      </c>
      <c r="U122" s="22">
        <f t="shared" si="11"/>
        <v>5.4573445877793711E-2</v>
      </c>
      <c r="V122" s="2"/>
      <c r="W122" s="100">
        <v>44857</v>
      </c>
      <c r="X122" s="105">
        <v>12.44</v>
      </c>
      <c r="Y122" s="22">
        <f t="shared" si="12"/>
        <v>8.7412587412587422E-2</v>
      </c>
      <c r="Z122" s="2"/>
      <c r="AA122" s="100">
        <v>44857</v>
      </c>
      <c r="AB122" s="105">
        <v>13.57</v>
      </c>
      <c r="AC122" s="22">
        <f t="shared" si="13"/>
        <v>4.0644171779141196E-2</v>
      </c>
      <c r="AD122" s="2"/>
      <c r="AE122" s="100">
        <v>44857</v>
      </c>
      <c r="AF122" s="105">
        <v>139.52000000000001</v>
      </c>
      <c r="AG122" s="22">
        <f t="shared" si="14"/>
        <v>4.3062200956937947E-2</v>
      </c>
    </row>
    <row r="123" spans="7:33" x14ac:dyDescent="0.25">
      <c r="G123" s="100">
        <v>44850</v>
      </c>
      <c r="H123" s="105">
        <v>3752.75</v>
      </c>
      <c r="I123" s="22">
        <f t="shared" si="8"/>
        <v>4.7356038257695167E-2</v>
      </c>
      <c r="J123" s="2"/>
      <c r="K123" s="100">
        <v>44850</v>
      </c>
      <c r="L123" s="105">
        <v>35</v>
      </c>
      <c r="M123" s="22">
        <f t="shared" si="9"/>
        <v>6.4153238066281523E-2</v>
      </c>
      <c r="N123" s="2"/>
      <c r="O123" s="100">
        <v>44850</v>
      </c>
      <c r="P123" s="105">
        <v>214.44</v>
      </c>
      <c r="Q123" s="22">
        <f t="shared" si="10"/>
        <v>4.6099809746816864E-2</v>
      </c>
      <c r="R123" s="2"/>
      <c r="S123" s="100">
        <v>44850</v>
      </c>
      <c r="T123" s="105">
        <v>188.37</v>
      </c>
      <c r="U123" s="22">
        <f t="shared" si="11"/>
        <v>4.2850024912805235E-2</v>
      </c>
      <c r="V123" s="2"/>
      <c r="W123" s="100">
        <v>44850</v>
      </c>
      <c r="X123" s="105">
        <v>11.44</v>
      </c>
      <c r="Y123" s="22">
        <f t="shared" si="12"/>
        <v>4.4748858447488604E-2</v>
      </c>
      <c r="Z123" s="2"/>
      <c r="AA123" s="100">
        <v>44850</v>
      </c>
      <c r="AB123" s="105">
        <v>13.04</v>
      </c>
      <c r="AC123" s="22">
        <f t="shared" si="13"/>
        <v>7.7685950413223098E-2</v>
      </c>
      <c r="AD123" s="2"/>
      <c r="AE123" s="100">
        <v>44850</v>
      </c>
      <c r="AF123" s="105">
        <v>133.76</v>
      </c>
      <c r="AG123" s="22">
        <f t="shared" si="14"/>
        <v>-2.6097979270749585E-3</v>
      </c>
    </row>
    <row r="124" spans="7:33" x14ac:dyDescent="0.25">
      <c r="G124" s="100">
        <v>44843</v>
      </c>
      <c r="H124" s="105">
        <v>3583.07</v>
      </c>
      <c r="I124" s="22">
        <f t="shared" si="8"/>
        <v>-1.5548155596951279E-2</v>
      </c>
      <c r="J124" s="2"/>
      <c r="K124" s="100">
        <v>44843</v>
      </c>
      <c r="L124" s="105">
        <v>32.89</v>
      </c>
      <c r="M124" s="22">
        <f t="shared" si="9"/>
        <v>-2.1713265913146845E-2</v>
      </c>
      <c r="N124" s="2"/>
      <c r="O124" s="100">
        <v>44843</v>
      </c>
      <c r="P124" s="105">
        <v>204.99</v>
      </c>
      <c r="Q124" s="22">
        <f t="shared" si="10"/>
        <v>-8.1050791231451938E-2</v>
      </c>
      <c r="R124" s="2"/>
      <c r="S124" s="100">
        <v>44843</v>
      </c>
      <c r="T124" s="105">
        <v>180.63</v>
      </c>
      <c r="U124" s="22">
        <f t="shared" si="11"/>
        <v>-2.3621621621621645E-2</v>
      </c>
      <c r="V124" s="2"/>
      <c r="W124" s="100">
        <v>44843</v>
      </c>
      <c r="X124" s="105">
        <v>10.95</v>
      </c>
      <c r="Y124" s="22">
        <f t="shared" si="12"/>
        <v>-4.3668122270742363E-2</v>
      </c>
      <c r="Z124" s="2"/>
      <c r="AA124" s="100">
        <v>44843</v>
      </c>
      <c r="AB124" s="105">
        <v>12.1</v>
      </c>
      <c r="AC124" s="22">
        <f t="shared" si="13"/>
        <v>1.4249790444258167E-2</v>
      </c>
      <c r="AD124" s="2"/>
      <c r="AE124" s="100">
        <v>44843</v>
      </c>
      <c r="AF124" s="105">
        <v>134.11000000000001</v>
      </c>
      <c r="AG124" s="22">
        <f t="shared" si="14"/>
        <v>-1.2808244387191614E-2</v>
      </c>
    </row>
    <row r="125" spans="7:33" x14ac:dyDescent="0.25">
      <c r="G125" s="100">
        <v>44836</v>
      </c>
      <c r="H125" s="105">
        <v>3639.66</v>
      </c>
      <c r="I125" s="22">
        <f t="shared" si="8"/>
        <v>1.5071312632124979E-2</v>
      </c>
      <c r="J125" s="2"/>
      <c r="K125" s="100">
        <v>44836</v>
      </c>
      <c r="L125" s="105">
        <v>33.619999999999997</v>
      </c>
      <c r="M125" s="22">
        <f t="shared" si="9"/>
        <v>4.7678404487379054E-2</v>
      </c>
      <c r="N125" s="2"/>
      <c r="O125" s="100">
        <v>44836</v>
      </c>
      <c r="P125" s="105">
        <v>223.07</v>
      </c>
      <c r="Q125" s="22">
        <f t="shared" si="10"/>
        <v>-0.1590197926484449</v>
      </c>
      <c r="R125" s="2"/>
      <c r="S125" s="100">
        <v>44836</v>
      </c>
      <c r="T125" s="105">
        <v>185</v>
      </c>
      <c r="U125" s="22">
        <f t="shared" si="11"/>
        <v>0</v>
      </c>
      <c r="V125" s="2"/>
      <c r="W125" s="100">
        <v>44836</v>
      </c>
      <c r="X125" s="105">
        <v>11.45</v>
      </c>
      <c r="Y125" s="22">
        <f t="shared" si="12"/>
        <v>8.9438629876308226E-2</v>
      </c>
      <c r="Z125" s="2"/>
      <c r="AA125" s="100">
        <v>44836</v>
      </c>
      <c r="AB125" s="105">
        <v>11.93</v>
      </c>
      <c r="AC125" s="22">
        <f t="shared" si="13"/>
        <v>7.6013513513513396E-3</v>
      </c>
      <c r="AD125" s="2"/>
      <c r="AE125" s="100">
        <v>44836</v>
      </c>
      <c r="AF125" s="105">
        <v>135.85</v>
      </c>
      <c r="AG125" s="22">
        <f t="shared" si="14"/>
        <v>4.2674034845345023E-2</v>
      </c>
    </row>
    <row r="126" spans="7:33" x14ac:dyDescent="0.25">
      <c r="G126" s="100">
        <v>44829</v>
      </c>
      <c r="H126" s="105">
        <v>3585.62</v>
      </c>
      <c r="I126" s="22">
        <f t="shared" si="8"/>
        <v>-2.9137096796029525E-2</v>
      </c>
      <c r="J126" s="2"/>
      <c r="K126" s="100">
        <v>44829</v>
      </c>
      <c r="L126" s="105">
        <v>32.090000000000003</v>
      </c>
      <c r="M126" s="22">
        <f t="shared" si="9"/>
        <v>-9.5546786922209526E-2</v>
      </c>
      <c r="N126" s="2"/>
      <c r="O126" s="100">
        <v>44829</v>
      </c>
      <c r="P126" s="105">
        <v>265.25</v>
      </c>
      <c r="Q126" s="22">
        <f t="shared" si="10"/>
        <v>-3.6610612719282259E-2</v>
      </c>
      <c r="R126" s="2"/>
      <c r="S126" s="100">
        <v>44829</v>
      </c>
      <c r="T126" s="105">
        <v>185</v>
      </c>
      <c r="U126" s="22">
        <f t="shared" si="11"/>
        <v>-6.7114093959731542E-3</v>
      </c>
      <c r="V126" s="2"/>
      <c r="W126" s="100">
        <v>44829</v>
      </c>
      <c r="X126" s="105">
        <v>10.51</v>
      </c>
      <c r="Y126" s="22">
        <f t="shared" si="12"/>
        <v>-9.004329004329012E-2</v>
      </c>
      <c r="Z126" s="2"/>
      <c r="AA126" s="100">
        <v>44829</v>
      </c>
      <c r="AB126" s="105">
        <v>11.84</v>
      </c>
      <c r="AC126" s="22">
        <f t="shared" si="13"/>
        <v>-2.6315789473684233E-2</v>
      </c>
      <c r="AD126" s="2"/>
      <c r="AE126" s="100">
        <v>44829</v>
      </c>
      <c r="AF126" s="105">
        <v>130.29</v>
      </c>
      <c r="AG126" s="22">
        <f t="shared" si="14"/>
        <v>-5.091783216783223E-2</v>
      </c>
    </row>
    <row r="127" spans="7:33" x14ac:dyDescent="0.25">
      <c r="G127" s="100">
        <v>44822</v>
      </c>
      <c r="H127" s="105">
        <v>3693.23</v>
      </c>
      <c r="I127" s="22">
        <f t="shared" si="8"/>
        <v>-4.6497458259430496E-2</v>
      </c>
      <c r="J127" s="2"/>
      <c r="K127" s="100">
        <v>44822</v>
      </c>
      <c r="L127" s="105">
        <v>35.479999999999997</v>
      </c>
      <c r="M127" s="22">
        <f t="shared" si="9"/>
        <v>-0.11233425068801607</v>
      </c>
      <c r="N127" s="2"/>
      <c r="O127" s="100">
        <v>44822</v>
      </c>
      <c r="P127" s="105">
        <v>275.33</v>
      </c>
      <c r="Q127" s="22">
        <f t="shared" si="10"/>
        <v>-9.23685511785068E-2</v>
      </c>
      <c r="R127" s="2"/>
      <c r="S127" s="100">
        <v>44822</v>
      </c>
      <c r="T127" s="105">
        <v>186.25</v>
      </c>
      <c r="U127" s="22">
        <f t="shared" si="11"/>
        <v>-5.4088369730827861E-2</v>
      </c>
      <c r="V127" s="2"/>
      <c r="W127" s="100">
        <v>44822</v>
      </c>
      <c r="X127" s="105">
        <v>11.55</v>
      </c>
      <c r="Y127" s="22">
        <f t="shared" si="12"/>
        <v>-0.16364952932657492</v>
      </c>
      <c r="Z127" s="2"/>
      <c r="AA127" s="100">
        <v>44822</v>
      </c>
      <c r="AB127" s="105">
        <v>12.16</v>
      </c>
      <c r="AC127" s="22">
        <f t="shared" si="13"/>
        <v>-9.7253155159613983E-2</v>
      </c>
      <c r="AD127" s="2"/>
      <c r="AE127" s="100">
        <v>44822</v>
      </c>
      <c r="AF127" s="105">
        <v>137.28</v>
      </c>
      <c r="AG127" s="22">
        <f t="shared" si="14"/>
        <v>-2.4584339917578569E-2</v>
      </c>
    </row>
    <row r="128" spans="7:33" x14ac:dyDescent="0.25">
      <c r="G128" s="100">
        <v>44815</v>
      </c>
      <c r="H128" s="105">
        <v>3873.33</v>
      </c>
      <c r="I128" s="22">
        <f t="shared" si="8"/>
        <v>-4.770416191337875E-2</v>
      </c>
      <c r="J128" s="2"/>
      <c r="K128" s="100">
        <v>44815</v>
      </c>
      <c r="L128" s="105">
        <v>39.97</v>
      </c>
      <c r="M128" s="22">
        <f t="shared" si="9"/>
        <v>-3.1968999757810618E-2</v>
      </c>
      <c r="N128" s="2"/>
      <c r="O128" s="100">
        <v>44815</v>
      </c>
      <c r="P128" s="105">
        <v>303.35000000000002</v>
      </c>
      <c r="Q128" s="22">
        <f t="shared" si="10"/>
        <v>1.2246396155899678E-2</v>
      </c>
      <c r="R128" s="2"/>
      <c r="S128" s="100">
        <v>44815</v>
      </c>
      <c r="T128" s="105">
        <v>196.9</v>
      </c>
      <c r="U128" s="22">
        <f t="shared" si="11"/>
        <v>5.617977528089858E-3</v>
      </c>
      <c r="V128" s="2"/>
      <c r="W128" s="100">
        <v>44815</v>
      </c>
      <c r="X128" s="105">
        <v>13.81</v>
      </c>
      <c r="Y128" s="22">
        <f t="shared" si="12"/>
        <v>-4.5611610228058062E-2</v>
      </c>
      <c r="Z128" s="2"/>
      <c r="AA128" s="100">
        <v>44815</v>
      </c>
      <c r="AB128" s="105">
        <v>13.47</v>
      </c>
      <c r="AC128" s="22">
        <f t="shared" si="13"/>
        <v>4.4742729306488068E-3</v>
      </c>
      <c r="AD128" s="2"/>
      <c r="AE128" s="100">
        <v>44815</v>
      </c>
      <c r="AF128" s="105">
        <v>140.74</v>
      </c>
      <c r="AG128" s="22">
        <f t="shared" si="14"/>
        <v>-3.3312727522494638E-2</v>
      </c>
    </row>
    <row r="129" spans="7:33" x14ac:dyDescent="0.25">
      <c r="G129" s="100">
        <v>44808</v>
      </c>
      <c r="H129" s="105">
        <v>4067.36</v>
      </c>
      <c r="I129" s="22">
        <f t="shared" si="8"/>
        <v>3.6465473745368529E-2</v>
      </c>
      <c r="J129" s="2"/>
      <c r="K129" s="100">
        <v>44808</v>
      </c>
      <c r="L129" s="105">
        <v>41.29</v>
      </c>
      <c r="M129" s="22">
        <f t="shared" si="9"/>
        <v>7.330387314790747E-2</v>
      </c>
      <c r="N129" s="2"/>
      <c r="O129" s="100">
        <v>44808</v>
      </c>
      <c r="P129" s="105">
        <v>299.68</v>
      </c>
      <c r="Q129" s="22">
        <f t="shared" si="10"/>
        <v>0.10906332112061</v>
      </c>
      <c r="R129" s="2"/>
      <c r="S129" s="100">
        <v>44808</v>
      </c>
      <c r="T129" s="105">
        <v>195.8</v>
      </c>
      <c r="U129" s="22">
        <f t="shared" si="11"/>
        <v>2.416570771001153E-2</v>
      </c>
      <c r="V129" s="2"/>
      <c r="W129" s="100">
        <v>44808</v>
      </c>
      <c r="X129" s="105">
        <v>14.47</v>
      </c>
      <c r="Y129" s="22">
        <f t="shared" si="12"/>
        <v>1.7580872011251757E-2</v>
      </c>
      <c r="Z129" s="2"/>
      <c r="AA129" s="100">
        <v>44808</v>
      </c>
      <c r="AB129" s="105">
        <v>13.41</v>
      </c>
      <c r="AC129" s="22">
        <f t="shared" si="13"/>
        <v>2.4446142093200937E-2</v>
      </c>
      <c r="AD129" s="2"/>
      <c r="AE129" s="100">
        <v>44808</v>
      </c>
      <c r="AF129" s="105">
        <v>145.59</v>
      </c>
      <c r="AG129" s="22">
        <f t="shared" si="14"/>
        <v>2.0610057708162364E-4</v>
      </c>
    </row>
    <row r="130" spans="7:33" x14ac:dyDescent="0.25">
      <c r="G130" s="100">
        <v>44801</v>
      </c>
      <c r="H130" s="105">
        <v>3924.26</v>
      </c>
      <c r="I130" s="22">
        <f t="shared" si="8"/>
        <v>-3.2876091146128467E-2</v>
      </c>
      <c r="J130" s="2"/>
      <c r="K130" s="100">
        <v>44801</v>
      </c>
      <c r="L130" s="105">
        <v>38.47</v>
      </c>
      <c r="M130" s="22">
        <f t="shared" si="9"/>
        <v>-1.9372928880958401E-2</v>
      </c>
      <c r="N130" s="2"/>
      <c r="O130" s="100">
        <v>44801</v>
      </c>
      <c r="P130" s="105">
        <v>270.20999999999998</v>
      </c>
      <c r="Q130" s="22">
        <f t="shared" si="10"/>
        <v>-6.2063938352598137E-2</v>
      </c>
      <c r="R130" s="2"/>
      <c r="S130" s="100">
        <v>44801</v>
      </c>
      <c r="T130" s="105">
        <v>191.18</v>
      </c>
      <c r="U130" s="22">
        <f t="shared" si="11"/>
        <v>-3.3419283078011959E-2</v>
      </c>
      <c r="V130" s="2"/>
      <c r="W130" s="100">
        <v>44801</v>
      </c>
      <c r="X130" s="105">
        <v>14.22</v>
      </c>
      <c r="Y130" s="22">
        <f t="shared" si="12"/>
        <v>-1.6597510373443997E-2</v>
      </c>
      <c r="Z130" s="2"/>
      <c r="AA130" s="100">
        <v>44801</v>
      </c>
      <c r="AB130" s="105">
        <v>13.09</v>
      </c>
      <c r="AC130" s="22">
        <f t="shared" si="13"/>
        <v>-3.8207200587803053E-2</v>
      </c>
      <c r="AD130" s="2"/>
      <c r="AE130" s="100">
        <v>44801</v>
      </c>
      <c r="AF130" s="105">
        <v>145.56</v>
      </c>
      <c r="AG130" s="22">
        <f t="shared" si="14"/>
        <v>-4.0917177307768386E-2</v>
      </c>
    </row>
    <row r="131" spans="7:33" x14ac:dyDescent="0.25">
      <c r="G131" s="100">
        <v>44794</v>
      </c>
      <c r="H131" s="105">
        <v>4057.66</v>
      </c>
      <c r="I131" s="22">
        <f t="shared" si="8"/>
        <v>-4.0397495080974656E-2</v>
      </c>
      <c r="J131" s="2"/>
      <c r="K131" s="100">
        <v>44794</v>
      </c>
      <c r="L131" s="105">
        <v>39.229999999999997</v>
      </c>
      <c r="M131" s="22">
        <f t="shared" si="9"/>
        <v>-1.1838790931990074E-2</v>
      </c>
      <c r="N131" s="2"/>
      <c r="O131" s="100">
        <v>44794</v>
      </c>
      <c r="P131" s="105">
        <v>288.08999999999997</v>
      </c>
      <c r="Q131" s="22">
        <f t="shared" si="10"/>
        <v>-2.8921023359288235E-2</v>
      </c>
      <c r="R131" s="2"/>
      <c r="S131" s="100">
        <v>44794</v>
      </c>
      <c r="T131" s="105">
        <v>197.79</v>
      </c>
      <c r="U131" s="22">
        <f t="shared" si="11"/>
        <v>-4.4677357032457496E-2</v>
      </c>
      <c r="V131" s="2"/>
      <c r="W131" s="100">
        <v>44794</v>
      </c>
      <c r="X131" s="105">
        <v>14.46</v>
      </c>
      <c r="Y131" s="22">
        <f t="shared" si="12"/>
        <v>-2.9530201342281844E-2</v>
      </c>
      <c r="Z131" s="2"/>
      <c r="AA131" s="100">
        <v>44794</v>
      </c>
      <c r="AB131" s="105">
        <v>13.61</v>
      </c>
      <c r="AC131" s="22">
        <f t="shared" si="13"/>
        <v>-6.3317274604267032E-2</v>
      </c>
      <c r="AD131" s="2"/>
      <c r="AE131" s="100">
        <v>44794</v>
      </c>
      <c r="AF131" s="105">
        <v>151.77000000000001</v>
      </c>
      <c r="AG131" s="22">
        <f t="shared" si="14"/>
        <v>-2.9975712642208854E-2</v>
      </c>
    </row>
    <row r="132" spans="7:33" x14ac:dyDescent="0.25">
      <c r="G132" s="100">
        <v>44787</v>
      </c>
      <c r="H132" s="105">
        <v>4228.4799999999996</v>
      </c>
      <c r="I132" s="22">
        <f t="shared" si="8"/>
        <v>-1.2072006822190829E-2</v>
      </c>
      <c r="J132" s="2"/>
      <c r="K132" s="100">
        <v>44787</v>
      </c>
      <c r="L132" s="105">
        <v>39.700000000000003</v>
      </c>
      <c r="M132" s="22">
        <f t="shared" si="9"/>
        <v>5.57244174265466E-3</v>
      </c>
      <c r="N132" s="2"/>
      <c r="O132" s="100">
        <v>44787</v>
      </c>
      <c r="P132" s="105">
        <v>296.67</v>
      </c>
      <c r="Q132" s="22">
        <f t="shared" si="10"/>
        <v>-1.1198880111988658E-2</v>
      </c>
      <c r="R132" s="2"/>
      <c r="S132" s="100">
        <v>44787</v>
      </c>
      <c r="T132" s="105">
        <v>207.04</v>
      </c>
      <c r="U132" s="22">
        <f t="shared" si="11"/>
        <v>-4.0637597887030308E-2</v>
      </c>
      <c r="V132" s="2"/>
      <c r="W132" s="100">
        <v>44787</v>
      </c>
      <c r="X132" s="105">
        <v>14.9</v>
      </c>
      <c r="Y132" s="22">
        <f t="shared" si="12"/>
        <v>-1.8445322793148838E-2</v>
      </c>
      <c r="Z132" s="2"/>
      <c r="AA132" s="100">
        <v>44787</v>
      </c>
      <c r="AB132" s="105">
        <v>14.53</v>
      </c>
      <c r="AC132" s="22">
        <f t="shared" si="13"/>
        <v>-5.8327932598833468E-2</v>
      </c>
      <c r="AD132" s="2"/>
      <c r="AE132" s="100">
        <v>44787</v>
      </c>
      <c r="AF132" s="105">
        <v>156.46</v>
      </c>
      <c r="AG132" s="22">
        <f t="shared" si="14"/>
        <v>-3.0066331907507248E-2</v>
      </c>
    </row>
    <row r="133" spans="7:33" x14ac:dyDescent="0.25">
      <c r="G133" s="100">
        <v>44780</v>
      </c>
      <c r="H133" s="105">
        <v>4280.1499999999996</v>
      </c>
      <c r="I133" s="22">
        <f t="shared" si="8"/>
        <v>3.2558218079267787E-2</v>
      </c>
      <c r="J133" s="2"/>
      <c r="K133" s="100">
        <v>44780</v>
      </c>
      <c r="L133" s="105">
        <v>39.479999999999997</v>
      </c>
      <c r="M133" s="22">
        <f t="shared" si="9"/>
        <v>9.4841930116472392E-2</v>
      </c>
      <c r="N133" s="2"/>
      <c r="O133" s="100">
        <v>44780</v>
      </c>
      <c r="P133" s="105">
        <v>300.02999999999997</v>
      </c>
      <c r="Q133" s="22">
        <f t="shared" si="10"/>
        <v>4.1156261928722473E-2</v>
      </c>
      <c r="R133" s="2"/>
      <c r="S133" s="100">
        <v>44780</v>
      </c>
      <c r="T133" s="105">
        <v>215.81</v>
      </c>
      <c r="U133" s="22">
        <f t="shared" si="11"/>
        <v>1.8259884873077309E-2</v>
      </c>
      <c r="V133" s="2"/>
      <c r="W133" s="100">
        <v>44780</v>
      </c>
      <c r="X133" s="105">
        <v>15.18</v>
      </c>
      <c r="Y133" s="22">
        <f t="shared" si="12"/>
        <v>5.7839721254355408E-2</v>
      </c>
      <c r="Z133" s="2"/>
      <c r="AA133" s="100">
        <v>44780</v>
      </c>
      <c r="AB133" s="105">
        <v>15.43</v>
      </c>
      <c r="AC133" s="22">
        <f t="shared" si="13"/>
        <v>5.5403556771545862E-2</v>
      </c>
      <c r="AD133" s="2"/>
      <c r="AE133" s="100">
        <v>44780</v>
      </c>
      <c r="AF133" s="105">
        <v>161.31</v>
      </c>
      <c r="AG133" s="22">
        <f t="shared" si="14"/>
        <v>2.5427499841078127E-2</v>
      </c>
    </row>
    <row r="134" spans="7:33" x14ac:dyDescent="0.25">
      <c r="G134" s="100">
        <v>44773</v>
      </c>
      <c r="H134" s="105">
        <v>4145.1899999999996</v>
      </c>
      <c r="I134" s="22">
        <f t="shared" si="8"/>
        <v>3.6074948732412581E-3</v>
      </c>
      <c r="J134" s="2"/>
      <c r="K134" s="100">
        <v>44773</v>
      </c>
      <c r="L134" s="105">
        <v>36.06</v>
      </c>
      <c r="M134" s="22">
        <f t="shared" si="9"/>
        <v>-5.5157198014339701E-3</v>
      </c>
      <c r="N134" s="2"/>
      <c r="O134" s="100">
        <v>44773</v>
      </c>
      <c r="P134" s="105">
        <v>288.17</v>
      </c>
      <c r="Q134" s="22">
        <f t="shared" si="10"/>
        <v>-3.0220427393572141E-2</v>
      </c>
      <c r="R134" s="2"/>
      <c r="S134" s="100">
        <v>44773</v>
      </c>
      <c r="T134" s="105">
        <v>211.94</v>
      </c>
      <c r="U134" s="22">
        <f t="shared" si="11"/>
        <v>3.3612649718316907E-3</v>
      </c>
      <c r="V134" s="2"/>
      <c r="W134" s="100">
        <v>44773</v>
      </c>
      <c r="X134" s="105">
        <v>14.35</v>
      </c>
      <c r="Y134" s="22">
        <f t="shared" si="12"/>
        <v>4.1364296081277237E-2</v>
      </c>
      <c r="Z134" s="2"/>
      <c r="AA134" s="100">
        <v>44773</v>
      </c>
      <c r="AB134" s="105">
        <v>14.62</v>
      </c>
      <c r="AC134" s="22">
        <f t="shared" si="13"/>
        <v>1.6689847009735633E-2</v>
      </c>
      <c r="AD134" s="2"/>
      <c r="AE134" s="100">
        <v>44773</v>
      </c>
      <c r="AF134" s="105">
        <v>157.31</v>
      </c>
      <c r="AG134" s="22">
        <f t="shared" si="14"/>
        <v>-3.2474321914016856E-2</v>
      </c>
    </row>
    <row r="135" spans="7:33" x14ac:dyDescent="0.25">
      <c r="G135" s="100">
        <v>44766</v>
      </c>
      <c r="H135" s="105">
        <v>4130.29</v>
      </c>
      <c r="I135" s="22">
        <f t="shared" si="8"/>
        <v>4.2573385197507051E-2</v>
      </c>
      <c r="J135" s="2"/>
      <c r="K135" s="100">
        <v>44766</v>
      </c>
      <c r="L135" s="105">
        <v>36.26</v>
      </c>
      <c r="M135" s="22">
        <f t="shared" si="9"/>
        <v>4.5860974906258907E-2</v>
      </c>
      <c r="N135" s="2"/>
      <c r="O135" s="100">
        <v>44766</v>
      </c>
      <c r="P135" s="105">
        <v>297.14999999999998</v>
      </c>
      <c r="Q135" s="22">
        <f t="shared" si="10"/>
        <v>9.1500146929180015E-2</v>
      </c>
      <c r="R135" s="2"/>
      <c r="S135" s="100">
        <v>44766</v>
      </c>
      <c r="T135" s="105">
        <v>211.23</v>
      </c>
      <c r="U135" s="22">
        <f t="shared" si="11"/>
        <v>5.3884149079479034E-2</v>
      </c>
      <c r="V135" s="2"/>
      <c r="W135" s="100">
        <v>44766</v>
      </c>
      <c r="X135" s="105">
        <v>13.78</v>
      </c>
      <c r="Y135" s="22">
        <f t="shared" si="12"/>
        <v>0.14546965918536992</v>
      </c>
      <c r="Z135" s="2"/>
      <c r="AA135" s="100">
        <v>44766</v>
      </c>
      <c r="AB135" s="105">
        <v>14.38</v>
      </c>
      <c r="AC135" s="22">
        <f t="shared" si="13"/>
        <v>0.11906614785992227</v>
      </c>
      <c r="AD135" s="2"/>
      <c r="AE135" s="100">
        <v>44766</v>
      </c>
      <c r="AF135" s="105">
        <v>162.59</v>
      </c>
      <c r="AG135" s="22">
        <f t="shared" si="14"/>
        <v>1.4285714285714235E-2</v>
      </c>
    </row>
    <row r="136" spans="7:33" x14ac:dyDescent="0.25">
      <c r="G136" s="100">
        <v>44759</v>
      </c>
      <c r="H136" s="105">
        <v>3961.63</v>
      </c>
      <c r="I136" s="22">
        <f t="shared" si="8"/>
        <v>2.5489495646051488E-2</v>
      </c>
      <c r="J136" s="2"/>
      <c r="K136" s="100">
        <v>44759</v>
      </c>
      <c r="L136" s="105">
        <v>34.67</v>
      </c>
      <c r="M136" s="22">
        <f t="shared" si="9"/>
        <v>5.4761180407666699E-2</v>
      </c>
      <c r="N136" s="2"/>
      <c r="O136" s="100">
        <v>44759</v>
      </c>
      <c r="P136" s="105">
        <v>272.24</v>
      </c>
      <c r="Q136" s="22">
        <f t="shared" si="10"/>
        <v>0.13400258258008088</v>
      </c>
      <c r="R136" s="2"/>
      <c r="S136" s="100">
        <v>44759</v>
      </c>
      <c r="T136" s="105">
        <v>200.43</v>
      </c>
      <c r="U136" s="22">
        <f t="shared" si="11"/>
        <v>3.5974569700728834E-2</v>
      </c>
      <c r="V136" s="2"/>
      <c r="W136" s="100">
        <v>44759</v>
      </c>
      <c r="X136" s="105">
        <v>12.03</v>
      </c>
      <c r="Y136" s="22">
        <f t="shared" si="12"/>
        <v>7.8923766816143409E-2</v>
      </c>
      <c r="Z136" s="2"/>
      <c r="AA136" s="100">
        <v>44759</v>
      </c>
      <c r="AB136" s="105">
        <v>12.85</v>
      </c>
      <c r="AC136" s="22">
        <f t="shared" si="13"/>
        <v>6.2861869313482199E-2</v>
      </c>
      <c r="AD136" s="2"/>
      <c r="AE136" s="100">
        <v>44759</v>
      </c>
      <c r="AF136" s="105">
        <v>160.30000000000001</v>
      </c>
      <c r="AG136" s="22">
        <f t="shared" si="14"/>
        <v>2.2973835354180107E-2</v>
      </c>
    </row>
    <row r="137" spans="7:33" x14ac:dyDescent="0.25">
      <c r="G137" s="100">
        <v>44752</v>
      </c>
      <c r="H137" s="105">
        <v>3863.16</v>
      </c>
      <c r="I137" s="22">
        <f t="shared" ref="I137:I163" si="15">(H137-H138)/H138</f>
        <v>-9.2886561453359908E-3</v>
      </c>
      <c r="J137" s="2"/>
      <c r="K137" s="100">
        <v>44752</v>
      </c>
      <c r="L137" s="105">
        <v>32.869999999999997</v>
      </c>
      <c r="M137" s="22">
        <f t="shared" ref="M137:M163" si="16">(L137-L138)/L138</f>
        <v>1.7332095326524147E-2</v>
      </c>
      <c r="N137" s="2"/>
      <c r="O137" s="100">
        <v>44752</v>
      </c>
      <c r="P137" s="105">
        <v>240.07</v>
      </c>
      <c r="Q137" s="22">
        <f t="shared" ref="Q137:Q163" si="17">(P137-P138)/P138</f>
        <v>-4.2630403573137653E-2</v>
      </c>
      <c r="R137" s="2"/>
      <c r="S137" s="100">
        <v>44752</v>
      </c>
      <c r="T137" s="105">
        <v>193.47</v>
      </c>
      <c r="U137" s="22">
        <f t="shared" ref="U137:U163" si="18">(T137-T138)/T138</f>
        <v>-8.2631823581054897E-4</v>
      </c>
      <c r="V137" s="2"/>
      <c r="W137" s="100">
        <v>44752</v>
      </c>
      <c r="X137" s="105">
        <v>11.15</v>
      </c>
      <c r="Y137" s="22">
        <f t="shared" ref="Y137:Y163" si="19">(X137-X138)/X138</f>
        <v>2.2935779816513759E-2</v>
      </c>
      <c r="Z137" s="2"/>
      <c r="AA137" s="100">
        <v>44752</v>
      </c>
      <c r="AB137" s="105">
        <v>12.09</v>
      </c>
      <c r="AC137" s="22">
        <f t="shared" ref="AC137:AC163" si="20">(AB137-AB138)/AB138</f>
        <v>-4.1237113402061827E-2</v>
      </c>
      <c r="AD137" s="2"/>
      <c r="AE137" s="100">
        <v>44752</v>
      </c>
      <c r="AF137" s="105">
        <v>156.69999999999999</v>
      </c>
      <c r="AG137" s="22">
        <f t="shared" ref="AG137:AG163" si="21">(AF137-AF138)/AF138</f>
        <v>-3.8275070170963431E-4</v>
      </c>
    </row>
    <row r="138" spans="7:33" x14ac:dyDescent="0.25">
      <c r="G138" s="100">
        <v>44745</v>
      </c>
      <c r="H138" s="105">
        <v>3899.38</v>
      </c>
      <c r="I138" s="22">
        <f t="shared" si="15"/>
        <v>1.9357807038869898E-2</v>
      </c>
      <c r="J138" s="2"/>
      <c r="K138" s="100">
        <v>44745</v>
      </c>
      <c r="L138" s="105">
        <v>32.31</v>
      </c>
      <c r="M138" s="22">
        <f t="shared" si="16"/>
        <v>3.7278657968314558E-3</v>
      </c>
      <c r="N138" s="2"/>
      <c r="O138" s="100">
        <v>44745</v>
      </c>
      <c r="P138" s="105">
        <v>250.76</v>
      </c>
      <c r="Q138" s="22">
        <f t="shared" si="17"/>
        <v>0.10340579072428056</v>
      </c>
      <c r="R138" s="2"/>
      <c r="S138" s="100">
        <v>44745</v>
      </c>
      <c r="T138" s="105">
        <v>193.63</v>
      </c>
      <c r="U138" s="22">
        <f t="shared" si="18"/>
        <v>3.0275619878684674E-2</v>
      </c>
      <c r="V138" s="2"/>
      <c r="W138" s="100">
        <v>44745</v>
      </c>
      <c r="X138" s="105">
        <v>10.9</v>
      </c>
      <c r="Y138" s="22">
        <f t="shared" si="19"/>
        <v>2.6365348399246813E-2</v>
      </c>
      <c r="Z138" s="2"/>
      <c r="AA138" s="100">
        <v>44745</v>
      </c>
      <c r="AB138" s="105">
        <v>12.61</v>
      </c>
      <c r="AC138" s="22">
        <f t="shared" si="20"/>
        <v>1.6935483870967667E-2</v>
      </c>
      <c r="AD138" s="2"/>
      <c r="AE138" s="100">
        <v>44745</v>
      </c>
      <c r="AF138" s="105">
        <v>156.76</v>
      </c>
      <c r="AG138" s="22">
        <f t="shared" si="21"/>
        <v>8.2974207242554315E-3</v>
      </c>
    </row>
    <row r="139" spans="7:33" x14ac:dyDescent="0.25">
      <c r="G139" s="100">
        <v>44738</v>
      </c>
      <c r="H139" s="105">
        <v>3825.33</v>
      </c>
      <c r="I139" s="22">
        <f t="shared" si="15"/>
        <v>-2.2089913951336197E-2</v>
      </c>
      <c r="J139" s="2"/>
      <c r="K139" s="100">
        <v>44738</v>
      </c>
      <c r="L139" s="105">
        <v>32.19</v>
      </c>
      <c r="M139" s="22">
        <f t="shared" si="16"/>
        <v>-7.5531303848363082E-2</v>
      </c>
      <c r="N139" s="2"/>
      <c r="O139" s="100">
        <v>44738</v>
      </c>
      <c r="P139" s="105">
        <v>227.26</v>
      </c>
      <c r="Q139" s="22">
        <f t="shared" si="17"/>
        <v>-7.5088518985796326E-2</v>
      </c>
      <c r="R139" s="2"/>
      <c r="S139" s="100">
        <v>44738</v>
      </c>
      <c r="T139" s="105">
        <v>187.94</v>
      </c>
      <c r="U139" s="22">
        <f t="shared" si="18"/>
        <v>-2.0839845785141191E-2</v>
      </c>
      <c r="V139" s="2"/>
      <c r="W139" s="100">
        <v>44738</v>
      </c>
      <c r="X139" s="105">
        <v>10.62</v>
      </c>
      <c r="Y139" s="22">
        <f t="shared" si="19"/>
        <v>-5.7675244010647768E-2</v>
      </c>
      <c r="Z139" s="2"/>
      <c r="AA139" s="100">
        <v>44738</v>
      </c>
      <c r="AB139" s="105">
        <v>12.4</v>
      </c>
      <c r="AC139" s="22">
        <f t="shared" si="20"/>
        <v>-6.4150943396226387E-2</v>
      </c>
      <c r="AD139" s="2"/>
      <c r="AE139" s="100">
        <v>44738</v>
      </c>
      <c r="AF139" s="105">
        <v>155.47</v>
      </c>
      <c r="AG139" s="22">
        <f t="shared" si="21"/>
        <v>-2.2692984661805464E-2</v>
      </c>
    </row>
    <row r="140" spans="7:33" x14ac:dyDescent="0.25">
      <c r="G140" s="100">
        <v>44731</v>
      </c>
      <c r="H140" s="105">
        <v>3911.74</v>
      </c>
      <c r="I140" s="22">
        <f t="shared" si="15"/>
        <v>6.4465391690522483E-2</v>
      </c>
      <c r="J140" s="2"/>
      <c r="K140" s="100">
        <v>44731</v>
      </c>
      <c r="L140" s="105">
        <v>34.82</v>
      </c>
      <c r="M140" s="22">
        <f t="shared" si="16"/>
        <v>9.2220828105395281E-2</v>
      </c>
      <c r="N140" s="2"/>
      <c r="O140" s="100">
        <v>44731</v>
      </c>
      <c r="P140" s="105">
        <v>245.71</v>
      </c>
      <c r="Q140" s="22">
        <f t="shared" si="17"/>
        <v>0.13355785200221451</v>
      </c>
      <c r="R140" s="2"/>
      <c r="S140" s="100">
        <v>44731</v>
      </c>
      <c r="T140" s="105">
        <v>191.94</v>
      </c>
      <c r="U140" s="22">
        <f t="shared" si="18"/>
        <v>9.0382321195250789E-2</v>
      </c>
      <c r="V140" s="2"/>
      <c r="W140" s="100">
        <v>44731</v>
      </c>
      <c r="X140" s="105">
        <v>11.27</v>
      </c>
      <c r="Y140" s="22">
        <f t="shared" si="19"/>
        <v>6.9259962049335905E-2</v>
      </c>
      <c r="Z140" s="2"/>
      <c r="AA140" s="100">
        <v>44731</v>
      </c>
      <c r="AB140" s="105">
        <v>13.25</v>
      </c>
      <c r="AC140" s="22">
        <f t="shared" si="20"/>
        <v>2.7131782945736406E-2</v>
      </c>
      <c r="AD140" s="2"/>
      <c r="AE140" s="100">
        <v>44731</v>
      </c>
      <c r="AF140" s="105">
        <v>159.08000000000001</v>
      </c>
      <c r="AG140" s="22">
        <f t="shared" si="21"/>
        <v>3.3322507307567549E-2</v>
      </c>
    </row>
    <row r="141" spans="7:33" x14ac:dyDescent="0.25">
      <c r="G141" s="100">
        <v>44724</v>
      </c>
      <c r="H141" s="105">
        <v>3674.84</v>
      </c>
      <c r="I141" s="22">
        <f t="shared" si="15"/>
        <v>-5.7941069405208073E-2</v>
      </c>
      <c r="J141" s="2"/>
      <c r="K141" s="100">
        <v>44724</v>
      </c>
      <c r="L141" s="105">
        <v>31.88</v>
      </c>
      <c r="M141" s="22">
        <f t="shared" si="16"/>
        <v>-8.9403027706369584E-2</v>
      </c>
      <c r="N141" s="2"/>
      <c r="O141" s="100">
        <v>44724</v>
      </c>
      <c r="P141" s="105">
        <v>216.76</v>
      </c>
      <c r="Q141" s="22">
        <f t="shared" si="17"/>
        <v>-6.6614993756189983E-2</v>
      </c>
      <c r="R141" s="2"/>
      <c r="S141" s="100">
        <v>44724</v>
      </c>
      <c r="T141" s="105">
        <v>176.03</v>
      </c>
      <c r="U141" s="22">
        <f t="shared" si="18"/>
        <v>-3.1844681553184429E-2</v>
      </c>
      <c r="V141" s="2"/>
      <c r="W141" s="100">
        <v>44724</v>
      </c>
      <c r="X141" s="105">
        <v>10.54</v>
      </c>
      <c r="Y141" s="22">
        <f t="shared" si="19"/>
        <v>-0.11872909698996668</v>
      </c>
      <c r="Z141" s="2"/>
      <c r="AA141" s="100">
        <v>44724</v>
      </c>
      <c r="AB141" s="105">
        <v>12.9</v>
      </c>
      <c r="AC141" s="22">
        <f t="shared" si="20"/>
        <v>-5.425219941348975E-2</v>
      </c>
      <c r="AD141" s="2"/>
      <c r="AE141" s="100">
        <v>44724</v>
      </c>
      <c r="AF141" s="105">
        <v>153.94999999999999</v>
      </c>
      <c r="AG141" s="22">
        <f t="shared" si="21"/>
        <v>-4.5567265964042293E-2</v>
      </c>
    </row>
    <row r="142" spans="7:33" x14ac:dyDescent="0.25">
      <c r="G142" s="100">
        <v>44717</v>
      </c>
      <c r="H142" s="105">
        <v>3900.86</v>
      </c>
      <c r="I142" s="22">
        <f t="shared" si="15"/>
        <v>-5.0548369980577004E-2</v>
      </c>
      <c r="J142" s="2"/>
      <c r="K142" s="100">
        <v>44717</v>
      </c>
      <c r="L142" s="105">
        <v>35.01</v>
      </c>
      <c r="M142" s="22">
        <f t="shared" si="16"/>
        <v>-6.9130550385535797E-2</v>
      </c>
      <c r="N142" s="2"/>
      <c r="O142" s="100">
        <v>44717</v>
      </c>
      <c r="P142" s="105">
        <v>232.23</v>
      </c>
      <c r="Q142" s="22">
        <f t="shared" si="17"/>
        <v>-9.7646256182842422E-3</v>
      </c>
      <c r="R142" s="2"/>
      <c r="S142" s="100">
        <v>44717</v>
      </c>
      <c r="T142" s="105">
        <v>181.82</v>
      </c>
      <c r="U142" s="22">
        <f t="shared" si="18"/>
        <v>-4.1589794950187206E-2</v>
      </c>
      <c r="V142" s="2"/>
      <c r="W142" s="100">
        <v>44717</v>
      </c>
      <c r="X142" s="105">
        <v>11.96</v>
      </c>
      <c r="Y142" s="22">
        <f t="shared" si="19"/>
        <v>-5.6037884767166465E-2</v>
      </c>
      <c r="Z142" s="2"/>
      <c r="AA142" s="100">
        <v>44717</v>
      </c>
      <c r="AB142" s="105">
        <v>13.64</v>
      </c>
      <c r="AC142" s="22">
        <f t="shared" si="20"/>
        <v>-7.7755240027045203E-2</v>
      </c>
      <c r="AD142" s="2"/>
      <c r="AE142" s="100">
        <v>44717</v>
      </c>
      <c r="AF142" s="105">
        <v>161.30000000000001</v>
      </c>
      <c r="AG142" s="22">
        <f t="shared" si="21"/>
        <v>-2.1297251380377347E-2</v>
      </c>
    </row>
    <row r="143" spans="7:33" x14ac:dyDescent="0.25">
      <c r="G143" s="100">
        <v>44710</v>
      </c>
      <c r="H143" s="105">
        <v>4108.54</v>
      </c>
      <c r="I143" s="22">
        <f t="shared" si="15"/>
        <v>-1.1952172072799987E-2</v>
      </c>
      <c r="J143" s="2"/>
      <c r="K143" s="100">
        <v>44710</v>
      </c>
      <c r="L143" s="105">
        <v>37.61</v>
      </c>
      <c r="M143" s="22">
        <f t="shared" si="16"/>
        <v>-2.4889810733730901E-2</v>
      </c>
      <c r="N143" s="2"/>
      <c r="O143" s="100">
        <v>44710</v>
      </c>
      <c r="P143" s="105">
        <v>234.52</v>
      </c>
      <c r="Q143" s="22">
        <f t="shared" si="17"/>
        <v>-7.3812250700999157E-2</v>
      </c>
      <c r="R143" s="2"/>
      <c r="S143" s="100">
        <v>44710</v>
      </c>
      <c r="T143" s="105">
        <v>189.71</v>
      </c>
      <c r="U143" s="22">
        <f t="shared" si="18"/>
        <v>-6.0190230853066504E-2</v>
      </c>
      <c r="V143" s="2"/>
      <c r="W143" s="100">
        <v>44710</v>
      </c>
      <c r="X143" s="105">
        <v>12.67</v>
      </c>
      <c r="Y143" s="22">
        <f t="shared" si="19"/>
        <v>-9.382329945269682E-3</v>
      </c>
      <c r="Z143" s="2"/>
      <c r="AA143" s="100">
        <v>44710</v>
      </c>
      <c r="AB143" s="105">
        <v>14.79</v>
      </c>
      <c r="AC143" s="22">
        <f t="shared" si="20"/>
        <v>-6.7567567567578131E-4</v>
      </c>
      <c r="AD143" s="2"/>
      <c r="AE143" s="100">
        <v>44710</v>
      </c>
      <c r="AF143" s="105">
        <v>164.81</v>
      </c>
      <c r="AG143" s="22">
        <f t="shared" si="21"/>
        <v>-1.2108134028651981E-2</v>
      </c>
    </row>
    <row r="144" spans="7:33" x14ac:dyDescent="0.25">
      <c r="G144" s="100">
        <v>44703</v>
      </c>
      <c r="H144" s="105">
        <v>4158.24</v>
      </c>
      <c r="I144" s="22">
        <f t="shared" si="15"/>
        <v>6.5843705784649362E-2</v>
      </c>
      <c r="J144" s="2"/>
      <c r="K144" s="100">
        <v>44703</v>
      </c>
      <c r="L144" s="105">
        <v>38.57</v>
      </c>
      <c r="M144" s="22">
        <f t="shared" si="16"/>
        <v>8.9548022598870111E-2</v>
      </c>
      <c r="N144" s="2"/>
      <c r="O144" s="100">
        <v>44703</v>
      </c>
      <c r="P144" s="105">
        <v>253.21</v>
      </c>
      <c r="Q144" s="22">
        <f t="shared" si="17"/>
        <v>0.14419340262087663</v>
      </c>
      <c r="R144" s="2"/>
      <c r="S144" s="100">
        <v>44703</v>
      </c>
      <c r="T144" s="105">
        <v>201.86</v>
      </c>
      <c r="U144" s="22">
        <f t="shared" si="18"/>
        <v>6.5336710998522396E-2</v>
      </c>
      <c r="V144" s="2"/>
      <c r="W144" s="100">
        <v>44703</v>
      </c>
      <c r="X144" s="105">
        <v>12.79</v>
      </c>
      <c r="Y144" s="22">
        <f t="shared" si="19"/>
        <v>9.036658141517466E-2</v>
      </c>
      <c r="Z144" s="2"/>
      <c r="AA144" s="100">
        <v>44703</v>
      </c>
      <c r="AB144" s="105">
        <v>14.8</v>
      </c>
      <c r="AC144" s="22">
        <f t="shared" si="20"/>
        <v>2.3513139695712299E-2</v>
      </c>
      <c r="AD144" s="2"/>
      <c r="AE144" s="100">
        <v>44703</v>
      </c>
      <c r="AF144" s="105">
        <v>166.83</v>
      </c>
      <c r="AG144" s="22">
        <f t="shared" si="21"/>
        <v>5.1493760242027078E-2</v>
      </c>
    </row>
    <row r="145" spans="7:33" x14ac:dyDescent="0.25">
      <c r="G145" s="100">
        <v>44696</v>
      </c>
      <c r="H145" s="105">
        <v>3901.36</v>
      </c>
      <c r="I145" s="22">
        <f t="shared" si="15"/>
        <v>-3.0450633590878417E-2</v>
      </c>
      <c r="J145" s="2"/>
      <c r="K145" s="100">
        <v>44696</v>
      </c>
      <c r="L145" s="105">
        <v>35.4</v>
      </c>
      <c r="M145" s="22">
        <f t="shared" si="16"/>
        <v>-7.3540957864433446E-2</v>
      </c>
      <c r="N145" s="2"/>
      <c r="O145" s="100">
        <v>44696</v>
      </c>
      <c r="P145" s="105">
        <v>221.3</v>
      </c>
      <c r="Q145" s="22">
        <f t="shared" si="17"/>
        <v>-0.13733286555178717</v>
      </c>
      <c r="R145" s="2"/>
      <c r="S145" s="100">
        <v>44696</v>
      </c>
      <c r="T145" s="105">
        <v>189.48</v>
      </c>
      <c r="U145" s="22">
        <f t="shared" si="18"/>
        <v>-2.2845650043834806E-2</v>
      </c>
      <c r="V145" s="2"/>
      <c r="W145" s="100">
        <v>44696</v>
      </c>
      <c r="X145" s="105">
        <v>11.73</v>
      </c>
      <c r="Y145" s="22">
        <f t="shared" si="19"/>
        <v>-7.4191002367797909E-2</v>
      </c>
      <c r="Z145" s="2"/>
      <c r="AA145" s="100">
        <v>44696</v>
      </c>
      <c r="AB145" s="105">
        <v>14.46</v>
      </c>
      <c r="AC145" s="22">
        <f t="shared" si="20"/>
        <v>6.2630480167015752E-3</v>
      </c>
      <c r="AD145" s="2"/>
      <c r="AE145" s="100">
        <v>44696</v>
      </c>
      <c r="AF145" s="105">
        <v>158.66</v>
      </c>
      <c r="AG145" s="22">
        <f t="shared" si="21"/>
        <v>-1.6549928717535585E-2</v>
      </c>
    </row>
    <row r="146" spans="7:33" x14ac:dyDescent="0.25">
      <c r="G146" s="100">
        <v>44689</v>
      </c>
      <c r="H146" s="105">
        <v>4023.89</v>
      </c>
      <c r="I146" s="22">
        <f t="shared" si="15"/>
        <v>-2.4118796897660701E-2</v>
      </c>
      <c r="J146" s="2"/>
      <c r="K146" s="100">
        <v>44689</v>
      </c>
      <c r="L146" s="105">
        <v>38.21</v>
      </c>
      <c r="M146" s="22">
        <f t="shared" si="16"/>
        <v>-3.4613441131884727E-2</v>
      </c>
      <c r="N146" s="2"/>
      <c r="O146" s="100">
        <v>44689</v>
      </c>
      <c r="P146" s="105">
        <v>256.52999999999997</v>
      </c>
      <c r="Q146" s="22">
        <f t="shared" si="17"/>
        <v>-0.11096863628487277</v>
      </c>
      <c r="R146" s="2"/>
      <c r="S146" s="100">
        <v>44689</v>
      </c>
      <c r="T146" s="105">
        <v>193.91</v>
      </c>
      <c r="U146" s="22">
        <f t="shared" si="18"/>
        <v>-1.9963610633781548E-2</v>
      </c>
      <c r="V146" s="2"/>
      <c r="W146" s="100">
        <v>44689</v>
      </c>
      <c r="X146" s="105">
        <v>12.67</v>
      </c>
      <c r="Y146" s="22">
        <f t="shared" si="19"/>
        <v>-4.9512378094523642E-2</v>
      </c>
      <c r="Z146" s="2"/>
      <c r="AA146" s="100">
        <v>44689</v>
      </c>
      <c r="AB146" s="105">
        <v>14.37</v>
      </c>
      <c r="AC146" s="22">
        <f t="shared" si="20"/>
        <v>3.1586503948312958E-2</v>
      </c>
      <c r="AD146" s="2"/>
      <c r="AE146" s="100">
        <v>44689</v>
      </c>
      <c r="AF146" s="105">
        <v>161.33000000000001</v>
      </c>
      <c r="AG146" s="22">
        <f t="shared" si="21"/>
        <v>-6.9070975187536049E-2</v>
      </c>
    </row>
    <row r="147" spans="7:33" x14ac:dyDescent="0.25">
      <c r="G147" s="100">
        <v>44682</v>
      </c>
      <c r="H147" s="105">
        <v>4123.34</v>
      </c>
      <c r="I147" s="22">
        <f t="shared" si="15"/>
        <v>-2.0789316372736579E-3</v>
      </c>
      <c r="J147" s="2"/>
      <c r="K147" s="100">
        <v>44682</v>
      </c>
      <c r="L147" s="105">
        <v>39.58</v>
      </c>
      <c r="M147" s="22">
        <f t="shared" si="16"/>
        <v>4.4051701398048058E-2</v>
      </c>
      <c r="N147" s="2"/>
      <c r="O147" s="100">
        <v>44682</v>
      </c>
      <c r="P147" s="105">
        <v>288.55</v>
      </c>
      <c r="Q147" s="22">
        <f t="shared" si="17"/>
        <v>-5.857019810508143E-3</v>
      </c>
      <c r="R147" s="2"/>
      <c r="S147" s="100">
        <v>44682</v>
      </c>
      <c r="T147" s="105">
        <v>197.86</v>
      </c>
      <c r="U147" s="22">
        <f t="shared" si="18"/>
        <v>-5.6641556212453488E-2</v>
      </c>
      <c r="V147" s="2"/>
      <c r="W147" s="100">
        <v>44682</v>
      </c>
      <c r="X147" s="105">
        <v>13.33</v>
      </c>
      <c r="Y147" s="22">
        <f t="shared" si="19"/>
        <v>3.7650602409639092E-3</v>
      </c>
      <c r="Z147" s="2"/>
      <c r="AA147" s="100">
        <v>44682</v>
      </c>
      <c r="AB147" s="105">
        <v>13.93</v>
      </c>
      <c r="AC147" s="22">
        <f t="shared" si="20"/>
        <v>4.1884816753926739E-2</v>
      </c>
      <c r="AD147" s="2"/>
      <c r="AE147" s="100">
        <v>44682</v>
      </c>
      <c r="AF147" s="105">
        <v>173.3</v>
      </c>
      <c r="AG147" s="22">
        <f t="shared" si="21"/>
        <v>1.3450292397660886E-2</v>
      </c>
    </row>
    <row r="148" spans="7:33" x14ac:dyDescent="0.25">
      <c r="G148" s="100">
        <v>44675</v>
      </c>
      <c r="H148" s="105">
        <v>4131.93</v>
      </c>
      <c r="I148" s="22">
        <f t="shared" si="15"/>
        <v>-3.2738109172288712E-2</v>
      </c>
      <c r="J148" s="2"/>
      <c r="K148" s="100">
        <v>44675</v>
      </c>
      <c r="L148" s="105">
        <v>37.909999999999997</v>
      </c>
      <c r="M148" s="22">
        <f t="shared" si="16"/>
        <v>-4.8443775100401772E-2</v>
      </c>
      <c r="N148" s="2"/>
      <c r="O148" s="100">
        <v>44675</v>
      </c>
      <c r="P148" s="105">
        <v>290.25</v>
      </c>
      <c r="Q148" s="22">
        <f t="shared" si="17"/>
        <v>-0.1336338129066921</v>
      </c>
      <c r="R148" s="2"/>
      <c r="S148" s="100">
        <v>44675</v>
      </c>
      <c r="T148" s="105">
        <v>209.74</v>
      </c>
      <c r="U148" s="22">
        <f t="shared" si="18"/>
        <v>-3.4210776394564234E-3</v>
      </c>
      <c r="V148" s="2"/>
      <c r="W148" s="100">
        <v>44675</v>
      </c>
      <c r="X148" s="105">
        <v>13.28</v>
      </c>
      <c r="Y148" s="22">
        <f t="shared" si="19"/>
        <v>-6.4129668780831581E-2</v>
      </c>
      <c r="Z148" s="2"/>
      <c r="AA148" s="100">
        <v>44675</v>
      </c>
      <c r="AB148" s="105">
        <v>13.37</v>
      </c>
      <c r="AC148" s="22">
        <f t="shared" si="20"/>
        <v>-4.6362339514978632E-2</v>
      </c>
      <c r="AD148" s="2"/>
      <c r="AE148" s="100">
        <v>44675</v>
      </c>
      <c r="AF148" s="105">
        <v>171</v>
      </c>
      <c r="AG148" s="22">
        <f t="shared" si="21"/>
        <v>8.6710316758095846E-3</v>
      </c>
    </row>
    <row r="149" spans="7:33" x14ac:dyDescent="0.25">
      <c r="G149" s="100">
        <v>44668</v>
      </c>
      <c r="H149" s="105">
        <v>4271.78</v>
      </c>
      <c r="I149" s="22">
        <f t="shared" si="15"/>
        <v>-2.750313596306516E-2</v>
      </c>
      <c r="J149" s="2"/>
      <c r="K149" s="100">
        <v>44668</v>
      </c>
      <c r="L149" s="105">
        <v>39.840000000000003</v>
      </c>
      <c r="M149" s="22">
        <f t="shared" si="16"/>
        <v>-7.2265138300523085E-3</v>
      </c>
      <c r="N149" s="2"/>
      <c r="O149" s="100">
        <v>44668</v>
      </c>
      <c r="P149" s="105">
        <v>335.02</v>
      </c>
      <c r="Q149" s="22">
        <f t="shared" si="17"/>
        <v>2.0375841379100288E-2</v>
      </c>
      <c r="R149" s="2"/>
      <c r="S149" s="100">
        <v>44668</v>
      </c>
      <c r="T149" s="105">
        <v>210.46</v>
      </c>
      <c r="U149" s="22">
        <f t="shared" si="18"/>
        <v>-4.3320150915950727E-2</v>
      </c>
      <c r="V149" s="2"/>
      <c r="W149" s="100">
        <v>44668</v>
      </c>
      <c r="X149" s="105">
        <v>14.19</v>
      </c>
      <c r="Y149" s="22">
        <f t="shared" si="19"/>
        <v>-2.2727272727272731E-2</v>
      </c>
      <c r="Z149" s="2"/>
      <c r="AA149" s="100">
        <v>44668</v>
      </c>
      <c r="AB149" s="105">
        <v>14.02</v>
      </c>
      <c r="AC149" s="22">
        <f t="shared" si="20"/>
        <v>-6.5333333333333368E-2</v>
      </c>
      <c r="AD149" s="2"/>
      <c r="AE149" s="100">
        <v>44668</v>
      </c>
      <c r="AF149" s="105">
        <v>169.53</v>
      </c>
      <c r="AG149" s="22">
        <f t="shared" si="21"/>
        <v>1.3571684802104569E-2</v>
      </c>
    </row>
    <row r="150" spans="7:33" x14ac:dyDescent="0.25">
      <c r="G150" s="100">
        <v>44661</v>
      </c>
      <c r="H150" s="105">
        <v>4392.59</v>
      </c>
      <c r="I150" s="22">
        <f t="shared" si="15"/>
        <v>-2.1319971124796049E-2</v>
      </c>
      <c r="J150" s="2"/>
      <c r="K150" s="100">
        <v>44661</v>
      </c>
      <c r="L150" s="105">
        <v>40.130000000000003</v>
      </c>
      <c r="M150" s="22">
        <f t="shared" si="16"/>
        <v>1.9822109275730651E-2</v>
      </c>
      <c r="N150" s="2"/>
      <c r="O150" s="100">
        <v>44661</v>
      </c>
      <c r="P150" s="105">
        <v>328.33</v>
      </c>
      <c r="Q150" s="22">
        <f t="shared" si="17"/>
        <v>-3.9493315390691279E-2</v>
      </c>
      <c r="R150" s="2"/>
      <c r="S150" s="100">
        <v>44661</v>
      </c>
      <c r="T150" s="105">
        <v>219.99</v>
      </c>
      <c r="U150" s="22">
        <f t="shared" si="18"/>
        <v>2.1866885335520853E-3</v>
      </c>
      <c r="V150" s="2"/>
      <c r="W150" s="100">
        <v>44661</v>
      </c>
      <c r="X150" s="105">
        <v>14.52</v>
      </c>
      <c r="Y150" s="22">
        <f t="shared" si="19"/>
        <v>2.8328611898017025E-2</v>
      </c>
      <c r="Z150" s="2"/>
      <c r="AA150" s="100">
        <v>44661</v>
      </c>
      <c r="AB150" s="105">
        <v>15</v>
      </c>
      <c r="AC150" s="22">
        <f t="shared" si="20"/>
        <v>1.0101010101010124E-2</v>
      </c>
      <c r="AD150" s="2"/>
      <c r="AE150" s="100">
        <v>44661</v>
      </c>
      <c r="AF150" s="105">
        <v>167.26</v>
      </c>
      <c r="AG150" s="22">
        <f t="shared" si="21"/>
        <v>-2.0611312800093748E-2</v>
      </c>
    </row>
    <row r="151" spans="7:33" x14ac:dyDescent="0.25">
      <c r="G151" s="100">
        <v>44654</v>
      </c>
      <c r="H151" s="105">
        <v>4488.28</v>
      </c>
      <c r="I151" s="22">
        <f t="shared" si="15"/>
        <v>-1.2666470150862528E-2</v>
      </c>
      <c r="J151" s="2"/>
      <c r="K151" s="100">
        <v>44654</v>
      </c>
      <c r="L151" s="105">
        <v>39.35</v>
      </c>
      <c r="M151" s="22">
        <f t="shared" si="16"/>
        <v>-8.403165735567969E-2</v>
      </c>
      <c r="N151" s="2"/>
      <c r="O151" s="100">
        <v>44654</v>
      </c>
      <c r="P151" s="105">
        <v>341.83</v>
      </c>
      <c r="Q151" s="22">
        <f t="shared" si="17"/>
        <v>-5.4490637014908833E-2</v>
      </c>
      <c r="R151" s="2"/>
      <c r="S151" s="100">
        <v>44654</v>
      </c>
      <c r="T151" s="105">
        <v>219.51</v>
      </c>
      <c r="U151" s="22">
        <f t="shared" si="18"/>
        <v>-7.1015017188349079E-3</v>
      </c>
      <c r="V151" s="2"/>
      <c r="W151" s="100">
        <v>44654</v>
      </c>
      <c r="X151" s="105">
        <v>14.12</v>
      </c>
      <c r="Y151" s="22">
        <f t="shared" si="19"/>
        <v>-9.6030729833546741E-2</v>
      </c>
      <c r="Z151" s="2"/>
      <c r="AA151" s="100">
        <v>44654</v>
      </c>
      <c r="AB151" s="105">
        <v>14.85</v>
      </c>
      <c r="AC151" s="22">
        <f t="shared" si="20"/>
        <v>-9.1743119266055148E-2</v>
      </c>
      <c r="AD151" s="2"/>
      <c r="AE151" s="100">
        <v>44654</v>
      </c>
      <c r="AF151" s="105">
        <v>170.78</v>
      </c>
      <c r="AG151" s="22">
        <f t="shared" si="21"/>
        <v>-5.3168486998946628E-2</v>
      </c>
    </row>
    <row r="152" spans="7:33" x14ac:dyDescent="0.25">
      <c r="G152" s="100">
        <v>44647</v>
      </c>
      <c r="H152" s="105">
        <v>4545.8599999999997</v>
      </c>
      <c r="I152" s="22">
        <f t="shared" si="15"/>
        <v>6.1632467984118022E-4</v>
      </c>
      <c r="J152" s="2"/>
      <c r="K152" s="100">
        <v>44647</v>
      </c>
      <c r="L152" s="105">
        <v>42.96</v>
      </c>
      <c r="M152" s="22">
        <f t="shared" si="16"/>
        <v>-1.5807560137456992E-2</v>
      </c>
      <c r="N152" s="2"/>
      <c r="O152" s="100">
        <v>44647</v>
      </c>
      <c r="P152" s="105">
        <v>361.53</v>
      </c>
      <c r="Q152" s="22">
        <f t="shared" si="17"/>
        <v>7.3171455711232417E-2</v>
      </c>
      <c r="R152" s="2"/>
      <c r="S152" s="100">
        <v>44647</v>
      </c>
      <c r="T152" s="105">
        <v>221.08</v>
      </c>
      <c r="U152" s="22">
        <f t="shared" si="18"/>
        <v>3.6280116246367344E-2</v>
      </c>
      <c r="V152" s="2"/>
      <c r="W152" s="100">
        <v>44647</v>
      </c>
      <c r="X152" s="105">
        <v>15.62</v>
      </c>
      <c r="Y152" s="22">
        <f t="shared" si="19"/>
        <v>1.1003236245954688E-2</v>
      </c>
      <c r="Z152" s="2"/>
      <c r="AA152" s="100">
        <v>44647</v>
      </c>
      <c r="AB152" s="105">
        <v>16.350000000000001</v>
      </c>
      <c r="AC152" s="22">
        <f t="shared" si="20"/>
        <v>3.0895334174022824E-2</v>
      </c>
      <c r="AD152" s="2"/>
      <c r="AE152" s="100">
        <v>44647</v>
      </c>
      <c r="AF152" s="105">
        <v>180.37</v>
      </c>
      <c r="AG152" s="22">
        <f t="shared" si="21"/>
        <v>1.0872611107997521E-2</v>
      </c>
    </row>
    <row r="153" spans="7:33" x14ac:dyDescent="0.25">
      <c r="G153" s="100">
        <v>44640</v>
      </c>
      <c r="H153" s="105">
        <v>4543.0600000000004</v>
      </c>
      <c r="I153" s="22">
        <f t="shared" si="15"/>
        <v>1.7911236982200908E-2</v>
      </c>
      <c r="J153" s="2"/>
      <c r="K153" s="100">
        <v>44640</v>
      </c>
      <c r="L153" s="105">
        <v>43.65</v>
      </c>
      <c r="M153" s="22">
        <f t="shared" si="16"/>
        <v>-2.6104417670682768E-2</v>
      </c>
      <c r="N153" s="2"/>
      <c r="O153" s="100">
        <v>44640</v>
      </c>
      <c r="P153" s="105">
        <v>336.88</v>
      </c>
      <c r="Q153" s="22">
        <f t="shared" si="17"/>
        <v>0.11623591782637503</v>
      </c>
      <c r="R153" s="2"/>
      <c r="S153" s="100">
        <v>44640</v>
      </c>
      <c r="T153" s="105">
        <v>213.34</v>
      </c>
      <c r="U153" s="22">
        <f t="shared" si="18"/>
        <v>1.779495253089065E-2</v>
      </c>
      <c r="V153" s="2"/>
      <c r="W153" s="100">
        <v>44640</v>
      </c>
      <c r="X153" s="105">
        <v>15.45</v>
      </c>
      <c r="Y153" s="22">
        <f t="shared" si="19"/>
        <v>-2.3388116308470354E-2</v>
      </c>
      <c r="Z153" s="2"/>
      <c r="AA153" s="100">
        <v>44640</v>
      </c>
      <c r="AB153" s="105">
        <v>15.86</v>
      </c>
      <c r="AC153" s="22">
        <f t="shared" si="20"/>
        <v>-2.6993865030674923E-2</v>
      </c>
      <c r="AD153" s="2"/>
      <c r="AE153" s="100">
        <v>44640</v>
      </c>
      <c r="AF153" s="105">
        <v>178.43</v>
      </c>
      <c r="AG153" s="22">
        <f t="shared" si="21"/>
        <v>3.9196272568433423E-2</v>
      </c>
    </row>
    <row r="154" spans="7:33" x14ac:dyDescent="0.25">
      <c r="G154" s="100">
        <v>44633</v>
      </c>
      <c r="H154" s="105">
        <v>4463.12</v>
      </c>
      <c r="I154" s="22">
        <f t="shared" si="15"/>
        <v>6.1558258073262789E-2</v>
      </c>
      <c r="J154" s="2"/>
      <c r="K154" s="100">
        <v>44633</v>
      </c>
      <c r="L154" s="105">
        <v>44.82</v>
      </c>
      <c r="M154" s="22">
        <f t="shared" si="16"/>
        <v>7.9739821729703744E-2</v>
      </c>
      <c r="N154" s="2"/>
      <c r="O154" s="100">
        <v>44633</v>
      </c>
      <c r="P154" s="105">
        <v>301.8</v>
      </c>
      <c r="Q154" s="22">
        <f t="shared" si="17"/>
        <v>0.13835244417622211</v>
      </c>
      <c r="R154" s="2"/>
      <c r="S154" s="100">
        <v>44633</v>
      </c>
      <c r="T154" s="105">
        <v>209.61</v>
      </c>
      <c r="U154" s="22">
        <f t="shared" si="18"/>
        <v>0.10060383302704136</v>
      </c>
      <c r="V154" s="2"/>
      <c r="W154" s="100">
        <v>44633</v>
      </c>
      <c r="X154" s="105">
        <v>15.82</v>
      </c>
      <c r="Y154" s="22">
        <f t="shared" si="19"/>
        <v>5.116279069767439E-2</v>
      </c>
      <c r="Z154" s="2"/>
      <c r="AA154" s="100">
        <v>44633</v>
      </c>
      <c r="AB154" s="105">
        <v>16.3</v>
      </c>
      <c r="AC154" s="22">
        <f t="shared" si="20"/>
        <v>0.11720356408498978</v>
      </c>
      <c r="AD154" s="2"/>
      <c r="AE154" s="100">
        <v>44633</v>
      </c>
      <c r="AF154" s="105">
        <v>171.7</v>
      </c>
      <c r="AG154" s="22">
        <f t="shared" si="21"/>
        <v>8.485499462943058E-2</v>
      </c>
    </row>
    <row r="155" spans="7:33" x14ac:dyDescent="0.25">
      <c r="G155" s="100">
        <v>44626</v>
      </c>
      <c r="H155" s="105">
        <v>4204.3100000000004</v>
      </c>
      <c r="I155" s="22">
        <f t="shared" si="15"/>
        <v>-2.8774252865066286E-2</v>
      </c>
      <c r="J155" s="2"/>
      <c r="K155" s="100">
        <v>44626</v>
      </c>
      <c r="L155" s="105">
        <v>41.51</v>
      </c>
      <c r="M155" s="22">
        <f t="shared" si="16"/>
        <v>-2.0990566037735862E-2</v>
      </c>
      <c r="N155" s="2"/>
      <c r="O155" s="100">
        <v>44626</v>
      </c>
      <c r="P155" s="105">
        <v>265.12</v>
      </c>
      <c r="Q155" s="22">
        <f t="shared" si="17"/>
        <v>-5.1211394624771867E-2</v>
      </c>
      <c r="R155" s="2"/>
      <c r="S155" s="100">
        <v>44626</v>
      </c>
      <c r="T155" s="105">
        <v>190.45</v>
      </c>
      <c r="U155" s="22">
        <f t="shared" si="18"/>
        <v>-4.011894561766044E-2</v>
      </c>
      <c r="V155" s="2"/>
      <c r="W155" s="100">
        <v>44626</v>
      </c>
      <c r="X155" s="105">
        <v>15.05</v>
      </c>
      <c r="Y155" s="22">
        <f t="shared" si="19"/>
        <v>-4.8070841239721683E-2</v>
      </c>
      <c r="Z155" s="2"/>
      <c r="AA155" s="100">
        <v>44626</v>
      </c>
      <c r="AB155" s="105">
        <v>14.59</v>
      </c>
      <c r="AC155" s="22">
        <f t="shared" si="20"/>
        <v>-2.99202127659574E-2</v>
      </c>
      <c r="AD155" s="2"/>
      <c r="AE155" s="100">
        <v>44626</v>
      </c>
      <c r="AF155" s="105">
        <v>158.27000000000001</v>
      </c>
      <c r="AG155" s="22">
        <f t="shared" si="21"/>
        <v>-7.3089311859443576E-2</v>
      </c>
    </row>
    <row r="156" spans="7:33" x14ac:dyDescent="0.25">
      <c r="G156" s="100">
        <v>44619</v>
      </c>
      <c r="H156" s="105">
        <v>4328.87</v>
      </c>
      <c r="I156" s="22">
        <f t="shared" si="15"/>
        <v>-1.2721653951854709E-2</v>
      </c>
      <c r="J156" s="2"/>
      <c r="K156" s="100">
        <v>44619</v>
      </c>
      <c r="L156" s="105">
        <v>42.4</v>
      </c>
      <c r="M156" s="22">
        <f t="shared" si="16"/>
        <v>-0.10605102255956149</v>
      </c>
      <c r="N156" s="2"/>
      <c r="O156" s="100">
        <v>44619</v>
      </c>
      <c r="P156" s="105">
        <v>279.43</v>
      </c>
      <c r="Q156" s="22">
        <f t="shared" si="17"/>
        <v>3.5079271003111673E-2</v>
      </c>
      <c r="R156" s="2"/>
      <c r="S156" s="100">
        <v>44619</v>
      </c>
      <c r="T156" s="105">
        <v>198.41</v>
      </c>
      <c r="U156" s="22">
        <f t="shared" si="18"/>
        <v>-7.0330803111236018E-2</v>
      </c>
      <c r="V156" s="2"/>
      <c r="W156" s="100">
        <v>44619</v>
      </c>
      <c r="X156" s="105">
        <v>15.81</v>
      </c>
      <c r="Y156" s="22">
        <f t="shared" si="19"/>
        <v>-5.499103407053197E-2</v>
      </c>
      <c r="Z156" s="2"/>
      <c r="AA156" s="100">
        <v>44619</v>
      </c>
      <c r="AB156" s="105">
        <v>15.04</v>
      </c>
      <c r="AC156" s="22">
        <f t="shared" si="20"/>
        <v>-0.214621409921671</v>
      </c>
      <c r="AD156" s="2"/>
      <c r="AE156" s="100">
        <v>44619</v>
      </c>
      <c r="AF156" s="105">
        <v>170.75</v>
      </c>
      <c r="AG156" s="22">
        <f t="shared" si="21"/>
        <v>-7.8918977235947763E-2</v>
      </c>
    </row>
    <row r="157" spans="7:33" x14ac:dyDescent="0.25">
      <c r="G157" s="100">
        <v>44612</v>
      </c>
      <c r="H157" s="105">
        <v>4384.6499999999996</v>
      </c>
      <c r="I157" s="22">
        <f t="shared" si="15"/>
        <v>8.2274245953545978E-3</v>
      </c>
      <c r="J157" s="2"/>
      <c r="K157" s="100">
        <v>44612</v>
      </c>
      <c r="L157" s="105">
        <v>47.43</v>
      </c>
      <c r="M157" s="22">
        <f t="shared" si="16"/>
        <v>-2.4074074074074109E-2</v>
      </c>
      <c r="N157" s="2"/>
      <c r="O157" s="100">
        <v>44612</v>
      </c>
      <c r="P157" s="105">
        <v>269.95999999999998</v>
      </c>
      <c r="Q157" s="22">
        <f t="shared" si="17"/>
        <v>-5.4960442484072128E-2</v>
      </c>
      <c r="R157" s="2"/>
      <c r="S157" s="100">
        <v>44612</v>
      </c>
      <c r="T157" s="105">
        <v>213.42</v>
      </c>
      <c r="U157" s="22">
        <f t="shared" si="18"/>
        <v>-3.158181323169075E-2</v>
      </c>
      <c r="V157" s="2"/>
      <c r="W157" s="100">
        <v>44612</v>
      </c>
      <c r="X157" s="105">
        <v>16.73</v>
      </c>
      <c r="Y157" s="22">
        <f t="shared" si="19"/>
        <v>-1.1229314420803858E-2</v>
      </c>
      <c r="Z157" s="2"/>
      <c r="AA157" s="100">
        <v>44612</v>
      </c>
      <c r="AB157" s="105">
        <v>19.149999999999999</v>
      </c>
      <c r="AC157" s="22">
        <f t="shared" si="20"/>
        <v>1.3227513227513229E-2</v>
      </c>
      <c r="AD157" s="2"/>
      <c r="AE157" s="100">
        <v>44612</v>
      </c>
      <c r="AF157" s="105">
        <v>185.38</v>
      </c>
      <c r="AG157" s="22">
        <f t="shared" si="21"/>
        <v>-1.8997724506535446E-2</v>
      </c>
    </row>
    <row r="158" spans="7:33" x14ac:dyDescent="0.25">
      <c r="G158" s="100">
        <v>44605</v>
      </c>
      <c r="H158" s="105">
        <v>4348.87</v>
      </c>
      <c r="I158" s="22">
        <f t="shared" si="15"/>
        <v>-1.5789926312168547E-2</v>
      </c>
      <c r="J158" s="2"/>
      <c r="K158" s="100">
        <v>44605</v>
      </c>
      <c r="L158" s="105">
        <v>48.6</v>
      </c>
      <c r="M158" s="22">
        <f t="shared" si="16"/>
        <v>-4.7102191275854369E-3</v>
      </c>
      <c r="N158" s="2"/>
      <c r="O158" s="100">
        <v>44605</v>
      </c>
      <c r="P158" s="105">
        <v>285.66000000000003</v>
      </c>
      <c r="Q158" s="22">
        <f t="shared" si="17"/>
        <v>-3.523214846338964E-3</v>
      </c>
      <c r="R158" s="2"/>
      <c r="S158" s="100">
        <v>44605</v>
      </c>
      <c r="T158" s="105">
        <v>220.38</v>
      </c>
      <c r="U158" s="22">
        <f t="shared" si="18"/>
        <v>1.0129715359582014E-2</v>
      </c>
      <c r="V158" s="2"/>
      <c r="W158" s="100">
        <v>44605</v>
      </c>
      <c r="X158" s="105">
        <v>16.920000000000002</v>
      </c>
      <c r="Y158" s="22">
        <f t="shared" si="19"/>
        <v>2.7946537059538326E-2</v>
      </c>
      <c r="Z158" s="2"/>
      <c r="AA158" s="100">
        <v>44605</v>
      </c>
      <c r="AB158" s="105">
        <v>18.899999999999999</v>
      </c>
      <c r="AC158" s="22">
        <f t="shared" si="20"/>
        <v>1.1235955056179629E-2</v>
      </c>
      <c r="AD158" s="2"/>
      <c r="AE158" s="100">
        <v>44605</v>
      </c>
      <c r="AF158" s="105">
        <v>188.97</v>
      </c>
      <c r="AG158" s="22">
        <f t="shared" si="21"/>
        <v>-1.9407399719786254E-2</v>
      </c>
    </row>
    <row r="159" spans="7:33" x14ac:dyDescent="0.25">
      <c r="G159" s="100">
        <v>44598</v>
      </c>
      <c r="H159" s="105">
        <v>4418.6400000000003</v>
      </c>
      <c r="I159" s="22">
        <f t="shared" si="15"/>
        <v>-1.8195634736353147E-2</v>
      </c>
      <c r="J159" s="2"/>
      <c r="K159" s="100">
        <v>44598</v>
      </c>
      <c r="L159" s="105">
        <v>48.83</v>
      </c>
      <c r="M159" s="22">
        <f t="shared" si="16"/>
        <v>-4.7962565802300662E-2</v>
      </c>
      <c r="N159" s="2"/>
      <c r="O159" s="100">
        <v>44598</v>
      </c>
      <c r="P159" s="105">
        <v>286.67</v>
      </c>
      <c r="Q159" s="22">
        <f t="shared" si="17"/>
        <v>-6.8557689183481069E-2</v>
      </c>
      <c r="R159" s="2"/>
      <c r="S159" s="100">
        <v>44598</v>
      </c>
      <c r="T159" s="105">
        <v>218.17</v>
      </c>
      <c r="U159" s="22">
        <f t="shared" si="18"/>
        <v>-5.1970625298744223E-2</v>
      </c>
      <c r="V159" s="2"/>
      <c r="W159" s="100">
        <v>44598</v>
      </c>
      <c r="X159" s="105">
        <v>16.46</v>
      </c>
      <c r="Y159" s="22">
        <f t="shared" si="19"/>
        <v>-2.3145400593471841E-2</v>
      </c>
      <c r="Z159" s="2"/>
      <c r="AA159" s="100">
        <v>44598</v>
      </c>
      <c r="AB159" s="105">
        <v>18.690000000000001</v>
      </c>
      <c r="AC159" s="22">
        <f t="shared" si="20"/>
        <v>-1.6315789473684145E-2</v>
      </c>
      <c r="AD159" s="2"/>
      <c r="AE159" s="100">
        <v>44598</v>
      </c>
      <c r="AF159" s="105">
        <v>192.71</v>
      </c>
      <c r="AG159" s="22">
        <f t="shared" si="21"/>
        <v>-2.11804144656643E-2</v>
      </c>
    </row>
    <row r="160" spans="7:33" x14ac:dyDescent="0.25">
      <c r="G160" s="100">
        <v>44591</v>
      </c>
      <c r="H160" s="105">
        <v>4500.53</v>
      </c>
      <c r="I160" s="22">
        <f t="shared" si="15"/>
        <v>1.5496914381127378E-2</v>
      </c>
      <c r="J160" s="2"/>
      <c r="K160" s="100">
        <v>44591</v>
      </c>
      <c r="L160" s="105">
        <v>51.29</v>
      </c>
      <c r="M160" s="22">
        <f t="shared" si="16"/>
        <v>2.0899681528662364E-2</v>
      </c>
      <c r="N160" s="2"/>
      <c r="O160" s="100">
        <v>44591</v>
      </c>
      <c r="P160" s="105">
        <v>307.77</v>
      </c>
      <c r="Q160" s="22">
        <f t="shared" si="17"/>
        <v>9.091875797532957E-2</v>
      </c>
      <c r="R160" s="2"/>
      <c r="S160" s="100">
        <v>44591</v>
      </c>
      <c r="T160" s="105">
        <v>230.13</v>
      </c>
      <c r="U160" s="22">
        <f t="shared" si="18"/>
        <v>1.3877874702616996E-2</v>
      </c>
      <c r="V160" s="2"/>
      <c r="W160" s="100">
        <v>44591</v>
      </c>
      <c r="X160" s="105">
        <v>16.850000000000001</v>
      </c>
      <c r="Y160" s="22">
        <f t="shared" si="19"/>
        <v>-8.0741953082378456E-2</v>
      </c>
      <c r="Z160" s="2"/>
      <c r="AA160" s="100">
        <v>44591</v>
      </c>
      <c r="AB160" s="105">
        <v>19</v>
      </c>
      <c r="AC160" s="22">
        <f t="shared" si="20"/>
        <v>-1.041666666666663E-2</v>
      </c>
      <c r="AD160" s="2"/>
      <c r="AE160" s="100">
        <v>44591</v>
      </c>
      <c r="AF160" s="105">
        <v>196.88</v>
      </c>
      <c r="AG160" s="22">
        <f t="shared" si="21"/>
        <v>1.9416973023352147E-2</v>
      </c>
    </row>
    <row r="161" spans="7:33" x14ac:dyDescent="0.25">
      <c r="G161" s="100">
        <v>44584</v>
      </c>
      <c r="H161" s="105">
        <v>4431.8500000000004</v>
      </c>
      <c r="I161" s="22">
        <f t="shared" si="15"/>
        <v>7.7104280640483422E-3</v>
      </c>
      <c r="J161" s="2"/>
      <c r="K161" s="100">
        <v>44584</v>
      </c>
      <c r="L161" s="105">
        <v>50.24</v>
      </c>
      <c r="M161" s="22">
        <f t="shared" si="16"/>
        <v>-5.7057057057057041E-2</v>
      </c>
      <c r="N161" s="2"/>
      <c r="O161" s="100">
        <v>44584</v>
      </c>
      <c r="P161" s="105">
        <v>282.12</v>
      </c>
      <c r="Q161" s="22">
        <f t="shared" si="17"/>
        <v>-0.10332771827225627</v>
      </c>
      <c r="R161" s="2"/>
      <c r="S161" s="100">
        <v>44584</v>
      </c>
      <c r="T161" s="105">
        <v>226.98</v>
      </c>
      <c r="U161" s="22">
        <f t="shared" si="18"/>
        <v>-2.2943480693900446E-2</v>
      </c>
      <c r="V161" s="2"/>
      <c r="W161" s="100">
        <v>44584</v>
      </c>
      <c r="X161" s="105">
        <v>18.329999999999998</v>
      </c>
      <c r="Y161" s="22">
        <f t="shared" si="19"/>
        <v>-5.3691275167785373E-2</v>
      </c>
      <c r="Z161" s="2"/>
      <c r="AA161" s="100">
        <v>44584</v>
      </c>
      <c r="AB161" s="105">
        <v>19.2</v>
      </c>
      <c r="AC161" s="22">
        <f t="shared" si="20"/>
        <v>-5.1383399209486126E-2</v>
      </c>
      <c r="AD161" s="2"/>
      <c r="AE161" s="100">
        <v>44584</v>
      </c>
      <c r="AF161" s="105">
        <v>193.13</v>
      </c>
      <c r="AG161" s="22">
        <f t="shared" si="21"/>
        <v>-3.3238223957551258E-2</v>
      </c>
    </row>
    <row r="162" spans="7:33" x14ac:dyDescent="0.25">
      <c r="G162" s="100">
        <v>44577</v>
      </c>
      <c r="H162" s="105">
        <v>4397.9399999999996</v>
      </c>
      <c r="I162" s="22">
        <f t="shared" si="15"/>
        <v>-5.681289340210402E-2</v>
      </c>
      <c r="J162" s="2"/>
      <c r="K162" s="100">
        <v>44577</v>
      </c>
      <c r="L162" s="105">
        <v>53.28</v>
      </c>
      <c r="M162" s="22">
        <f t="shared" si="16"/>
        <v>-0.12798690671031096</v>
      </c>
      <c r="N162" s="2"/>
      <c r="O162" s="100">
        <v>44577</v>
      </c>
      <c r="P162" s="105">
        <v>314.63</v>
      </c>
      <c r="Q162" s="22">
        <f t="shared" si="17"/>
        <v>-0.10072312573241492</v>
      </c>
      <c r="R162" s="2"/>
      <c r="S162" s="100">
        <v>44577</v>
      </c>
      <c r="T162" s="105">
        <v>232.31</v>
      </c>
      <c r="U162" s="22">
        <f t="shared" si="18"/>
        <v>-5.3302905578874384E-2</v>
      </c>
      <c r="V162" s="2"/>
      <c r="W162" s="100">
        <v>44577</v>
      </c>
      <c r="X162" s="105">
        <v>19.37</v>
      </c>
      <c r="Y162" s="22">
        <f t="shared" si="19"/>
        <v>-0.18027930596699104</v>
      </c>
      <c r="Z162" s="2"/>
      <c r="AA162" s="100">
        <v>44577</v>
      </c>
      <c r="AB162" s="105">
        <v>20.239999999999998</v>
      </c>
      <c r="AC162" s="22">
        <f t="shared" si="20"/>
        <v>-6.9852941176470729E-2</v>
      </c>
      <c r="AD162" s="2"/>
      <c r="AE162" s="100">
        <v>44577</v>
      </c>
      <c r="AF162" s="105">
        <v>199.77</v>
      </c>
      <c r="AG162" s="22">
        <f t="shared" si="21"/>
        <v>-5.1829702406378984E-2</v>
      </c>
    </row>
    <row r="163" spans="7:33" x14ac:dyDescent="0.25">
      <c r="G163" s="100">
        <v>44570</v>
      </c>
      <c r="H163" s="105">
        <v>4662.8500000000004</v>
      </c>
      <c r="I163" s="22">
        <f t="shared" si="15"/>
        <v>-3.0318385813217752E-3</v>
      </c>
      <c r="J163" s="2"/>
      <c r="K163" s="100">
        <v>44570</v>
      </c>
      <c r="L163" s="105">
        <v>61.1</v>
      </c>
      <c r="M163" s="22">
        <f t="shared" si="16"/>
        <v>-1.8789144050104411E-2</v>
      </c>
      <c r="N163" s="2"/>
      <c r="O163" s="100">
        <v>44570</v>
      </c>
      <c r="P163" s="105">
        <v>349.87</v>
      </c>
      <c r="Q163" s="22">
        <f t="shared" si="17"/>
        <v>2.2055386772610458E-2</v>
      </c>
      <c r="R163" s="2"/>
      <c r="S163" s="100">
        <v>44570</v>
      </c>
      <c r="T163" s="105">
        <v>245.39</v>
      </c>
      <c r="U163" s="22">
        <f t="shared" si="18"/>
        <v>-4.5249396934090719E-2</v>
      </c>
      <c r="V163" s="2"/>
      <c r="W163" s="100">
        <v>44570</v>
      </c>
      <c r="X163" s="105">
        <v>23.63</v>
      </c>
      <c r="Y163" s="22">
        <f t="shared" si="19"/>
        <v>3.0527692978630585E-2</v>
      </c>
      <c r="Z163" s="2"/>
      <c r="AA163" s="100">
        <v>44570</v>
      </c>
      <c r="AB163" s="105">
        <v>21.76</v>
      </c>
      <c r="AC163" s="22">
        <f t="shared" si="20"/>
        <v>6.4579256360078288E-2</v>
      </c>
      <c r="AD163" s="2"/>
      <c r="AE163" s="100">
        <v>44570</v>
      </c>
      <c r="AF163" s="105">
        <v>210.69</v>
      </c>
      <c r="AG163" s="22">
        <f t="shared" si="21"/>
        <v>5.1137497505487926E-2</v>
      </c>
    </row>
    <row r="164" spans="7:33" x14ac:dyDescent="0.25">
      <c r="G164" s="101">
        <v>44563</v>
      </c>
      <c r="H164" s="106">
        <v>4677.03</v>
      </c>
      <c r="I164" s="102"/>
      <c r="J164" s="2"/>
      <c r="K164" s="101">
        <v>44563</v>
      </c>
      <c r="L164" s="106">
        <v>62.27</v>
      </c>
      <c r="M164" s="92"/>
      <c r="N164" s="2"/>
      <c r="O164" s="101">
        <v>44563</v>
      </c>
      <c r="P164" s="106">
        <v>342.32</v>
      </c>
      <c r="Q164" s="92"/>
      <c r="R164" s="2"/>
      <c r="S164" s="101">
        <v>44563</v>
      </c>
      <c r="T164" s="106">
        <v>257.02</v>
      </c>
      <c r="U164" s="92"/>
      <c r="V164" s="2"/>
      <c r="W164" s="101">
        <v>44563</v>
      </c>
      <c r="X164" s="106">
        <v>22.93</v>
      </c>
      <c r="Y164" s="92"/>
      <c r="Z164" s="2"/>
      <c r="AA164" s="101">
        <v>44563</v>
      </c>
      <c r="AB164" s="106">
        <v>20.440000000000001</v>
      </c>
      <c r="AC164" s="92"/>
      <c r="AD164" s="2"/>
      <c r="AE164" s="101">
        <v>44563</v>
      </c>
      <c r="AF164" s="106">
        <v>200.44</v>
      </c>
      <c r="AG164" s="92"/>
    </row>
    <row r="165" spans="7:33" x14ac:dyDescent="0.25">
      <c r="G165" s="89">
        <f>SLOPE(I8:I163,$I$8:$I$163)</f>
        <v>1</v>
      </c>
      <c r="H165" s="2" t="s">
        <v>168</v>
      </c>
      <c r="I165" s="2"/>
      <c r="J165" s="2"/>
      <c r="K165" s="89">
        <f>SLOPE(M8:M163,$I$8:$I$163)</f>
        <v>1.4674009106547579</v>
      </c>
      <c r="L165" s="2" t="s">
        <v>168</v>
      </c>
      <c r="M165" s="2"/>
      <c r="N165" s="2"/>
      <c r="O165" s="89">
        <f>SLOPE(Q8:Q163,$I$8:$I$163)</f>
        <v>1.9878674188403553</v>
      </c>
      <c r="P165" s="2" t="s">
        <v>168</v>
      </c>
      <c r="Q165" s="2"/>
      <c r="R165" s="2"/>
      <c r="S165" s="89">
        <f>SLOPE(U8:U163,$I$8:$I$163)</f>
        <v>1.0349568356828875</v>
      </c>
      <c r="T165" s="2" t="s">
        <v>168</v>
      </c>
      <c r="U165" s="2"/>
      <c r="V165" s="2"/>
      <c r="W165" s="89">
        <f>SLOPE(Y8:Y163,$I$8:$I$163)</f>
        <v>1.5410532854590548</v>
      </c>
      <c r="X165" s="2" t="s">
        <v>168</v>
      </c>
      <c r="Y165" s="2"/>
      <c r="Z165" s="2"/>
      <c r="AA165" s="89">
        <f>SLOPE(AC8:AC163,$I$8:$I$163)</f>
        <v>1.154108984252775</v>
      </c>
      <c r="AB165" s="2" t="s">
        <v>168</v>
      </c>
      <c r="AC165" s="2"/>
      <c r="AD165" s="2"/>
      <c r="AE165" s="89">
        <f>SLOPE(AG8:AG163,$I$8:$I$163)</f>
        <v>0.83561622914908806</v>
      </c>
      <c r="AF165" s="2" t="s">
        <v>168</v>
      </c>
      <c r="AG165" s="2"/>
    </row>
  </sheetData>
  <mergeCells count="15">
    <mergeCell ref="B2:B3"/>
    <mergeCell ref="G5:I5"/>
    <mergeCell ref="G6:I6"/>
    <mergeCell ref="AE6:AG6"/>
    <mergeCell ref="AE5:AG5"/>
    <mergeCell ref="AA6:AC6"/>
    <mergeCell ref="AA5:AC5"/>
    <mergeCell ref="K6:M6"/>
    <mergeCell ref="K5:M5"/>
    <mergeCell ref="W6:Y6"/>
    <mergeCell ref="W5:Y5"/>
    <mergeCell ref="S6:U6"/>
    <mergeCell ref="S5:U5"/>
    <mergeCell ref="O6:Q6"/>
    <mergeCell ref="O5:Q5"/>
  </mergeCell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779E-77D3-4E7C-83DB-4BCF0082F3BE}">
  <dimension ref="B2:L59"/>
  <sheetViews>
    <sheetView showGridLines="0" zoomScale="80" zoomScaleNormal="8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B6" sqref="B6"/>
    </sheetView>
  </sheetViews>
  <sheetFormatPr defaultRowHeight="15" x14ac:dyDescent="0.25"/>
  <cols>
    <col min="1" max="1" width="2" bestFit="1" customWidth="1"/>
    <col min="2" max="2" width="37.7109375" customWidth="1"/>
    <col min="3" max="3" width="2" bestFit="1" customWidth="1"/>
    <col min="4" max="4" width="28.5703125" bestFit="1" customWidth="1"/>
    <col min="5" max="5" width="9.85546875" bestFit="1" customWidth="1"/>
    <col min="6" max="6" width="12.7109375" bestFit="1" customWidth="1"/>
    <col min="7" max="7" width="9.42578125" bestFit="1" customWidth="1"/>
    <col min="8" max="8" width="11.42578125" bestFit="1" customWidth="1"/>
    <col min="9" max="9" width="16.42578125" bestFit="1" customWidth="1"/>
    <col min="10" max="10" width="16.28515625" bestFit="1" customWidth="1"/>
    <col min="12" max="12" width="9.85546875" bestFit="1" customWidth="1"/>
  </cols>
  <sheetData>
    <row r="2" spans="2:10" x14ac:dyDescent="0.25">
      <c r="B2" s="324"/>
    </row>
    <row r="3" spans="2:10" x14ac:dyDescent="0.25">
      <c r="B3" s="324"/>
    </row>
    <row r="5" spans="2:10" x14ac:dyDescent="0.25">
      <c r="B5" s="337" t="s">
        <v>177</v>
      </c>
      <c r="C5" s="337"/>
      <c r="D5" s="337"/>
      <c r="E5" s="337"/>
      <c r="F5" s="337"/>
      <c r="G5" s="337"/>
      <c r="H5" s="337"/>
      <c r="I5" s="337"/>
      <c r="J5" s="337"/>
    </row>
    <row r="6" spans="2:10" ht="15" customHeight="1" x14ac:dyDescent="0.25">
      <c r="B6" s="112" t="s">
        <v>144</v>
      </c>
      <c r="C6" s="103"/>
      <c r="D6" s="103" t="s">
        <v>170</v>
      </c>
      <c r="E6" s="103" t="s">
        <v>171</v>
      </c>
      <c r="F6" s="103" t="s">
        <v>172</v>
      </c>
      <c r="G6" s="103" t="s">
        <v>173</v>
      </c>
      <c r="H6" s="103" t="s">
        <v>174</v>
      </c>
      <c r="I6" s="103" t="s">
        <v>175</v>
      </c>
      <c r="J6" s="103" t="s">
        <v>178</v>
      </c>
    </row>
    <row r="7" spans="2:10" x14ac:dyDescent="0.25">
      <c r="B7" s="4" t="str">
        <f>'Regression Beta'!B8</f>
        <v>TESLA</v>
      </c>
      <c r="C7" s="8"/>
      <c r="D7" s="94">
        <f>_xlfn.XLOOKUP(B7,'Regression Beta'!$B$8:$B$12,'Regression Beta'!$E$8:$E$12,"🐎",0)</f>
        <v>1.9878674188403553</v>
      </c>
      <c r="E7" s="56">
        <f>AVERAGE(E18:E21)</f>
        <v>3382.5</v>
      </c>
      <c r="F7" s="56">
        <f t="shared" ref="F7:G7" si="0">AVERAGE(F18:F21)</f>
        <v>884696</v>
      </c>
      <c r="G7" s="200">
        <f t="shared" si="0"/>
        <v>0.26</v>
      </c>
      <c r="H7" s="94">
        <f>1+(1-G7)*(E7/F7)</f>
        <v>1.0028292769493701</v>
      </c>
      <c r="I7" s="94">
        <f>D7/H7</f>
        <v>1.9822590589771114</v>
      </c>
      <c r="J7" s="338" t="s">
        <v>179</v>
      </c>
    </row>
    <row r="8" spans="2:10" x14ac:dyDescent="0.25">
      <c r="B8" s="4" t="str">
        <f>'Regression Beta'!B9</f>
        <v>FERRARI N.V.</v>
      </c>
      <c r="C8" s="8"/>
      <c r="D8" s="94">
        <f>_xlfn.XLOOKUP(B8,'Regression Beta'!$B$8:$B$12,'Regression Beta'!$E$8:$E$12,"🐎",0)</f>
        <v>1.0349568356828875</v>
      </c>
      <c r="E8" s="56">
        <f>AVERAGE(E23:E26)</f>
        <v>6001.75</v>
      </c>
      <c r="F8" s="56">
        <f t="shared" ref="F8:G8" si="1">AVERAGE(F23:F26)</f>
        <v>55101.5</v>
      </c>
      <c r="G8" s="200">
        <f t="shared" si="1"/>
        <v>0.26</v>
      </c>
      <c r="H8" s="94">
        <f t="shared" ref="H8:H11" si="2">1+(1-G8)*(E8/F8)</f>
        <v>1.0806020707240274</v>
      </c>
      <c r="I8" s="94">
        <f t="shared" ref="I8:I11" si="3">D8/H8</f>
        <v>0.9577594414467886</v>
      </c>
      <c r="J8" s="338"/>
    </row>
    <row r="9" spans="2:10" x14ac:dyDescent="0.25">
      <c r="B9" s="4" t="str">
        <f>'Regression Beta'!B10</f>
        <v>FORD MOTOR COMPANY</v>
      </c>
      <c r="C9" s="8"/>
      <c r="D9" s="94">
        <f>_xlfn.XLOOKUP(B9,'Regression Beta'!$B$8:$B$12,'Regression Beta'!$E$8:$E$12,"🐎",0)</f>
        <v>1.5410532854590548</v>
      </c>
      <c r="E9" s="56">
        <f>AVERAGE(E28:E31)</f>
        <v>18125</v>
      </c>
      <c r="F9" s="56">
        <f t="shared" ref="F9:G9" si="4">AVERAGE(F28:F31)</f>
        <v>54475.25</v>
      </c>
      <c r="G9" s="200">
        <f t="shared" si="4"/>
        <v>0.26</v>
      </c>
      <c r="H9" s="94">
        <f t="shared" si="2"/>
        <v>1.2462127296340999</v>
      </c>
      <c r="I9" s="94">
        <f t="shared" si="3"/>
        <v>1.2365892666748179</v>
      </c>
      <c r="J9" s="338"/>
    </row>
    <row r="10" spans="2:10" x14ac:dyDescent="0.25">
      <c r="B10" s="4" t="str">
        <f>'Regression Beta'!B11</f>
        <v>STELLANTIS N.V.</v>
      </c>
      <c r="C10" s="8"/>
      <c r="D10" s="94">
        <f>_xlfn.XLOOKUP(B10,'Regression Beta'!$B$8:$B$12,'Regression Beta'!$E$8:$E$12,"🐎",0)</f>
        <v>1.154108984252775</v>
      </c>
      <c r="E10" s="56">
        <f>AVERAGE(E33:E36)</f>
        <v>21003.25</v>
      </c>
      <c r="F10" s="56">
        <f t="shared" ref="F10:G10" si="5">AVERAGE(F33:F36)</f>
        <v>51264.412500000006</v>
      </c>
      <c r="G10" s="200">
        <f t="shared" si="5"/>
        <v>0.26</v>
      </c>
      <c r="H10" s="94">
        <f t="shared" si="2"/>
        <v>1.3031811785612484</v>
      </c>
      <c r="I10" s="94">
        <f t="shared" si="3"/>
        <v>0.88560900298371892</v>
      </c>
      <c r="J10" s="338"/>
    </row>
    <row r="11" spans="2:10" x14ac:dyDescent="0.25">
      <c r="B11" s="4" t="str">
        <f>'Regression Beta'!B12</f>
        <v>TOYOTA MOTOR CORP.</v>
      </c>
      <c r="C11" s="8"/>
      <c r="D11" s="94">
        <f>_xlfn.XLOOKUP(B11,'Regression Beta'!$B$8:$B$12,'Regression Beta'!$E$8:$E$12,"🐎",0)</f>
        <v>0.83561622914908806</v>
      </c>
      <c r="E11" s="56">
        <f>AVERAGE(E38:E41)</f>
        <v>42100</v>
      </c>
      <c r="F11" s="56">
        <f t="shared" ref="F11:G11" si="6">AVERAGE(F38:F41)</f>
        <v>216701.39865000002</v>
      </c>
      <c r="G11" s="200">
        <f t="shared" si="6"/>
        <v>0.26</v>
      </c>
      <c r="H11" s="94">
        <f t="shared" si="2"/>
        <v>1.1437646466247209</v>
      </c>
      <c r="I11" s="94">
        <f t="shared" si="3"/>
        <v>0.73058406868494596</v>
      </c>
      <c r="J11" s="338"/>
    </row>
    <row r="12" spans="2:10" x14ac:dyDescent="0.25">
      <c r="B12" s="47" t="s">
        <v>176</v>
      </c>
      <c r="C12" s="48"/>
      <c r="D12" s="25"/>
      <c r="E12" s="62"/>
      <c r="F12" s="62"/>
      <c r="G12" s="25"/>
      <c r="H12" s="25"/>
      <c r="I12" s="226">
        <f>AVERAGE(I7:I11)</f>
        <v>1.1585601677534765</v>
      </c>
      <c r="J12" s="338"/>
    </row>
    <row r="13" spans="2:10" x14ac:dyDescent="0.25">
      <c r="B13" s="91" t="str">
        <f>'Regression Beta'!B7</f>
        <v>GENERAL MOTORS COMPANY</v>
      </c>
      <c r="C13" s="12"/>
      <c r="D13" s="228">
        <f>'Regression Beta'!E7</f>
        <v>1.4674009106547579</v>
      </c>
      <c r="E13" s="294">
        <f>AVERAGE(E43:E46)</f>
        <v>14975</v>
      </c>
      <c r="F13" s="294">
        <f t="shared" ref="F13:G13" si="7">AVERAGE(F43:F46)</f>
        <v>60170.5</v>
      </c>
      <c r="G13" s="102">
        <f t="shared" si="7"/>
        <v>0.26</v>
      </c>
      <c r="H13" s="207">
        <f>1+(1-G13)*(E13/F13)</f>
        <v>1.184168321685876</v>
      </c>
      <c r="I13" s="207">
        <f>D13/H13</f>
        <v>1.2391827105842939</v>
      </c>
      <c r="J13" s="227">
        <f>I12*H13</f>
        <v>1.3719302494207413</v>
      </c>
    </row>
    <row r="15" spans="2:10" x14ac:dyDescent="0.25">
      <c r="D15" s="339" t="s">
        <v>180</v>
      </c>
      <c r="E15" s="339"/>
      <c r="F15" s="339"/>
      <c r="G15" s="339"/>
    </row>
    <row r="16" spans="2:10" x14ac:dyDescent="0.25">
      <c r="D16" s="113" t="s">
        <v>182</v>
      </c>
      <c r="E16" s="113" t="s">
        <v>171</v>
      </c>
      <c r="F16" s="113" t="s">
        <v>181</v>
      </c>
      <c r="G16" s="113" t="s">
        <v>173</v>
      </c>
    </row>
    <row r="17" spans="4:12" x14ac:dyDescent="0.25">
      <c r="D17" s="46" t="str">
        <f>B7</f>
        <v>TESLA</v>
      </c>
      <c r="E17" s="25"/>
      <c r="F17" s="25"/>
      <c r="G17" s="25"/>
    </row>
    <row r="18" spans="4:12" x14ac:dyDescent="0.25">
      <c r="D18" s="110">
        <v>44561</v>
      </c>
      <c r="E18" s="219">
        <f>4.28*1000</f>
        <v>4280</v>
      </c>
      <c r="F18" s="219">
        <v>1063564</v>
      </c>
      <c r="G18" s="229">
        <v>0.26</v>
      </c>
      <c r="I18" s="249"/>
      <c r="J18" s="249"/>
      <c r="K18" s="249"/>
      <c r="L18" s="249"/>
    </row>
    <row r="19" spans="4:12" x14ac:dyDescent="0.25">
      <c r="D19" s="110">
        <v>44926</v>
      </c>
      <c r="E19" s="219">
        <f>1.03*1000</f>
        <v>1030</v>
      </c>
      <c r="F19" s="219">
        <v>388972</v>
      </c>
      <c r="G19" s="229">
        <v>0.26</v>
      </c>
    </row>
    <row r="20" spans="4:12" x14ac:dyDescent="0.25">
      <c r="D20" s="110">
        <v>45291</v>
      </c>
      <c r="E20" s="219">
        <f>2.68*1000</f>
        <v>2680</v>
      </c>
      <c r="F20" s="219">
        <v>789898</v>
      </c>
      <c r="G20" s="229">
        <v>0.26</v>
      </c>
    </row>
    <row r="21" spans="4:12" x14ac:dyDescent="0.25">
      <c r="D21" s="110">
        <v>45627</v>
      </c>
      <c r="E21" s="219">
        <f>5.54*1000</f>
        <v>5540</v>
      </c>
      <c r="F21" s="219">
        <v>1296350</v>
      </c>
      <c r="G21" s="229">
        <v>0.26</v>
      </c>
    </row>
    <row r="22" spans="4:12" x14ac:dyDescent="0.25">
      <c r="D22" s="46" t="str">
        <f>B8</f>
        <v>FERRARI N.V.</v>
      </c>
      <c r="E22" s="295"/>
      <c r="F22" s="295"/>
      <c r="G22" s="230"/>
    </row>
    <row r="23" spans="4:12" x14ac:dyDescent="0.25">
      <c r="D23" s="110">
        <v>44561</v>
      </c>
      <c r="E23" s="219">
        <f>2.07*1000</f>
        <v>2070</v>
      </c>
      <c r="F23" s="219">
        <v>41839</v>
      </c>
      <c r="G23" s="229">
        <v>0.26</v>
      </c>
      <c r="I23" s="249"/>
      <c r="J23" s="249"/>
      <c r="K23" s="249"/>
      <c r="L23" s="249"/>
    </row>
    <row r="24" spans="4:12" x14ac:dyDescent="0.25">
      <c r="D24" s="110">
        <v>44926</v>
      </c>
      <c r="E24" s="219">
        <f>1.79*1000</f>
        <v>1790</v>
      </c>
      <c r="F24" s="219">
        <v>36472</v>
      </c>
      <c r="G24" s="229">
        <v>0.26</v>
      </c>
      <c r="H24" s="211"/>
    </row>
    <row r="25" spans="4:12" x14ac:dyDescent="0.25">
      <c r="D25" s="110">
        <v>45291</v>
      </c>
      <c r="E25" s="219">
        <f>1.68*1000</f>
        <v>1680</v>
      </c>
      <c r="F25" s="219">
        <v>55240</v>
      </c>
      <c r="G25" s="229">
        <v>0.26</v>
      </c>
    </row>
    <row r="26" spans="4:12" x14ac:dyDescent="0.25">
      <c r="D26" s="110">
        <v>45627</v>
      </c>
      <c r="E26" s="219">
        <v>18467</v>
      </c>
      <c r="F26" s="219">
        <v>86855</v>
      </c>
      <c r="G26" s="229">
        <v>0.26</v>
      </c>
    </row>
    <row r="27" spans="4:12" x14ac:dyDescent="0.25">
      <c r="D27" s="46" t="str">
        <f>B9</f>
        <v>FORD MOTOR COMPANY</v>
      </c>
      <c r="E27" s="295"/>
      <c r="F27" s="295"/>
      <c r="G27" s="230"/>
    </row>
    <row r="28" spans="4:12" x14ac:dyDescent="0.25">
      <c r="D28" s="110">
        <v>44561</v>
      </c>
      <c r="E28" s="219">
        <f>1.67*10000</f>
        <v>16700</v>
      </c>
      <c r="F28" s="219">
        <v>83002</v>
      </c>
      <c r="G28" s="229">
        <v>0.26</v>
      </c>
      <c r="I28" s="249"/>
      <c r="J28" s="249"/>
      <c r="K28" s="249"/>
      <c r="L28" s="249"/>
    </row>
    <row r="29" spans="4:12" x14ac:dyDescent="0.25">
      <c r="D29" s="110">
        <v>44926</v>
      </c>
      <c r="E29" s="219">
        <f>1.87*10000</f>
        <v>18700</v>
      </c>
      <c r="F29" s="219">
        <v>46758</v>
      </c>
      <c r="G29" s="229">
        <v>0.26</v>
      </c>
    </row>
    <row r="30" spans="4:12" x14ac:dyDescent="0.25">
      <c r="D30" s="110">
        <v>45291</v>
      </c>
      <c r="E30" s="219">
        <f>1.89*10000</f>
        <v>18900</v>
      </c>
      <c r="F30" s="219">
        <v>48796</v>
      </c>
      <c r="G30" s="229">
        <v>0.26</v>
      </c>
    </row>
    <row r="31" spans="4:12" x14ac:dyDescent="0.25">
      <c r="D31" s="110">
        <v>45627</v>
      </c>
      <c r="E31" s="219">
        <f>1.82*10000</f>
        <v>18200</v>
      </c>
      <c r="F31" s="219">
        <v>39345</v>
      </c>
      <c r="G31" s="229">
        <v>0.26</v>
      </c>
    </row>
    <row r="32" spans="4:12" x14ac:dyDescent="0.25">
      <c r="D32" s="46" t="str">
        <f>B10</f>
        <v>STELLANTIS N.V.</v>
      </c>
      <c r="E32" s="295"/>
      <c r="F32" s="295"/>
      <c r="G32" s="230"/>
    </row>
    <row r="33" spans="4:12" x14ac:dyDescent="0.25">
      <c r="D33" s="110">
        <v>44561</v>
      </c>
      <c r="E33" s="219">
        <f>23.4*1000</f>
        <v>23400</v>
      </c>
      <c r="F33" s="219">
        <v>54884.55</v>
      </c>
      <c r="G33" s="229">
        <v>0.26</v>
      </c>
      <c r="I33" s="249"/>
      <c r="J33" s="249"/>
      <c r="K33" s="249"/>
      <c r="L33" s="249"/>
    </row>
    <row r="34" spans="4:12" x14ac:dyDescent="0.25">
      <c r="D34" s="110">
        <v>44926</v>
      </c>
      <c r="E34" s="219">
        <f>19.07*1000</f>
        <v>19070</v>
      </c>
      <c r="F34" s="219">
        <v>44751</v>
      </c>
      <c r="G34" s="229">
        <v>0.26</v>
      </c>
      <c r="I34" s="212"/>
    </row>
    <row r="35" spans="4:12" x14ac:dyDescent="0.25">
      <c r="D35" s="110">
        <v>45291</v>
      </c>
      <c r="E35" s="219">
        <f>20.54*1000</f>
        <v>20540</v>
      </c>
      <c r="F35" s="219">
        <v>67033.05</v>
      </c>
      <c r="G35" s="229">
        <v>0.26</v>
      </c>
    </row>
    <row r="36" spans="4:12" x14ac:dyDescent="0.25">
      <c r="D36" s="110">
        <v>45627</v>
      </c>
      <c r="E36" s="219">
        <v>21003</v>
      </c>
      <c r="F36" s="219">
        <v>38389.050000000003</v>
      </c>
      <c r="G36" s="229">
        <v>0.26</v>
      </c>
    </row>
    <row r="37" spans="4:12" x14ac:dyDescent="0.25">
      <c r="D37" s="46" t="str">
        <f>B11</f>
        <v>TOYOTA MOTOR CORP.</v>
      </c>
      <c r="E37" s="295"/>
      <c r="F37" s="295"/>
      <c r="G37" s="230"/>
    </row>
    <row r="38" spans="4:12" x14ac:dyDescent="0.25">
      <c r="D38" s="110">
        <v>44286</v>
      </c>
      <c r="E38" s="219">
        <f>1.47*10000</f>
        <v>14700</v>
      </c>
      <c r="F38" s="219">
        <v>158993.67660000001</v>
      </c>
      <c r="G38" s="229">
        <v>0.26</v>
      </c>
      <c r="I38" s="249"/>
      <c r="J38" s="249"/>
      <c r="K38" s="249"/>
      <c r="L38" s="249"/>
    </row>
    <row r="39" spans="4:12" x14ac:dyDescent="0.25">
      <c r="D39" s="110">
        <f>EDATE(D38,12)</f>
        <v>44651</v>
      </c>
      <c r="E39" s="219">
        <f>12.61*10000</f>
        <v>126100</v>
      </c>
      <c r="F39" s="219">
        <v>202168.6458</v>
      </c>
      <c r="G39" s="229">
        <v>0.26</v>
      </c>
    </row>
    <row r="40" spans="4:12" x14ac:dyDescent="0.25">
      <c r="D40" s="110">
        <f t="shared" ref="D40:D41" si="8">EDATE(D39,12)</f>
        <v>45016</v>
      </c>
      <c r="E40" s="219">
        <f>1.38*10000</f>
        <v>13799.999999999998</v>
      </c>
      <c r="F40" s="219">
        <v>168316.77720000001</v>
      </c>
      <c r="G40" s="229">
        <v>0.26</v>
      </c>
    </row>
    <row r="41" spans="4:12" x14ac:dyDescent="0.25">
      <c r="D41" s="110">
        <f t="shared" si="8"/>
        <v>45382</v>
      </c>
      <c r="E41" s="219">
        <f>1.38*10000</f>
        <v>13799.999999999998</v>
      </c>
      <c r="F41" s="219">
        <v>337326.495</v>
      </c>
      <c r="G41" s="229">
        <v>0.26</v>
      </c>
    </row>
    <row r="42" spans="4:12" x14ac:dyDescent="0.25">
      <c r="D42" s="46" t="str">
        <f>B13</f>
        <v>GENERAL MOTORS COMPANY</v>
      </c>
      <c r="E42" s="295"/>
      <c r="F42" s="295"/>
      <c r="G42" s="230"/>
      <c r="I42" s="249"/>
      <c r="J42" s="249"/>
      <c r="K42" s="249"/>
      <c r="L42" s="249"/>
    </row>
    <row r="43" spans="4:12" x14ac:dyDescent="0.25">
      <c r="D43" s="110">
        <v>44561</v>
      </c>
      <c r="E43" s="219">
        <f>1.6*10000</f>
        <v>16000</v>
      </c>
      <c r="F43" s="219">
        <v>85123</v>
      </c>
      <c r="G43" s="229">
        <v>0.26</v>
      </c>
    </row>
    <row r="44" spans="4:12" x14ac:dyDescent="0.25">
      <c r="D44" s="110">
        <v>44926</v>
      </c>
      <c r="E44" s="219">
        <f>1.55*10000</f>
        <v>15500</v>
      </c>
      <c r="F44" s="219">
        <v>47792</v>
      </c>
      <c r="G44" s="229">
        <v>0.26</v>
      </c>
    </row>
    <row r="45" spans="4:12" x14ac:dyDescent="0.25">
      <c r="D45" s="110">
        <v>45291</v>
      </c>
      <c r="E45" s="219">
        <f>1.55*10000</f>
        <v>15500</v>
      </c>
      <c r="F45" s="219">
        <v>49192</v>
      </c>
      <c r="G45" s="229">
        <v>0.26</v>
      </c>
    </row>
    <row r="46" spans="4:12" x14ac:dyDescent="0.25">
      <c r="D46" s="111">
        <v>45627</v>
      </c>
      <c r="E46" s="296">
        <f>1.29*10000</f>
        <v>12900</v>
      </c>
      <c r="F46" s="296">
        <v>58575</v>
      </c>
      <c r="G46" s="231">
        <v>0.26</v>
      </c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</sheetData>
  <mergeCells count="4">
    <mergeCell ref="B5:J5"/>
    <mergeCell ref="J7:J12"/>
    <mergeCell ref="D15:G15"/>
    <mergeCell ref="B2:B3"/>
  </mergeCells>
  <pageMargins left="0.7" right="0.7" top="0.75" bottom="0.75" header="0.3" footer="0.3"/>
  <ignoredErrors>
    <ignoredError sqref="I12" formula="1"/>
  </ignoredErrors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EB73-16DF-47A1-B536-58A5F64AF4D1}">
  <dimension ref="B2:W55"/>
  <sheetViews>
    <sheetView showGridLines="0"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33" sqref="G33"/>
    </sheetView>
  </sheetViews>
  <sheetFormatPr defaultRowHeight="15" x14ac:dyDescent="0.25"/>
  <cols>
    <col min="1" max="1" width="2" bestFit="1" customWidth="1"/>
    <col min="2" max="2" width="47.140625" bestFit="1" customWidth="1"/>
    <col min="3" max="3" width="2.28515625" bestFit="1" customWidth="1"/>
    <col min="4" max="5" width="15.85546875" bestFit="1" customWidth="1"/>
    <col min="6" max="6" width="12.7109375" customWidth="1"/>
    <col min="7" max="8" width="15.140625" customWidth="1"/>
    <col min="9" max="9" width="13.5703125" bestFit="1" customWidth="1"/>
    <col min="10" max="10" width="15.85546875" bestFit="1" customWidth="1"/>
    <col min="11" max="11" width="11" customWidth="1"/>
    <col min="12" max="13" width="14.85546875" bestFit="1" customWidth="1"/>
    <col min="14" max="15" width="14.5703125" customWidth="1"/>
    <col min="16" max="16" width="13.5703125" bestFit="1" customWidth="1"/>
    <col min="17" max="18" width="19" customWidth="1"/>
    <col min="22" max="22" width="16" bestFit="1" customWidth="1"/>
  </cols>
  <sheetData>
    <row r="2" spans="2:23" x14ac:dyDescent="0.25">
      <c r="B2" s="325"/>
      <c r="D2" s="156" t="s">
        <v>280</v>
      </c>
      <c r="E2" s="155" t="s">
        <v>278</v>
      </c>
      <c r="F2" s="163" cm="1">
        <f t="array" ref="F2">_xlfn.IFS($E$2=Output!$H$21,1,$E$2=Output!$H$22,2,$E$2=Output!$H$23,3,$E$2=Output!$H$24,4)</f>
        <v>2</v>
      </c>
    </row>
    <row r="3" spans="2:23" ht="15" customHeight="1" x14ac:dyDescent="0.25">
      <c r="B3" s="325"/>
      <c r="V3" t="s">
        <v>279</v>
      </c>
      <c r="W3">
        <v>1</v>
      </c>
    </row>
    <row r="4" spans="2:23" ht="15" customHeight="1" x14ac:dyDescent="0.25">
      <c r="D4" s="342" t="s">
        <v>245</v>
      </c>
      <c r="E4" s="336" t="s">
        <v>238</v>
      </c>
      <c r="F4" s="336"/>
      <c r="G4" s="336" t="s">
        <v>273</v>
      </c>
      <c r="H4" s="336"/>
      <c r="I4" s="342" t="s">
        <v>239</v>
      </c>
      <c r="J4" s="342" t="s">
        <v>240</v>
      </c>
      <c r="K4" s="342" t="s">
        <v>241</v>
      </c>
      <c r="L4" s="342" t="s">
        <v>242</v>
      </c>
      <c r="M4" s="342" t="s">
        <v>243</v>
      </c>
      <c r="N4" s="336" t="s">
        <v>272</v>
      </c>
      <c r="O4" s="336"/>
      <c r="P4" s="342" t="s">
        <v>244</v>
      </c>
      <c r="Q4" s="336" t="s">
        <v>271</v>
      </c>
      <c r="R4" s="336"/>
      <c r="V4" t="s">
        <v>278</v>
      </c>
      <c r="W4">
        <v>2</v>
      </c>
    </row>
    <row r="5" spans="2:23" ht="15" customHeight="1" x14ac:dyDescent="0.25">
      <c r="D5" s="342"/>
      <c r="E5" s="127" t="s">
        <v>246</v>
      </c>
      <c r="F5" s="127" t="s">
        <v>247</v>
      </c>
      <c r="G5" s="127" t="s">
        <v>246</v>
      </c>
      <c r="H5" s="127" t="s">
        <v>247</v>
      </c>
      <c r="I5" s="342"/>
      <c r="J5" s="342"/>
      <c r="K5" s="342"/>
      <c r="L5" s="342"/>
      <c r="M5" s="342"/>
      <c r="N5" s="127" t="s">
        <v>246</v>
      </c>
      <c r="O5" s="127" t="s">
        <v>247</v>
      </c>
      <c r="P5" s="342"/>
      <c r="Q5" s="127" t="s">
        <v>246</v>
      </c>
      <c r="R5" s="157" t="s">
        <v>247</v>
      </c>
      <c r="V5" t="s">
        <v>372</v>
      </c>
      <c r="W5">
        <v>3</v>
      </c>
    </row>
    <row r="6" spans="2:23" ht="17.25" x14ac:dyDescent="0.25">
      <c r="D6" s="146"/>
      <c r="E6" s="158">
        <v>0.1</v>
      </c>
      <c r="F6" s="158">
        <v>0.1</v>
      </c>
      <c r="G6" s="147"/>
      <c r="H6" s="147"/>
      <c r="I6" s="146"/>
      <c r="J6" s="146"/>
      <c r="K6" s="146"/>
      <c r="L6" s="146"/>
      <c r="M6" s="146"/>
      <c r="N6" s="147"/>
      <c r="O6" s="147"/>
      <c r="P6" s="146"/>
      <c r="Q6" s="147"/>
      <c r="R6" s="148"/>
      <c r="V6" t="s">
        <v>373</v>
      </c>
      <c r="W6">
        <v>4</v>
      </c>
    </row>
    <row r="7" spans="2:23" x14ac:dyDescent="0.25">
      <c r="B7" s="154" t="s">
        <v>255</v>
      </c>
      <c r="C7" s="10"/>
      <c r="D7" s="297">
        <f>D45</f>
        <v>187442</v>
      </c>
      <c r="E7" s="321">
        <f ca="1">CHOOSE($F$2,Output!$J$21,Output!$J$22,Output!$J$23,Output!$J$24)*(1-E$6)</f>
        <v>0.91359180799151885</v>
      </c>
      <c r="F7" s="321">
        <f ca="1">CHOOSE($F$2,Output!$J$21,Output!$J$22,Output!$J$23,Output!$J$24)*(1+$F$6)</f>
        <v>1.116612209767412</v>
      </c>
      <c r="G7" s="297">
        <f ca="1">$D7*E7</f>
        <v>171245.47567354629</v>
      </c>
      <c r="H7" s="297">
        <f t="shared" ref="H7:H9" ca="1" si="0">$D7*F7</f>
        <v>209300.02582322326</v>
      </c>
      <c r="I7" s="299">
        <v>2518</v>
      </c>
      <c r="J7" s="299">
        <f>2141+37291+13327+76973</f>
        <v>129732</v>
      </c>
      <c r="K7" s="299">
        <f>4700+2359+157</f>
        <v>7216</v>
      </c>
      <c r="L7" s="299">
        <v>19872</v>
      </c>
      <c r="M7" s="299">
        <f>7265+7102</f>
        <v>14367</v>
      </c>
      <c r="N7" s="297">
        <f ca="1">$G7+$L7+$M7-$J7-$K7-$I7</f>
        <v>66018.475673546287</v>
      </c>
      <c r="O7" s="297">
        <f ca="1">$H7-$J7-$I7-$K7+$L7+$M7</f>
        <v>104073.02582322326</v>
      </c>
      <c r="P7" s="297">
        <f>$G$34</f>
        <v>1029.901891</v>
      </c>
      <c r="Q7" s="297">
        <f ca="1">N7/$P7</f>
        <v>64.101713231582252</v>
      </c>
      <c r="R7" s="297">
        <f t="shared" ref="R7:R9" ca="1" si="1">O7/$P7</f>
        <v>101.05139793672178</v>
      </c>
    </row>
    <row r="8" spans="2:23" x14ac:dyDescent="0.25">
      <c r="B8" s="3" t="s">
        <v>256</v>
      </c>
      <c r="C8" s="8"/>
      <c r="D8" s="55">
        <f>E45</f>
        <v>182129</v>
      </c>
      <c r="E8" s="322">
        <f ca="1">CHOOSE($F$2,Output!$O$21,Output!$O$22,Output!$O$23,Output!$O$24)*(1-E$6)</f>
        <v>0.86665723066521139</v>
      </c>
      <c r="F8" s="322">
        <f ca="1">CHOOSE($F$2,Output!$O$21,Output!$O$22,Output!$O$23,Output!$O$24)*(1+F$6)</f>
        <v>1.0592477263685918</v>
      </c>
      <c r="G8" s="55">
        <f t="shared" ref="G8:G9" ca="1" si="2">$D8*E8</f>
        <v>157843.41476382429</v>
      </c>
      <c r="H8" s="55">
        <f t="shared" ca="1" si="0"/>
        <v>192919.72915578526</v>
      </c>
      <c r="I8" s="55">
        <f>I$7</f>
        <v>2518</v>
      </c>
      <c r="J8" s="55">
        <f t="shared" ref="J8:M9" si="3">J$7</f>
        <v>129732</v>
      </c>
      <c r="K8" s="55">
        <f t="shared" si="3"/>
        <v>7216</v>
      </c>
      <c r="L8" s="55">
        <f t="shared" si="3"/>
        <v>19872</v>
      </c>
      <c r="M8" s="55">
        <f t="shared" si="3"/>
        <v>14367</v>
      </c>
      <c r="N8" s="55">
        <f t="shared" ref="N8:N9" ca="1" si="4">$G8+$L8+$M8-$J8-$K8-$I8</f>
        <v>52616.414763824287</v>
      </c>
      <c r="O8" s="55">
        <f t="shared" ref="O8:O9" ca="1" si="5">$H8-$J8-$I8-$K8+$L8+$M8</f>
        <v>87692.729155785259</v>
      </c>
      <c r="P8" s="55">
        <f t="shared" ref="P8:P9" si="6">$G$34</f>
        <v>1029.901891</v>
      </c>
      <c r="Q8" s="55">
        <f t="shared" ref="Q8:Q9" ca="1" si="7">N8/$P8</f>
        <v>51.088764108138029</v>
      </c>
      <c r="R8" s="55">
        <f t="shared" ca="1" si="1"/>
        <v>85.146682341401061</v>
      </c>
    </row>
    <row r="9" spans="2:23" x14ac:dyDescent="0.25">
      <c r="B9" s="152" t="s">
        <v>257</v>
      </c>
      <c r="C9" s="12"/>
      <c r="D9" s="298">
        <f>F45</f>
        <v>183154</v>
      </c>
      <c r="E9" s="323">
        <f ca="1">CHOOSE($F$2,Output!$T$21,Output!$T$22,Output!$T$23,Output!$T$24)*(1-E$6)</f>
        <v>0.84895224047642126</v>
      </c>
      <c r="F9" s="323">
        <f ca="1">CHOOSE($F$2,Output!$T$21,Output!$T$22,Output!$T$23,Output!$T$24)*(1+F$6)</f>
        <v>1.0376082939156261</v>
      </c>
      <c r="G9" s="298">
        <f t="shared" ca="1" si="2"/>
        <v>155488.99865221846</v>
      </c>
      <c r="H9" s="298">
        <f t="shared" ca="1" si="0"/>
        <v>190042.10946382259</v>
      </c>
      <c r="I9" s="298">
        <f t="shared" ref="I9" si="8">I$7</f>
        <v>2518</v>
      </c>
      <c r="J9" s="298">
        <f t="shared" si="3"/>
        <v>129732</v>
      </c>
      <c r="K9" s="298">
        <f t="shared" si="3"/>
        <v>7216</v>
      </c>
      <c r="L9" s="298">
        <f t="shared" si="3"/>
        <v>19872</v>
      </c>
      <c r="M9" s="298">
        <f t="shared" si="3"/>
        <v>14367</v>
      </c>
      <c r="N9" s="298">
        <f t="shared" ca="1" si="4"/>
        <v>50261.998652218463</v>
      </c>
      <c r="O9" s="298">
        <f t="shared" ca="1" si="5"/>
        <v>84815.109463822591</v>
      </c>
      <c r="P9" s="298">
        <f t="shared" si="6"/>
        <v>1029.901891</v>
      </c>
      <c r="Q9" s="298">
        <f t="shared" ca="1" si="7"/>
        <v>48.802705472669594</v>
      </c>
      <c r="R9" s="298">
        <f t="shared" ca="1" si="1"/>
        <v>82.352610675828529</v>
      </c>
    </row>
    <row r="10" spans="2:23" ht="15.75" thickBot="1" x14ac:dyDescent="0.3">
      <c r="D10" s="192"/>
      <c r="E10" s="192"/>
      <c r="F10" s="192"/>
      <c r="G10" s="192"/>
      <c r="H10" s="192"/>
      <c r="I10" s="192"/>
      <c r="J10" s="192"/>
      <c r="K10" s="192" t="s">
        <v>254</v>
      </c>
      <c r="L10" s="192"/>
      <c r="M10" s="192"/>
      <c r="N10" s="192"/>
      <c r="O10" s="192"/>
      <c r="P10" s="192"/>
      <c r="Q10" s="300">
        <f ca="1">MEDIAN(Q7:Q9)</f>
        <v>51.088764108138029</v>
      </c>
      <c r="R10" s="300">
        <f ca="1">MEDIAN(R7:R9)</f>
        <v>85.146682341401061</v>
      </c>
    </row>
    <row r="11" spans="2:23" x14ac:dyDescent="0.25"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</row>
    <row r="12" spans="2:23" x14ac:dyDescent="0.25">
      <c r="D12" s="213"/>
      <c r="E12" s="158">
        <v>0.1</v>
      </c>
      <c r="F12" s="158">
        <v>0.1</v>
      </c>
      <c r="G12" s="214"/>
      <c r="H12" s="214"/>
      <c r="I12" s="213"/>
      <c r="J12" s="213"/>
      <c r="K12" s="213"/>
      <c r="L12" s="213"/>
      <c r="M12" s="213"/>
      <c r="N12" s="214"/>
      <c r="O12" s="214"/>
      <c r="P12" s="213"/>
      <c r="Q12" s="214"/>
      <c r="R12" s="215"/>
    </row>
    <row r="13" spans="2:23" x14ac:dyDescent="0.25">
      <c r="B13" s="154" t="s">
        <v>248</v>
      </c>
      <c r="C13" s="10"/>
      <c r="D13" s="297">
        <f>D46</f>
        <v>26390</v>
      </c>
      <c r="E13" s="321">
        <f ca="1">CHOOSE($F$2,Output!$K$21,Output!$K$22,Output!$K$23,Output!$K$24)*(1-E$12)</f>
        <v>9.2067616195642312</v>
      </c>
      <c r="F13" s="321">
        <f ca="1">CHOOSE($F$2,Output!$K$21,Output!$K$22,Output!$K$23,Output!$K$24)*(1+F$12)</f>
        <v>11.25270864613406</v>
      </c>
      <c r="G13" s="297">
        <f t="shared" ref="G13:G15" ca="1" si="9">$D13*E13</f>
        <v>242966.43914030006</v>
      </c>
      <c r="H13" s="297">
        <f t="shared" ref="H13:H15" ca="1" si="10">$D13*F13</f>
        <v>296958.98117147788</v>
      </c>
      <c r="I13" s="297">
        <f>I$7</f>
        <v>2518</v>
      </c>
      <c r="J13" s="297">
        <f t="shared" ref="J13:M15" si="11">J$7</f>
        <v>129732</v>
      </c>
      <c r="K13" s="297">
        <f t="shared" si="11"/>
        <v>7216</v>
      </c>
      <c r="L13" s="297">
        <f t="shared" si="11"/>
        <v>19872</v>
      </c>
      <c r="M13" s="297">
        <f t="shared" si="11"/>
        <v>14367</v>
      </c>
      <c r="N13" s="297">
        <f t="shared" ref="N13:N15" ca="1" si="12">$G13+$L13+$M13-$J13-$K13-$I13</f>
        <v>137739.43914030003</v>
      </c>
      <c r="O13" s="297">
        <f t="shared" ref="O13:O15" ca="1" si="13">$H13-$J13-$I13-$K13+$L13+$M13</f>
        <v>191731.98117147788</v>
      </c>
      <c r="P13" s="297">
        <f>$G$34</f>
        <v>1029.901891</v>
      </c>
      <c r="Q13" s="297">
        <f t="shared" ref="Q13:Q15" ca="1" si="14">N13/$P13</f>
        <v>133.74034977890921</v>
      </c>
      <c r="R13" s="297">
        <f t="shared" ref="R13:R15" ca="1" si="15">O13/$P13</f>
        <v>186.16528705012144</v>
      </c>
    </row>
    <row r="14" spans="2:23" x14ac:dyDescent="0.25">
      <c r="B14" s="3" t="s">
        <v>249</v>
      </c>
      <c r="C14" s="8"/>
      <c r="D14" s="55">
        <f>E46</f>
        <v>23509</v>
      </c>
      <c r="E14" s="322">
        <f ca="1">CHOOSE($F$2,Output!$P$21,Output!$P$22,Output!$P$23,Output!$P$24)*(1-E$12)</f>
        <v>11.314884788569955</v>
      </c>
      <c r="F14" s="322">
        <f ca="1">CHOOSE($F$2,Output!$P$21,Output!$P$22,Output!$P$23,Output!$P$24)*(1+F$12)</f>
        <v>13.82930363047439</v>
      </c>
      <c r="G14" s="55">
        <f t="shared" ca="1" si="9"/>
        <v>266001.62649449107</v>
      </c>
      <c r="H14" s="55">
        <f t="shared" ca="1" si="10"/>
        <v>325113.09904882242</v>
      </c>
      <c r="I14" s="55">
        <f t="shared" ref="I14:I15" si="16">I$7</f>
        <v>2518</v>
      </c>
      <c r="J14" s="55">
        <f t="shared" si="11"/>
        <v>129732</v>
      </c>
      <c r="K14" s="55">
        <f t="shared" si="11"/>
        <v>7216</v>
      </c>
      <c r="L14" s="55">
        <f t="shared" si="11"/>
        <v>19872</v>
      </c>
      <c r="M14" s="55">
        <f t="shared" si="11"/>
        <v>14367</v>
      </c>
      <c r="N14" s="55">
        <f t="shared" ca="1" si="12"/>
        <v>160774.62649449107</v>
      </c>
      <c r="O14" s="55">
        <f t="shared" ca="1" si="13"/>
        <v>219886.09904882242</v>
      </c>
      <c r="P14" s="55">
        <f t="shared" ref="P14:P15" si="17">$G$34</f>
        <v>1029.901891</v>
      </c>
      <c r="Q14" s="55">
        <f t="shared" ca="1" si="14"/>
        <v>156.10673977730474</v>
      </c>
      <c r="R14" s="55">
        <f t="shared" ca="1" si="15"/>
        <v>213.50198593704926</v>
      </c>
    </row>
    <row r="15" spans="2:23" x14ac:dyDescent="0.25">
      <c r="B15" s="152" t="s">
        <v>250</v>
      </c>
      <c r="C15" s="12"/>
      <c r="D15" s="298">
        <f>F46</f>
        <v>24427</v>
      </c>
      <c r="E15" s="323">
        <f ca="1">CHOOSE($F$2,Output!$U$21,Output!$U$22,Output!$U$23,Output!$U$24)*(1-E$12)</f>
        <v>10.682740943734302</v>
      </c>
      <c r="F15" s="323">
        <f ca="1">CHOOSE($F$2,Output!$U$21,Output!$U$22,Output!$U$23,Output!$U$24)*(1+F$12)</f>
        <v>13.056683375675258</v>
      </c>
      <c r="G15" s="298">
        <f t="shared" ca="1" si="9"/>
        <v>260947.3130325978</v>
      </c>
      <c r="H15" s="298">
        <f t="shared" ca="1" si="10"/>
        <v>318935.60481761949</v>
      </c>
      <c r="I15" s="298">
        <f t="shared" si="16"/>
        <v>2518</v>
      </c>
      <c r="J15" s="298">
        <f t="shared" si="11"/>
        <v>129732</v>
      </c>
      <c r="K15" s="298">
        <f t="shared" si="11"/>
        <v>7216</v>
      </c>
      <c r="L15" s="298">
        <f t="shared" si="11"/>
        <v>19872</v>
      </c>
      <c r="M15" s="298">
        <f t="shared" si="11"/>
        <v>14367</v>
      </c>
      <c r="N15" s="298">
        <f t="shared" ca="1" si="12"/>
        <v>155720.31303259777</v>
      </c>
      <c r="O15" s="298">
        <f t="shared" ca="1" si="13"/>
        <v>213708.60481761949</v>
      </c>
      <c r="P15" s="298">
        <f t="shared" si="17"/>
        <v>1029.901891</v>
      </c>
      <c r="Q15" s="298">
        <f t="shared" ca="1" si="14"/>
        <v>151.19917187587509</v>
      </c>
      <c r="R15" s="298">
        <f t="shared" ca="1" si="15"/>
        <v>207.50384739085743</v>
      </c>
    </row>
    <row r="16" spans="2:23" ht="15.75" thickBot="1" x14ac:dyDescent="0.3">
      <c r="D16" s="192"/>
      <c r="E16" s="192"/>
      <c r="F16" s="192"/>
      <c r="G16" s="192"/>
      <c r="H16" s="192"/>
      <c r="I16" s="192"/>
      <c r="J16" s="192"/>
      <c r="K16" s="192" t="s">
        <v>254</v>
      </c>
      <c r="L16" s="192"/>
      <c r="M16" s="192"/>
      <c r="N16" s="192"/>
      <c r="O16" s="192"/>
      <c r="P16" s="192"/>
      <c r="Q16" s="300">
        <f ca="1">MEDIAN(Q13:Q15)</f>
        <v>151.19917187587509</v>
      </c>
      <c r="R16" s="300">
        <f ca="1">MEDIAN(R13:R15)</f>
        <v>207.50384739085743</v>
      </c>
    </row>
    <row r="17" spans="2:18" x14ac:dyDescent="0.25"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</row>
    <row r="18" spans="2:18" x14ac:dyDescent="0.25">
      <c r="D18" s="213"/>
      <c r="E18" s="158">
        <v>0.1</v>
      </c>
      <c r="F18" s="158">
        <v>0.1</v>
      </c>
      <c r="G18" s="214"/>
      <c r="H18" s="214"/>
      <c r="I18" s="213"/>
      <c r="J18" s="213"/>
      <c r="K18" s="213"/>
      <c r="L18" s="213"/>
      <c r="M18" s="213"/>
      <c r="N18" s="214"/>
      <c r="O18" s="214"/>
      <c r="P18" s="213"/>
      <c r="Q18" s="214"/>
      <c r="R18" s="215"/>
    </row>
    <row r="19" spans="2:18" x14ac:dyDescent="0.25">
      <c r="B19" s="154" t="s">
        <v>251</v>
      </c>
      <c r="C19" s="10"/>
      <c r="D19" s="297">
        <f>D47</f>
        <v>14934</v>
      </c>
      <c r="E19" s="321">
        <f ca="1">CHOOSE($F$2,Output!$L$21,Output!$L$22,Output!$L$23,Output!$L$24)*(1-E$18)</f>
        <v>14.498304568426235</v>
      </c>
      <c r="F19" s="321">
        <f ca="1">CHOOSE($F$2,Output!$L$21,Output!$L$22,Output!$L$23,Output!$L$24)*(1+F$18)</f>
        <v>17.72015002807651</v>
      </c>
      <c r="G19" s="297">
        <f t="shared" ref="G19:G21" ca="1" si="18">$D19*E19</f>
        <v>216517.68042487738</v>
      </c>
      <c r="H19" s="297">
        <f t="shared" ref="H19:H21" ca="1" si="19">$D19*F19</f>
        <v>264632.72051929461</v>
      </c>
      <c r="I19" s="297">
        <f>I$7</f>
        <v>2518</v>
      </c>
      <c r="J19" s="297">
        <f t="shared" ref="J19:M21" si="20">J$7</f>
        <v>129732</v>
      </c>
      <c r="K19" s="297">
        <f t="shared" si="20"/>
        <v>7216</v>
      </c>
      <c r="L19" s="297">
        <f t="shared" si="20"/>
        <v>19872</v>
      </c>
      <c r="M19" s="297">
        <f t="shared" si="20"/>
        <v>14367</v>
      </c>
      <c r="N19" s="297">
        <f t="shared" ref="N19:N21" ca="1" si="21">$G19+$L19+$M19-$J19-$K19-$I19</f>
        <v>111290.68042487738</v>
      </c>
      <c r="O19" s="297">
        <f t="shared" ref="O19:O21" ca="1" si="22">$H19-$J19-$I19-$K19+$L19+$M19</f>
        <v>159405.72051929461</v>
      </c>
      <c r="P19" s="297">
        <f>$G$34</f>
        <v>1029.901891</v>
      </c>
      <c r="Q19" s="297">
        <f t="shared" ref="Q19:Q21" ca="1" si="23">N19/$P19</f>
        <v>108.05949712046639</v>
      </c>
      <c r="R19" s="297">
        <f t="shared" ref="R19:R21" ca="1" si="24">O19/$P19</f>
        <v>154.77757824535794</v>
      </c>
    </row>
    <row r="20" spans="2:18" x14ac:dyDescent="0.25">
      <c r="B20" s="3" t="s">
        <v>252</v>
      </c>
      <c r="C20" s="8"/>
      <c r="D20" s="55">
        <f>E47</f>
        <v>13932</v>
      </c>
      <c r="E20" s="322">
        <f ca="1">CHOOSE($F$2,Output!$Q$21,Output!$Q$22,Output!$Q$23,Output!$Q$24)*(1-E$18)</f>
        <v>18.724531001327808</v>
      </c>
      <c r="F20" s="322">
        <f ca="1">CHOOSE($F$2,Output!$Q$21,Output!$Q$22,Output!$Q$23,Output!$Q$24)*(1+F$18)</f>
        <v>22.885537890511767</v>
      </c>
      <c r="G20" s="55">
        <f t="shared" ca="1" si="18"/>
        <v>260870.16591049902</v>
      </c>
      <c r="H20" s="55">
        <f t="shared" ca="1" si="19"/>
        <v>318841.31389060995</v>
      </c>
      <c r="I20" s="55">
        <f t="shared" ref="I20:I21" si="25">I$7</f>
        <v>2518</v>
      </c>
      <c r="J20" s="55">
        <f t="shared" si="20"/>
        <v>129732</v>
      </c>
      <c r="K20" s="55">
        <f t="shared" si="20"/>
        <v>7216</v>
      </c>
      <c r="L20" s="55">
        <f t="shared" si="20"/>
        <v>19872</v>
      </c>
      <c r="M20" s="55">
        <f t="shared" si="20"/>
        <v>14367</v>
      </c>
      <c r="N20" s="55">
        <f t="shared" ca="1" si="21"/>
        <v>155643.16591049905</v>
      </c>
      <c r="O20" s="55">
        <f t="shared" ca="1" si="22"/>
        <v>213614.31389060995</v>
      </c>
      <c r="P20" s="55">
        <f t="shared" ref="P20:P21" si="26">$G$34</f>
        <v>1029.901891</v>
      </c>
      <c r="Q20" s="55">
        <f t="shared" ca="1" si="23"/>
        <v>151.12426462230766</v>
      </c>
      <c r="R20" s="55">
        <f t="shared" ca="1" si="24"/>
        <v>207.41229408094168</v>
      </c>
    </row>
    <row r="21" spans="2:18" x14ac:dyDescent="0.25">
      <c r="B21" s="152" t="s">
        <v>253</v>
      </c>
      <c r="C21" s="12"/>
      <c r="D21" s="298">
        <f>F47</f>
        <v>14030</v>
      </c>
      <c r="E21" s="323">
        <f ca="1">CHOOSE($F$2,Output!$V$21,Output!$V$22,Output!$V$23,Output!$V$24)*(1-E$18)</f>
        <v>15.190258958687776</v>
      </c>
      <c r="F21" s="323">
        <f ca="1">CHOOSE($F$2,Output!$V$21,Output!$V$22,Output!$V$23,Output!$V$24)*(1+F$18)</f>
        <v>18.565872060618393</v>
      </c>
      <c r="G21" s="298">
        <f t="shared" ca="1" si="18"/>
        <v>213119.3331903895</v>
      </c>
      <c r="H21" s="298">
        <f t="shared" ca="1" si="19"/>
        <v>260479.18501047604</v>
      </c>
      <c r="I21" s="298">
        <f t="shared" si="25"/>
        <v>2518</v>
      </c>
      <c r="J21" s="298">
        <f t="shared" si="20"/>
        <v>129732</v>
      </c>
      <c r="K21" s="298">
        <f t="shared" si="20"/>
        <v>7216</v>
      </c>
      <c r="L21" s="298">
        <f t="shared" si="20"/>
        <v>19872</v>
      </c>
      <c r="M21" s="298">
        <f t="shared" si="20"/>
        <v>14367</v>
      </c>
      <c r="N21" s="298">
        <f t="shared" ca="1" si="21"/>
        <v>107892.3331903895</v>
      </c>
      <c r="O21" s="298">
        <f t="shared" ca="1" si="22"/>
        <v>155252.18501047604</v>
      </c>
      <c r="P21" s="298">
        <f t="shared" si="26"/>
        <v>1029.901891</v>
      </c>
      <c r="Q21" s="298">
        <f t="shared" ca="1" si="23"/>
        <v>104.75981657401336</v>
      </c>
      <c r="R21" s="298">
        <f t="shared" ca="1" si="24"/>
        <v>150.74463535524865</v>
      </c>
    </row>
    <row r="22" spans="2:18" ht="15.75" thickBot="1" x14ac:dyDescent="0.3">
      <c r="D22" s="192"/>
      <c r="E22" s="192"/>
      <c r="F22" s="192"/>
      <c r="G22" s="192"/>
      <c r="H22" s="192"/>
      <c r="I22" s="192"/>
      <c r="J22" s="192"/>
      <c r="K22" s="192" t="s">
        <v>254</v>
      </c>
      <c r="L22" s="192"/>
      <c r="M22" s="192"/>
      <c r="N22" s="192"/>
      <c r="O22" s="192"/>
      <c r="P22" s="192"/>
      <c r="Q22" s="300">
        <f ca="1">MEDIAN(Q19:Q21)</f>
        <v>108.05949712046639</v>
      </c>
      <c r="R22" s="300">
        <f ca="1">MEDIAN(R19:R21)</f>
        <v>154.77757824535794</v>
      </c>
    </row>
    <row r="23" spans="2:18" x14ac:dyDescent="0.25"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</row>
    <row r="24" spans="2:18" x14ac:dyDescent="0.25">
      <c r="D24" s="346" t="s">
        <v>245</v>
      </c>
      <c r="E24" s="343" t="s">
        <v>238</v>
      </c>
      <c r="F24" s="343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343" t="s">
        <v>271</v>
      </c>
      <c r="R24" s="343"/>
    </row>
    <row r="25" spans="2:18" x14ac:dyDescent="0.25">
      <c r="D25" s="347"/>
      <c r="E25" s="216" t="s">
        <v>246</v>
      </c>
      <c r="F25" s="216" t="s">
        <v>247</v>
      </c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217" t="s">
        <v>246</v>
      </c>
      <c r="R25" s="217" t="s">
        <v>247</v>
      </c>
    </row>
    <row r="26" spans="2:18" x14ac:dyDescent="0.25">
      <c r="D26" s="192"/>
      <c r="E26" s="158">
        <v>0.1</v>
      </c>
      <c r="F26" s="158">
        <v>0.1</v>
      </c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</row>
    <row r="27" spans="2:18" x14ac:dyDescent="0.25">
      <c r="B27" s="154" t="s">
        <v>395</v>
      </c>
      <c r="C27" s="10"/>
      <c r="D27" s="297">
        <v>6.37</v>
      </c>
      <c r="E27" s="321">
        <f ca="1">CHOOSE($F$2,Output!$M$21,Output!$M$22,Output!$M$23,Output!$M$24)*(1-E$26)</f>
        <v>6.0374988105353493</v>
      </c>
      <c r="F27" s="321">
        <f ca="1">CHOOSE($F$2,Output!$M$21,Output!$M$22,Output!$M$23,Output!$M$24)*(1+F$26)</f>
        <v>7.3791652128765381</v>
      </c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297">
        <f ca="1">$D27*E27</f>
        <v>38.458867423110178</v>
      </c>
      <c r="R27" s="297">
        <f t="shared" ref="R27" ca="1" si="27">$D27*F27</f>
        <v>47.005282406023547</v>
      </c>
    </row>
    <row r="28" spans="2:18" x14ac:dyDescent="0.25">
      <c r="B28" s="45" t="s">
        <v>258</v>
      </c>
      <c r="C28" s="8"/>
      <c r="D28" s="55">
        <v>10.49</v>
      </c>
      <c r="E28" s="322">
        <f ca="1">CHOOSE($F$2,Output!$R$21,Output!$R$22,Output!$R$23,Output!$R$24)*(1-E$26)</f>
        <v>6.6333195186669798</v>
      </c>
      <c r="F28" s="322">
        <f ca="1">CHOOSE($F$2,Output!$R$21,Output!$R$22,Output!$R$23,Output!$R$24)*(1+F$26)</f>
        <v>8.1073905228151979</v>
      </c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55">
        <f t="shared" ref="Q28" ca="1" si="28">$D28*E28</f>
        <v>69.583521750816615</v>
      </c>
      <c r="R28" s="55">
        <f t="shared" ref="R28" ca="1" si="29">$D28*F28</f>
        <v>85.046526584331431</v>
      </c>
    </row>
    <row r="29" spans="2:18" x14ac:dyDescent="0.25">
      <c r="B29" s="152" t="s">
        <v>259</v>
      </c>
      <c r="C29" s="12"/>
      <c r="D29" s="298">
        <v>11.12</v>
      </c>
      <c r="E29" s="323">
        <f ca="1">CHOOSE($F$2,Output!$W$21,Output!$W$22,Output!$W$23,Output!$W$24)*(1-E$26)</f>
        <v>5.1292025293043677</v>
      </c>
      <c r="F29" s="323">
        <f ca="1">CHOOSE($F$2,Output!$W$21,Output!$W$22,Output!$W$23,Output!$W$24)*(1+F$26)</f>
        <v>6.2690253135942271</v>
      </c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298">
        <f ca="1">$D29*E29</f>
        <v>57.036732125864567</v>
      </c>
      <c r="R29" s="298">
        <f ca="1">$D29*F29</f>
        <v>69.711561487167799</v>
      </c>
    </row>
    <row r="30" spans="2:18" ht="15.75" thickBot="1" x14ac:dyDescent="0.3"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301">
        <f ca="1">MEDIAN(Q27:Q29)</f>
        <v>57.036732125864567</v>
      </c>
      <c r="R30" s="301">
        <f ca="1">MEDIAN(R27:R29)</f>
        <v>69.711561487167799</v>
      </c>
    </row>
    <row r="31" spans="2:18" x14ac:dyDescent="0.25"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</row>
    <row r="32" spans="2:18" x14ac:dyDescent="0.25">
      <c r="D32" s="343" t="s">
        <v>260</v>
      </c>
      <c r="E32" s="343"/>
      <c r="F32" s="343"/>
      <c r="G32" s="343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</row>
    <row r="33" spans="2:18" x14ac:dyDescent="0.25">
      <c r="D33" s="348" t="s">
        <v>341</v>
      </c>
      <c r="E33" s="349"/>
      <c r="F33" s="350"/>
      <c r="G33" s="56">
        <f>995001891/10^6</f>
        <v>995.001891</v>
      </c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</row>
    <row r="34" spans="2:18" x14ac:dyDescent="0.25">
      <c r="D34" s="351" t="s">
        <v>342</v>
      </c>
      <c r="E34" s="352"/>
      <c r="F34" s="353"/>
      <c r="G34" s="294">
        <f>G33+J42</f>
        <v>1029.901891</v>
      </c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</row>
    <row r="35" spans="2:18" x14ac:dyDescent="0.25"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</row>
    <row r="36" spans="2:18" x14ac:dyDescent="0.25">
      <c r="B36" s="151" t="s">
        <v>270</v>
      </c>
      <c r="D36" s="218">
        <v>51.37</v>
      </c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</row>
    <row r="37" spans="2:18" x14ac:dyDescent="0.25">
      <c r="B37" s="144"/>
      <c r="C37" s="144"/>
      <c r="D37" s="343" t="s">
        <v>261</v>
      </c>
      <c r="E37" s="343"/>
      <c r="F37" s="343"/>
      <c r="G37" s="343"/>
      <c r="H37" s="343"/>
      <c r="I37" s="343"/>
      <c r="J37" s="343"/>
      <c r="K37" s="192"/>
      <c r="L37" s="192"/>
      <c r="M37" s="192"/>
      <c r="N37" s="192"/>
      <c r="O37" s="192"/>
      <c r="P37" s="192"/>
      <c r="Q37" s="192"/>
      <c r="R37" s="192"/>
    </row>
    <row r="38" spans="2:18" x14ac:dyDescent="0.25">
      <c r="B38" s="144"/>
      <c r="C38" s="144"/>
      <c r="D38" s="345" t="s">
        <v>263</v>
      </c>
      <c r="E38" s="344" t="s">
        <v>268</v>
      </c>
      <c r="F38" s="345" t="s">
        <v>264</v>
      </c>
      <c r="G38" s="343" t="s">
        <v>262</v>
      </c>
      <c r="H38" s="343"/>
      <c r="I38" s="343"/>
      <c r="J38" s="344" t="s">
        <v>269</v>
      </c>
      <c r="K38" s="192"/>
      <c r="L38" s="192"/>
      <c r="M38" s="192"/>
      <c r="N38" s="192"/>
      <c r="O38" s="192"/>
      <c r="P38" s="192"/>
      <c r="Q38" s="192"/>
      <c r="R38" s="192"/>
    </row>
    <row r="39" spans="2:18" x14ac:dyDescent="0.25">
      <c r="B39" s="144"/>
      <c r="C39" s="144"/>
      <c r="D39" s="345"/>
      <c r="E39" s="344"/>
      <c r="F39" s="345"/>
      <c r="G39" s="217" t="s">
        <v>265</v>
      </c>
      <c r="H39" s="217" t="s">
        <v>266</v>
      </c>
      <c r="I39" s="217" t="s">
        <v>267</v>
      </c>
      <c r="J39" s="344"/>
      <c r="K39" s="340" t="s">
        <v>398</v>
      </c>
      <c r="L39" s="341"/>
      <c r="M39" s="192"/>
      <c r="N39" s="192"/>
      <c r="O39" s="192"/>
      <c r="P39" s="192"/>
      <c r="Q39" s="192"/>
      <c r="R39" s="192"/>
    </row>
    <row r="40" spans="2:18" x14ac:dyDescent="0.25">
      <c r="B40" s="15" t="s">
        <v>345</v>
      </c>
      <c r="C40" s="10"/>
      <c r="D40" s="188">
        <v>0</v>
      </c>
      <c r="E40" s="188">
        <v>0</v>
      </c>
      <c r="F40" s="188" t="str">
        <f>IF(E40&lt;$D$36,"Yes👍","No👎")</f>
        <v>Yes👍</v>
      </c>
      <c r="G40" s="188">
        <f>IF(F40="Yes👍",D40,0)</f>
        <v>0</v>
      </c>
      <c r="H40" s="188">
        <f>E40*G40</f>
        <v>0</v>
      </c>
      <c r="I40" s="188">
        <f>H40/$D$36</f>
        <v>0</v>
      </c>
      <c r="J40" s="188">
        <f>G40-I40</f>
        <v>0</v>
      </c>
      <c r="K40" s="192">
        <f>D40*(1-E40/D36)</f>
        <v>0</v>
      </c>
      <c r="L40" s="192" t="b">
        <f>J40=K40</f>
        <v>1</v>
      </c>
      <c r="M40" s="192"/>
      <c r="N40" s="192"/>
      <c r="O40" s="192"/>
      <c r="P40" s="192"/>
      <c r="Q40" s="192"/>
      <c r="R40" s="192"/>
    </row>
    <row r="41" spans="2:18" x14ac:dyDescent="0.25">
      <c r="B41" s="149" t="s">
        <v>344</v>
      </c>
      <c r="C41" s="12"/>
      <c r="D41" s="191">
        <v>34.9</v>
      </c>
      <c r="E41" s="191">
        <v>0</v>
      </c>
      <c r="F41" s="191" t="str">
        <f t="shared" ref="F41" si="30">IF(E41&lt;$D$36,"Yes👍","No👎")</f>
        <v>Yes👍</v>
      </c>
      <c r="G41" s="191">
        <f t="shared" ref="G41" si="31">IF(F41="Yes👍",D41,0)</f>
        <v>34.9</v>
      </c>
      <c r="H41" s="191">
        <f>E41*G41</f>
        <v>0</v>
      </c>
      <c r="I41" s="191">
        <f t="shared" ref="I41" si="32">H41/$D$36</f>
        <v>0</v>
      </c>
      <c r="J41" s="191">
        <f t="shared" ref="J41" si="33">G41-I41</f>
        <v>34.9</v>
      </c>
      <c r="K41" s="192"/>
      <c r="L41" s="192"/>
      <c r="M41" s="192"/>
      <c r="N41" s="192"/>
      <c r="O41" s="192"/>
      <c r="P41" s="192"/>
      <c r="Q41" s="192"/>
      <c r="R41" s="192"/>
    </row>
    <row r="42" spans="2:18" ht="15.75" thickBot="1" x14ac:dyDescent="0.3">
      <c r="D42" s="192"/>
      <c r="E42" s="192"/>
      <c r="F42" s="192"/>
      <c r="G42" s="192"/>
      <c r="H42" s="192"/>
      <c r="I42" s="192"/>
      <c r="J42" s="193">
        <f>SUM(J40:J41)</f>
        <v>34.9</v>
      </c>
      <c r="K42" s="192"/>
      <c r="L42" s="192"/>
      <c r="M42" s="192"/>
      <c r="N42" s="192"/>
      <c r="O42" s="192"/>
      <c r="P42" s="192"/>
      <c r="Q42" s="192"/>
      <c r="R42" s="192"/>
    </row>
    <row r="43" spans="2:18" x14ac:dyDescent="0.25"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</row>
    <row r="44" spans="2:18" x14ac:dyDescent="0.25">
      <c r="B44" s="206" t="s">
        <v>274</v>
      </c>
      <c r="C44" s="173"/>
      <c r="D44" s="216">
        <v>2024</v>
      </c>
      <c r="E44" s="216" t="s">
        <v>404</v>
      </c>
      <c r="F44" s="216" t="s">
        <v>405</v>
      </c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</row>
    <row r="45" spans="2:18" x14ac:dyDescent="0.25">
      <c r="B45" s="45" t="s">
        <v>276</v>
      </c>
      <c r="C45" s="8"/>
      <c r="D45" s="219">
        <v>187442</v>
      </c>
      <c r="E45" s="219">
        <v>182129</v>
      </c>
      <c r="F45" s="219">
        <v>183154</v>
      </c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</row>
    <row r="46" spans="2:18" x14ac:dyDescent="0.25">
      <c r="B46" s="45" t="s">
        <v>277</v>
      </c>
      <c r="C46" s="8"/>
      <c r="D46" s="219">
        <v>26390</v>
      </c>
      <c r="E46" s="219">
        <v>23509</v>
      </c>
      <c r="F46" s="219">
        <v>24427</v>
      </c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</row>
    <row r="47" spans="2:18" x14ac:dyDescent="0.25">
      <c r="B47" s="149" t="s">
        <v>205</v>
      </c>
      <c r="C47" s="12"/>
      <c r="D47" s="296">
        <v>14934</v>
      </c>
      <c r="E47" s="296">
        <v>13932</v>
      </c>
      <c r="F47" s="296">
        <v>14030</v>
      </c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</row>
    <row r="48" spans="2:18" x14ac:dyDescent="0.25">
      <c r="B48" s="153" t="s">
        <v>275</v>
      </c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</row>
    <row r="49" spans="4:18" x14ac:dyDescent="0.25"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</row>
    <row r="50" spans="4:18" x14ac:dyDescent="0.25"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</row>
    <row r="51" spans="4:18" x14ac:dyDescent="0.25"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</row>
    <row r="52" spans="4:18" x14ac:dyDescent="0.25"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</row>
    <row r="53" spans="4:18" x14ac:dyDescent="0.25"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</row>
    <row r="54" spans="4:18" x14ac:dyDescent="0.25"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</row>
    <row r="55" spans="4:18" x14ac:dyDescent="0.25"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</row>
  </sheetData>
  <mergeCells count="25">
    <mergeCell ref="B2:B3"/>
    <mergeCell ref="D32:G32"/>
    <mergeCell ref="D24:D25"/>
    <mergeCell ref="D33:F33"/>
    <mergeCell ref="D34:F34"/>
    <mergeCell ref="E24:F24"/>
    <mergeCell ref="D4:D5"/>
    <mergeCell ref="E4:F4"/>
    <mergeCell ref="G4:H4"/>
    <mergeCell ref="Q24:R24"/>
    <mergeCell ref="M4:M5"/>
    <mergeCell ref="N4:O4"/>
    <mergeCell ref="P4:P5"/>
    <mergeCell ref="Q4:R4"/>
    <mergeCell ref="K39:L39"/>
    <mergeCell ref="I4:I5"/>
    <mergeCell ref="J4:J5"/>
    <mergeCell ref="K4:K5"/>
    <mergeCell ref="L4:L5"/>
    <mergeCell ref="D37:J37"/>
    <mergeCell ref="E38:E39"/>
    <mergeCell ref="D38:D39"/>
    <mergeCell ref="F38:F39"/>
    <mergeCell ref="G38:I38"/>
    <mergeCell ref="J38:J39"/>
  </mergeCells>
  <dataValidations count="1">
    <dataValidation type="list" allowBlank="1" showInputMessage="1" showErrorMessage="1" sqref="E2" xr:uid="{242FA901-6ACC-4C76-B159-AF35CC98E3C6}">
      <formula1>$V$3:$V$6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C139-ED8E-46DA-BCE8-DBD94C38CD45}">
  <dimension ref="B3:Y24"/>
  <sheetViews>
    <sheetView showGridLines="0" zoomScale="80" zoomScaleNormal="8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B13" sqref="B13:B14"/>
    </sheetView>
  </sheetViews>
  <sheetFormatPr defaultRowHeight="15" x14ac:dyDescent="0.25"/>
  <cols>
    <col min="1" max="1" width="2" bestFit="1" customWidth="1"/>
    <col min="2" max="2" width="29.140625" bestFit="1" customWidth="1"/>
    <col min="3" max="3" width="2" bestFit="1" customWidth="1"/>
    <col min="4" max="4" width="11.5703125" customWidth="1"/>
    <col min="5" max="5" width="11.7109375" customWidth="1"/>
    <col min="6" max="6" width="9.140625" customWidth="1"/>
    <col min="7" max="7" width="12.140625" bestFit="1" customWidth="1"/>
    <col min="8" max="8" width="15.85546875" bestFit="1" customWidth="1"/>
    <col min="9" max="9" width="2.28515625" bestFit="1" customWidth="1"/>
    <col min="10" max="10" width="15.28515625" bestFit="1" customWidth="1"/>
    <col min="11" max="13" width="12.42578125" bestFit="1" customWidth="1"/>
    <col min="14" max="14" width="2.28515625" bestFit="1" customWidth="1"/>
    <col min="15" max="15" width="13.5703125" bestFit="1" customWidth="1"/>
    <col min="16" max="16" width="11.42578125" bestFit="1" customWidth="1"/>
    <col min="17" max="18" width="12.42578125" bestFit="1" customWidth="1"/>
    <col min="19" max="19" width="2.28515625" bestFit="1" customWidth="1"/>
    <col min="20" max="20" width="13.5703125" bestFit="1" customWidth="1"/>
    <col min="21" max="22" width="12.42578125" bestFit="1" customWidth="1"/>
    <col min="23" max="23" width="13.5703125" bestFit="1" customWidth="1"/>
    <col min="24" max="24" width="2.28515625" bestFit="1" customWidth="1"/>
  </cols>
  <sheetData>
    <row r="3" spans="2:25" ht="15" customHeight="1" x14ac:dyDescent="0.25"/>
    <row r="4" spans="2:25" ht="20.25" x14ac:dyDescent="0.3">
      <c r="B4" s="330" t="s">
        <v>355</v>
      </c>
      <c r="C4" s="331"/>
      <c r="D4" s="331"/>
      <c r="E4" s="331"/>
      <c r="F4" s="331"/>
      <c r="G4" s="331"/>
      <c r="H4" s="332"/>
    </row>
    <row r="6" spans="2:25" x14ac:dyDescent="0.25">
      <c r="B6" s="38" t="s">
        <v>356</v>
      </c>
    </row>
    <row r="8" spans="2:25" x14ac:dyDescent="0.25">
      <c r="B8" s="38" t="s">
        <v>357</v>
      </c>
      <c r="D8" t="s">
        <v>393</v>
      </c>
    </row>
    <row r="9" spans="2:25" x14ac:dyDescent="0.25">
      <c r="B9" s="38" t="s">
        <v>358</v>
      </c>
      <c r="D9" t="s">
        <v>359</v>
      </c>
    </row>
    <row r="10" spans="2:25" x14ac:dyDescent="0.25">
      <c r="B10" s="38" t="s">
        <v>360</v>
      </c>
      <c r="D10" t="s">
        <v>350</v>
      </c>
    </row>
    <row r="12" spans="2:25" x14ac:dyDescent="0.25">
      <c r="D12" s="185" t="s">
        <v>376</v>
      </c>
      <c r="E12" s="185" t="s">
        <v>394</v>
      </c>
      <c r="F12" s="185" t="s">
        <v>377</v>
      </c>
      <c r="G12" s="185" t="s">
        <v>378</v>
      </c>
      <c r="H12" s="185" t="s">
        <v>379</v>
      </c>
      <c r="I12" s="2"/>
      <c r="J12" s="185" t="s">
        <v>380</v>
      </c>
      <c r="K12" s="185" t="s">
        <v>381</v>
      </c>
      <c r="L12" s="185" t="s">
        <v>382</v>
      </c>
      <c r="M12" s="185" t="s">
        <v>383</v>
      </c>
      <c r="N12" s="2"/>
      <c r="O12" s="185" t="s">
        <v>384</v>
      </c>
      <c r="P12" s="185" t="s">
        <v>385</v>
      </c>
      <c r="Q12" s="185" t="s">
        <v>386</v>
      </c>
      <c r="R12" s="185" t="s">
        <v>387</v>
      </c>
      <c r="S12" s="2"/>
      <c r="T12" s="185" t="s">
        <v>388</v>
      </c>
      <c r="U12" s="185" t="s">
        <v>389</v>
      </c>
      <c r="V12" s="185" t="s">
        <v>390</v>
      </c>
      <c r="W12" s="185" t="s">
        <v>391</v>
      </c>
      <c r="X12" s="2"/>
      <c r="Y12" s="185" t="s">
        <v>392</v>
      </c>
    </row>
    <row r="13" spans="2:25" x14ac:dyDescent="0.25">
      <c r="B13" s="354" t="s">
        <v>365</v>
      </c>
      <c r="C13" s="176"/>
      <c r="D13" s="357" t="s">
        <v>288</v>
      </c>
      <c r="E13" s="357" t="s">
        <v>361</v>
      </c>
      <c r="F13" s="357" t="s">
        <v>164</v>
      </c>
      <c r="G13" s="357" t="s">
        <v>296</v>
      </c>
      <c r="H13" s="359" t="s">
        <v>366</v>
      </c>
      <c r="I13" s="178"/>
      <c r="J13" s="356" t="s">
        <v>362</v>
      </c>
      <c r="K13" s="356"/>
      <c r="L13" s="356"/>
      <c r="M13" s="356"/>
      <c r="N13" s="178"/>
      <c r="O13" s="356" t="s">
        <v>363</v>
      </c>
      <c r="P13" s="356"/>
      <c r="Q13" s="356"/>
      <c r="R13" s="356"/>
      <c r="S13" s="178"/>
      <c r="T13" s="356" t="s">
        <v>364</v>
      </c>
      <c r="U13" s="356"/>
      <c r="V13" s="356"/>
      <c r="W13" s="356"/>
      <c r="X13" s="178"/>
      <c r="Y13" s="178"/>
    </row>
    <row r="14" spans="2:25" x14ac:dyDescent="0.25">
      <c r="B14" s="355"/>
      <c r="C14" s="177"/>
      <c r="D14" s="358"/>
      <c r="E14" s="358"/>
      <c r="F14" s="358"/>
      <c r="G14" s="358"/>
      <c r="H14" s="360"/>
      <c r="I14" s="179"/>
      <c r="J14" s="49" t="s">
        <v>367</v>
      </c>
      <c r="K14" s="49" t="s">
        <v>368</v>
      </c>
      <c r="L14" s="49" t="s">
        <v>369</v>
      </c>
      <c r="M14" s="49" t="s">
        <v>370</v>
      </c>
      <c r="N14" s="179"/>
      <c r="O14" s="49" t="s">
        <v>367</v>
      </c>
      <c r="P14" s="49" t="s">
        <v>368</v>
      </c>
      <c r="Q14" s="49" t="s">
        <v>369</v>
      </c>
      <c r="R14" s="49" t="s">
        <v>370</v>
      </c>
      <c r="S14" s="179"/>
      <c r="T14" s="49" t="s">
        <v>367</v>
      </c>
      <c r="U14" s="49" t="s">
        <v>368</v>
      </c>
      <c r="V14" s="49" t="s">
        <v>369</v>
      </c>
      <c r="W14" s="49" t="s">
        <v>370</v>
      </c>
      <c r="X14" s="179"/>
      <c r="Y14" s="180" t="s">
        <v>371</v>
      </c>
    </row>
    <row r="15" spans="2:25" x14ac:dyDescent="0.25">
      <c r="B15" s="4" t="str">
        <f>'Bottom-Up Beta'!B7</f>
        <v>TESLA</v>
      </c>
      <c r="C15" s="8"/>
      <c r="D15" s="20" t="str" cm="1">
        <f t="array" aca="1" ref="D15" ca="1">INDIRECT("'"&amp;$B15&amp;"'!"&amp;D$12)</f>
        <v>USD</v>
      </c>
      <c r="E15" s="208" cm="1">
        <f t="array" aca="1" ref="E15" ca="1">INDIRECT("'"&amp;$B15&amp;"'!"&amp;E$12)</f>
        <v>1</v>
      </c>
      <c r="F15" s="199" cm="1">
        <f t="array" aca="1" ref="F15" ca="1">INDIRECT("'"&amp;$B15&amp;"'!"&amp;F$12)*E15</f>
        <v>379.28</v>
      </c>
      <c r="G15" s="199" cm="1">
        <f t="array" aca="1" ref="G15" ca="1">INDIRECT("'"&amp;$B15&amp;"'!"&amp;G$12)*E15</f>
        <v>1343790.9013233599</v>
      </c>
      <c r="H15" s="199" cm="1">
        <f t="array" aca="1" ref="H15" ca="1">INDIRECT("'"&amp;$B15&amp;"'!"&amp;H$12)*E15</f>
        <v>1316144.9013233599</v>
      </c>
      <c r="I15" s="8"/>
      <c r="J15" s="199" cm="1">
        <f t="array" aca="1" ref="J15" ca="1">$H15/(INDIRECT("'"&amp;$B15&amp;"'!"&amp;J$12)*$E15)</f>
        <v>13.472667635616336</v>
      </c>
      <c r="K15" s="199" cm="1">
        <f t="array" aca="1" ref="K15" ca="1">$H15/(INDIRECT("'"&amp;$B15&amp;"'!"&amp;K$12)*$E15)</f>
        <v>105.7654211928126</v>
      </c>
      <c r="L15" s="199" cm="1">
        <f t="array" aca="1" ref="L15" ca="1">$H15/(INDIRECT("'"&amp;$B15&amp;"'!"&amp;L$12)*$E15)</f>
        <v>186.00125795977388</v>
      </c>
      <c r="M15" s="199" cm="1">
        <f t="array" aca="1" ref="M15" ca="1">$G15/(INDIRECT("'"&amp;$B15&amp;"'!"&amp;M$12)*$E15)</f>
        <v>208.37198035716543</v>
      </c>
      <c r="N15" s="8"/>
      <c r="O15" s="199" cm="1">
        <f t="array" aca="1" ref="O15" ca="1">$H15/(INDIRECT("'"&amp;$B15&amp;"'!"&amp;O$12)*$E15)</f>
        <v>11.692414105072313</v>
      </c>
      <c r="P15" s="199" cm="1">
        <f t="array" aca="1" ref="P15" ca="1">$H15/(INDIRECT("'"&amp;$B15&amp;"'!"&amp;P$12)*$E15)</f>
        <v>70.71865570487131</v>
      </c>
      <c r="Q15" s="199" cm="1">
        <f t="array" aca="1" ref="Q15" ca="1">$H15/(INDIRECT("'"&amp;$B15&amp;"'!"&amp;Q$12)*$E15)</f>
        <v>135.23889244999589</v>
      </c>
      <c r="R15" s="199" cm="1">
        <f t="array" aca="1" ref="R15" ca="1">$G15/(INDIRECT("'"&amp;$B15&amp;"'!"&amp;R$12)*$E15)</f>
        <v>145.589480100039</v>
      </c>
      <c r="S15" s="8"/>
      <c r="T15" s="199" cm="1">
        <f t="array" aca="1" ref="T15" ca="1">$H15/(INDIRECT("'"&amp;$B15&amp;"'!"&amp;T$12)*$E15)</f>
        <v>9.8139206720107364</v>
      </c>
      <c r="U15" s="199" cm="1">
        <f t="array" aca="1" ref="U15" ca="1">$H15/(INDIRECT("'"&amp;$B15&amp;"'!"&amp;U$12)*$E15)</f>
        <v>55.34904332912906</v>
      </c>
      <c r="V15" s="199" cm="1">
        <f t="array" aca="1" ref="V15" ca="1">$H15/(INDIRECT("'"&amp;$B15&amp;"'!"&amp;V$12)*$E15)</f>
        <v>96.223490373107168</v>
      </c>
      <c r="W15" s="199" cm="1">
        <f t="array" aca="1" ref="W15" ca="1">$G15/(INDIRECT("'"&amp;$B15&amp;"'!"&amp;W$12)*$E15)</f>
        <v>111.71260298639621</v>
      </c>
      <c r="X15" s="8"/>
      <c r="Y15" s="200" cm="1">
        <f t="array" aca="1" ref="Y15" ca="1">INDIRECT("'"&amp;$B15&amp;"'!"&amp;Y$12)</f>
        <v>0.33054167863159623</v>
      </c>
    </row>
    <row r="16" spans="2:25" x14ac:dyDescent="0.25">
      <c r="B16" s="4" t="str">
        <f>'Bottom-Up Beta'!B8</f>
        <v>FERRARI N.V.</v>
      </c>
      <c r="C16" s="8"/>
      <c r="D16" s="20" t="str" cm="1">
        <f t="array" aca="1" ref="D16" ca="1">INDIRECT("'"&amp;$B16&amp;"'!"&amp;D$12)</f>
        <v>EUR</v>
      </c>
      <c r="E16" s="208" cm="1">
        <f t="array" aca="1" ref="E16" ca="1">INDIRECT("'"&amp;$B16&amp;"'!"&amp;E$12)</f>
        <v>1.05</v>
      </c>
      <c r="F16" s="199" cm="1">
        <f t="array" aca="1" ref="F16" ca="1">INDIRECT("'"&amp;$B16&amp;"'!"&amp;F$12)*E16</f>
        <v>503.26500000000004</v>
      </c>
      <c r="G16" s="199" cm="1">
        <f t="array" aca="1" ref="G16" ca="1">INDIRECT("'"&amp;$B16&amp;"'!"&amp;G$12)*E16</f>
        <v>120539.05850385001</v>
      </c>
      <c r="H16" s="199" cm="1">
        <f t="array" aca="1" ref="H16" ca="1">INDIRECT("'"&amp;$B16&amp;"'!"&amp;H$12)*E16</f>
        <v>122408.00285385002</v>
      </c>
      <c r="I16" s="8"/>
      <c r="J16" s="199" cm="1">
        <f t="array" aca="1" ref="J16" ca="1">$H16/(INDIRECT("'"&amp;$B16&amp;"'!"&amp;J$12)*$E16)</f>
        <v>18.033655105315518</v>
      </c>
      <c r="K16" s="199" cm="1">
        <f t="array" aca="1" ref="K16" ca="1">$H16/(INDIRECT("'"&amp;$B16&amp;"'!"&amp;K$12)*$E16)</f>
        <v>47.18901680125645</v>
      </c>
      <c r="L16" s="199" cm="1">
        <f t="array" aca="1" ref="L16" ca="1">$H16/(INDIRECT("'"&amp;$B16&amp;"'!"&amp;L$12)*$E16)</f>
        <v>65.055273625558044</v>
      </c>
      <c r="M16" s="199" cm="1">
        <f t="array" aca="1" ref="M16" ca="1">$G16/(INDIRECT("'"&amp;$B16&amp;"'!"&amp;M$12)*$E16)</f>
        <v>80.004838892830307</v>
      </c>
      <c r="N16" s="8"/>
      <c r="O16" s="199" cm="1">
        <f t="array" aca="1" ref="O16" ca="1">$H16/(INDIRECT("'"&amp;$B16&amp;"'!"&amp;O$12)*$E16)</f>
        <v>17.45979486850382</v>
      </c>
      <c r="P16" s="199" cm="1">
        <f t="array" aca="1" ref="P16" ca="1">$H16/(INDIRECT("'"&amp;$B16&amp;"'!"&amp;P$12)*$E16)</f>
        <v>45.627808351076325</v>
      </c>
      <c r="Q16" s="199" cm="1">
        <f t="array" aca="1" ref="Q16" ca="1">$H16/(INDIRECT("'"&amp;$B16&amp;"'!"&amp;Q$12)*$E16)</f>
        <v>61.747378356461873</v>
      </c>
      <c r="R16" s="199" cm="1">
        <f t="array" aca="1" ref="R16" ca="1">$G16/(INDIRECT("'"&amp;$B16&amp;"'!"&amp;R$12)*$E16)</f>
        <v>75.228770207732651</v>
      </c>
      <c r="S16" s="8"/>
      <c r="T16" s="199" cm="1">
        <f t="array" aca="1" ref="T16" ca="1">$H16/(INDIRECT("'"&amp;$B16&amp;"'!"&amp;T$12)*$E16)</f>
        <v>16.272899265354553</v>
      </c>
      <c r="U16" s="199" cm="1">
        <f t="array" aca="1" ref="U16" ca="1">$H16/(INDIRECT("'"&amp;$B16&amp;"'!"&amp;U$12)*$E16)</f>
        <v>42.101498857710368</v>
      </c>
      <c r="V16" s="199" cm="1">
        <f t="array" aca="1" ref="V16" ca="1">$H16/(INDIRECT("'"&amp;$B16&amp;"'!"&amp;V$12)*$E16)</f>
        <v>55.593252425846458</v>
      </c>
      <c r="W16" s="199" cm="1">
        <f t="array" aca="1" ref="W16" ca="1">$G16/(INDIRECT("'"&amp;$B16&amp;"'!"&amp;W$12)*$E16)</f>
        <v>70.819928030228255</v>
      </c>
      <c r="X16" s="8"/>
      <c r="Y16" s="200" cm="1">
        <f t="array" aca="1" ref="Y16" ca="1">INDIRECT("'"&amp;$B16&amp;"'!"&amp;Y$12)</f>
        <v>0.11127471714508252</v>
      </c>
    </row>
    <row r="17" spans="2:25" x14ac:dyDescent="0.25">
      <c r="B17" s="4" t="str">
        <f>'Bottom-Up Beta'!B9</f>
        <v>FORD MOTOR COMPANY</v>
      </c>
      <c r="C17" s="8"/>
      <c r="D17" s="20" t="str" cm="1">
        <f t="array" aca="1" ref="D17" ca="1">INDIRECT("'"&amp;$B17&amp;"'!"&amp;D$12)</f>
        <v>USD</v>
      </c>
      <c r="E17" s="208" cm="1">
        <f t="array" aca="1" ref="E17" ca="1">INDIRECT("'"&amp;$B17&amp;"'!"&amp;E$12)</f>
        <v>1</v>
      </c>
      <c r="F17" s="199" cm="1">
        <f t="array" aca="1" ref="F17" ca="1">INDIRECT("'"&amp;$B17&amp;"'!"&amp;F$12)*E17</f>
        <v>9.65</v>
      </c>
      <c r="G17" s="199" cm="1">
        <f t="array" aca="1" ref="G17" ca="1">INDIRECT("'"&amp;$B17&amp;"'!"&amp;G$12)*E17</f>
        <v>39283.992260550003</v>
      </c>
      <c r="H17" s="199" cm="1">
        <f t="array" aca="1" ref="H17" ca="1">INDIRECT("'"&amp;$B17&amp;"'!"&amp;H$12)*E17</f>
        <v>164442.99226055</v>
      </c>
      <c r="I17" s="8"/>
      <c r="J17" s="199" cm="1">
        <f t="array" aca="1" ref="J17" ca="1">$H17/(INDIRECT("'"&amp;$B17&amp;"'!"&amp;J$12)*$E17)</f>
        <v>0.95215564172958667</v>
      </c>
      <c r="K17" s="199" cm="1">
        <f t="array" aca="1" ref="K17" ca="1">$H17/(INDIRECT("'"&amp;$B17&amp;"'!"&amp;K$12)*$E17)</f>
        <v>10.229735132849145</v>
      </c>
      <c r="L17" s="199" cm="1">
        <f t="array" aca="1" ref="L17" ca="1">$H17/(INDIRECT("'"&amp;$B17&amp;"'!"&amp;L$12)*$E17)</f>
        <v>16.109227298251373</v>
      </c>
      <c r="M17" s="199" cm="1">
        <f t="array" aca="1" ref="M17" ca="1">$G17/(INDIRECT("'"&amp;$B17&amp;"'!"&amp;M$12)*$E17)</f>
        <v>6.7083320117059433</v>
      </c>
      <c r="N17" s="8"/>
      <c r="O17" s="199" cm="1">
        <f t="array" aca="1" ref="O17" ca="1">$H17/(INDIRECT("'"&amp;$B17&amp;"'!"&amp;O$12)*$E17)</f>
        <v>0.95274039548406719</v>
      </c>
      <c r="P17" s="199" cm="1">
        <f t="array" aca="1" ref="P17" ca="1">$H17/(INDIRECT("'"&amp;$B17&amp;"'!"&amp;P$12)*$E17)</f>
        <v>12.572094209522172</v>
      </c>
      <c r="Q17" s="199" cm="1">
        <f t="array" aca="1" ref="Q17" ca="1">$H17/(INDIRECT("'"&amp;$B17&amp;"'!"&amp;Q$12)*$E17)</f>
        <v>20.805034445919787</v>
      </c>
      <c r="R17" s="199" cm="1">
        <f t="array" aca="1" ref="R17" ca="1">$G17/(INDIRECT("'"&amp;$B17&amp;"'!"&amp;R$12)*$E17)</f>
        <v>7.3703550207410888</v>
      </c>
      <c r="S17" s="8"/>
      <c r="T17" s="199" cm="1">
        <f t="array" aca="1" ref="T17" ca="1">$H17/(INDIRECT("'"&amp;$B17&amp;"'!"&amp;T$12)*$E17)</f>
        <v>0.94328026719602365</v>
      </c>
      <c r="U17" s="199" cm="1">
        <f t="array" aca="1" ref="U17" ca="1">$H17/(INDIRECT("'"&amp;$B17&amp;"'!"&amp;U$12)*$E17)</f>
        <v>11.869712159704779</v>
      </c>
      <c r="V17" s="199" cm="1">
        <f t="array" aca="1" ref="V17" ca="1">$H17/(INDIRECT("'"&amp;$B17&amp;"'!"&amp;V$12)*$E17)</f>
        <v>16.878065509653084</v>
      </c>
      <c r="W17" s="199" cm="1">
        <f t="array" aca="1" ref="W17" ca="1">$G17/(INDIRECT("'"&amp;$B17&amp;"'!"&amp;W$12)*$E17)</f>
        <v>5.699113921449297</v>
      </c>
      <c r="X17" s="8"/>
      <c r="Y17" s="200" cm="1">
        <f t="array" aca="1" ref="Y17" ca="1">INDIRECT("'"&amp;$B17&amp;"'!"&amp;Y$12)</f>
        <v>-6.2389471935260232E-3</v>
      </c>
    </row>
    <row r="18" spans="2:25" x14ac:dyDescent="0.25">
      <c r="B18" s="4" t="str">
        <f>'Bottom-Up Beta'!B10</f>
        <v>STELLANTIS N.V.</v>
      </c>
      <c r="C18" s="8"/>
      <c r="D18" s="20" t="str" cm="1">
        <f t="array" aca="1" ref="D18" ca="1">INDIRECT("'"&amp;$B18&amp;"'!"&amp;D$12)</f>
        <v>EUR</v>
      </c>
      <c r="E18" s="208" cm="1">
        <f t="array" aca="1" ref="E18" ca="1">INDIRECT("'"&amp;$B18&amp;"'!"&amp;E$12)</f>
        <v>1.05</v>
      </c>
      <c r="F18" s="199" cm="1">
        <f t="array" aca="1" ref="F18" ca="1">INDIRECT("'"&amp;$B18&amp;"'!"&amp;F$12)*E18</f>
        <v>14.101499999999998</v>
      </c>
      <c r="G18" s="199" cm="1">
        <f t="array" aca="1" ref="G18" ca="1">INDIRECT("'"&amp;$B18&amp;"'!"&amp;G$12)*E18</f>
        <v>42743.043098458504</v>
      </c>
      <c r="H18" s="199" cm="1">
        <f t="array" aca="1" ref="H18" ca="1">INDIRECT("'"&amp;$B18&amp;"'!"&amp;H$12)*E18</f>
        <v>44672.943098458498</v>
      </c>
      <c r="I18" s="8"/>
      <c r="J18" s="199" cm="1">
        <f t="array" aca="1" ref="J18" ca="1">$H18/(INDIRECT("'"&amp;$B18&amp;"'!"&amp;J$12)*$E18)</f>
        <v>0.2414719091778334</v>
      </c>
      <c r="K18" s="199" cm="1">
        <f t="array" aca="1" ref="K18" ca="1">$H18/(INDIRECT("'"&amp;$B18&amp;"'!"&amp;K$12)*$E18)</f>
        <v>1.8594318471120144</v>
      </c>
      <c r="L18" s="199" cm="1">
        <f t="array" aca="1" ref="L18" ca="1">$H18/(INDIRECT("'"&amp;$B18&amp;"'!"&amp;L$12)*$E18)</f>
        <v>2.7494933497331004</v>
      </c>
      <c r="M18" s="199" cm="1">
        <f t="array" aca="1" ref="M18" ca="1">$G18/(INDIRECT("'"&amp;$B18&amp;"'!"&amp;M$12)*$E18)</f>
        <v>3.1915060834002356</v>
      </c>
      <c r="N18" s="8"/>
      <c r="O18" s="199" cm="1">
        <f t="array" aca="1" ref="O18" ca="1">$H18/(INDIRECT("'"&amp;$B18&amp;"'!"&amp;O$12)*$E18)</f>
        <v>0.27315232664627176</v>
      </c>
      <c r="P18" s="199" cm="1">
        <f t="array" aca="1" ref="P18" ca="1">$H18/(INDIRECT("'"&amp;$B18&amp;"'!"&amp;P$12)*$E18)</f>
        <v>2.6056871688982115</v>
      </c>
      <c r="Q18" s="199" cm="1">
        <f t="array" aca="1" ref="Q18" ca="1">$H18/(INDIRECT("'"&amp;$B18&amp;"'!"&amp;Q$12)*$E18)</f>
        <v>4.4309164854998953</v>
      </c>
      <c r="R18" s="199" cm="1">
        <f t="array" aca="1" ref="R18" ca="1">$G18/(INDIRECT("'"&amp;$B18&amp;"'!"&amp;R$12)*$E18)</f>
        <v>6.4862428447689613</v>
      </c>
      <c r="S18" s="8"/>
      <c r="T18" s="199" cm="1">
        <f t="array" aca="1" ref="T18" ca="1">$H18/(INDIRECT("'"&amp;$B18&amp;"'!"&amp;T$12)*$E18)</f>
        <v>0.2618001137994117</v>
      </c>
      <c r="U18" s="199" cm="1">
        <f t="array" aca="1" ref="U18" ca="1">$H18/(INDIRECT("'"&amp;$B18&amp;"'!"&amp;U$12)*$E18)</f>
        <v>2.3043741587916369</v>
      </c>
      <c r="V18" s="199" cm="1">
        <f t="array" aca="1" ref="V18" ca="1">$H18/(INDIRECT("'"&amp;$B18&amp;"'!"&amp;V$12)*$E18)</f>
        <v>4.0461873603204941</v>
      </c>
      <c r="W18" s="199" cm="1">
        <f t="array" aca="1" ref="W18" ca="1">$G18/(INDIRECT("'"&amp;$B18&amp;"'!"&amp;W$12)*$E18)</f>
        <v>5.0650317399241009</v>
      </c>
      <c r="X18" s="8"/>
      <c r="Y18" s="200" cm="1">
        <f t="array" aca="1" ref="Y18" ca="1">INDIRECT("'"&amp;$B18&amp;"'!"&amp;Y$12)</f>
        <v>-0.11727619567254699</v>
      </c>
    </row>
    <row r="19" spans="2:25" x14ac:dyDescent="0.25">
      <c r="B19" s="91" t="str">
        <f>'Bottom-Up Beta'!B11</f>
        <v>TOYOTA MOTOR CORP.</v>
      </c>
      <c r="C19" s="12"/>
      <c r="D19" s="92" t="str" cm="1">
        <f t="array" aca="1" ref="D19" ca="1">INDIRECT("'"&amp;$B19&amp;"'!"&amp;D$12)</f>
        <v>JPY</v>
      </c>
      <c r="E19" s="207" cm="1">
        <f t="array" aca="1" ref="E19" ca="1">INDIRECT("'"&amp;$B19&amp;"'!"&amp;E$12)</f>
        <v>6.6E-3</v>
      </c>
      <c r="F19" s="202" cm="1">
        <f t="array" aca="1" ref="F19" ca="1">INDIRECT("'"&amp;$B19&amp;"'!"&amp;F$12)*E19</f>
        <v>1.2745920000000002</v>
      </c>
      <c r="G19" s="202" cm="1">
        <f t="array" aca="1" ref="G19" ca="1">INDIRECT("'"&amp;$B19&amp;"'!"&amp;G$12)*E19</f>
        <v>20132.164656616322</v>
      </c>
      <c r="H19" s="202" cm="1">
        <f t="array" aca="1" ref="H19" ca="1">INDIRECT("'"&amp;$B19&amp;"'!"&amp;H$12)*E19</f>
        <v>286602.72285661631</v>
      </c>
      <c r="I19" s="12"/>
      <c r="J19" s="202" cm="1">
        <f t="array" aca="1" ref="J19" ca="1">$H19/(INDIRECT("'"&amp;$B19&amp;"'!"&amp;J$12)*$E19)</f>
        <v>1.0151020088794653</v>
      </c>
      <c r="K19" s="202" cm="1">
        <f t="array" aca="1" ref="K19" ca="1">$H19/(INDIRECT("'"&amp;$B19&amp;"'!"&amp;K$12)*$E19)</f>
        <v>8.0733204577381699</v>
      </c>
      <c r="L19" s="202" cm="1">
        <f t="array" aca="1" ref="L19" ca="1">$H19/(INDIRECT("'"&amp;$B19&amp;"'!"&amp;L$12)*$E19)</f>
        <v>13.82350749603761</v>
      </c>
      <c r="M19" s="202" cm="1">
        <f t="array" aca="1" ref="M19" ca="1">$G19/(INDIRECT("'"&amp;$B19&amp;"'!"&amp;M$12)*$E19)</f>
        <v>0.74094528094721979</v>
      </c>
      <c r="N19" s="12"/>
      <c r="O19" s="202" cm="1">
        <f t="array" aca="1" ref="O19" ca="1">$H19/(INDIRECT("'"&amp;$B19&amp;"'!"&amp;O$12)*$E19)</f>
        <v>0.96295247851690158</v>
      </c>
      <c r="P19" s="202" cm="1">
        <f t="array" aca="1" ref="P19" ca="1">$H19/(INDIRECT("'"&amp;$B19&amp;"'!"&amp;P$12)*$E19)</f>
        <v>5.8366471744993547</v>
      </c>
      <c r="Q19" s="202" cm="1">
        <f t="array" aca="1" ref="Q19" ca="1">$H19/(INDIRECT("'"&amp;$B19&amp;"'!"&amp;Q$12)*$E19)</f>
        <v>8.1123090585976207</v>
      </c>
      <c r="R19" s="202" cm="1">
        <f t="array" aca="1" ref="R19" ca="1">$G19/(INDIRECT("'"&amp;$B19&amp;"'!"&amp;R$12)*$E19)</f>
        <v>0.6168593140241132</v>
      </c>
      <c r="S19" s="12"/>
      <c r="T19" s="202" cm="1">
        <f t="array" aca="1" ref="T19" ca="1">$H19/(INDIRECT("'"&amp;$B19&amp;"'!"&amp;T$12)*$E19)</f>
        <v>0.9160398551123573</v>
      </c>
      <c r="U19" s="202" cm="1">
        <f t="array" aca="1" ref="U19" ca="1">$H19/(INDIRECT("'"&amp;$B19&amp;"'!"&amp;U$12)*$E19)</f>
        <v>6.7339798591963165</v>
      </c>
      <c r="V19" s="202" cm="1">
        <f t="array" aca="1" ref="V19" ca="1">$H19/(INDIRECT("'"&amp;$B19&amp;"'!"&amp;V$12)*$E19)</f>
        <v>8.9942653678937905</v>
      </c>
      <c r="W19" s="202" cm="1">
        <f t="array" aca="1" ref="W19" ca="1">$G19/(INDIRECT("'"&amp;$B19&amp;"'!"&amp;W$12)*$E19)</f>
        <v>0.71874552529469526</v>
      </c>
      <c r="X19" s="12"/>
      <c r="Y19" s="205" cm="1">
        <f t="array" aca="1" ref="Y19" ca="1">INDIRECT("'"&amp;$B19&amp;"'!"&amp;Y$12)</f>
        <v>-1.6416549843742301E-2</v>
      </c>
    </row>
    <row r="21" spans="2:25" x14ac:dyDescent="0.25">
      <c r="H21" s="181" t="s">
        <v>279</v>
      </c>
      <c r="I21" s="10"/>
      <c r="J21" s="237">
        <f ca="1">AVERAGE(J15:J18,J19)</f>
        <v>6.7430104601437479</v>
      </c>
      <c r="K21" s="237">
        <f ca="1">AVERAGE(K15:K18,K19)</f>
        <v>34.623385086353679</v>
      </c>
      <c r="L21" s="237">
        <f ca="1">AVERAGE(L15:L18,L19)</f>
        <v>56.747751945870803</v>
      </c>
      <c r="M21" s="237">
        <f ca="1">AVERAGE(M15:M18,M19)</f>
        <v>59.803520525209819</v>
      </c>
      <c r="N21" s="11"/>
      <c r="O21" s="237">
        <f ca="1">AVERAGE(O15:O18,O19)</f>
        <v>6.268210834844675</v>
      </c>
      <c r="P21" s="237">
        <f ca="1">AVERAGE(P15:P18,P19)</f>
        <v>27.472178521773476</v>
      </c>
      <c r="Q21" s="237">
        <f ca="1">AVERAGE(Q15:Q18,Q19)</f>
        <v>46.066906159295009</v>
      </c>
      <c r="R21" s="237">
        <f ca="1">AVERAGE(R15:R18,R19)</f>
        <v>47.058341497461164</v>
      </c>
      <c r="S21" s="11"/>
      <c r="T21" s="237">
        <f ca="1">AVERAGE(T15:T18,T19)</f>
        <v>5.6415880346946157</v>
      </c>
      <c r="U21" s="237">
        <f ca="1">AVERAGE(U15:U18,U19)</f>
        <v>23.671721672906429</v>
      </c>
      <c r="V21" s="237">
        <f ca="1">AVERAGE(V15:V18,V19)</f>
        <v>36.3470522073642</v>
      </c>
      <c r="W21" s="238">
        <f ca="1">AVERAGE(W15:W18,W19)</f>
        <v>38.803084440658516</v>
      </c>
    </row>
    <row r="22" spans="2:25" x14ac:dyDescent="0.25">
      <c r="H22" s="182" t="s">
        <v>278</v>
      </c>
      <c r="I22" s="8"/>
      <c r="J22" s="199">
        <f ca="1">MEDIAN(J15:J19)</f>
        <v>1.0151020088794653</v>
      </c>
      <c r="K22" s="199">
        <f ca="1">MEDIAN(K15:K19)</f>
        <v>10.229735132849145</v>
      </c>
      <c r="L22" s="199">
        <f ca="1">MEDIAN(L15:L19)</f>
        <v>16.109227298251373</v>
      </c>
      <c r="M22" s="199">
        <f ca="1">MEDIAN(M15:M19)</f>
        <v>6.7083320117059433</v>
      </c>
      <c r="N22" s="20"/>
      <c r="O22" s="199">
        <f ca="1">MEDIAN(O15:O19)</f>
        <v>0.96295247851690158</v>
      </c>
      <c r="P22" s="199">
        <f ca="1">MEDIAN(P15:P19)</f>
        <v>12.572094209522172</v>
      </c>
      <c r="Q22" s="199">
        <f ca="1">MEDIAN(Q15:Q19)</f>
        <v>20.805034445919787</v>
      </c>
      <c r="R22" s="199">
        <f ca="1">MEDIAN(R15:R19)</f>
        <v>7.3703550207410888</v>
      </c>
      <c r="S22" s="20"/>
      <c r="T22" s="199">
        <f ca="1">MEDIAN(T15:T19)</f>
        <v>0.94328026719602365</v>
      </c>
      <c r="U22" s="199">
        <f ca="1">MEDIAN(U15:U19)</f>
        <v>11.869712159704779</v>
      </c>
      <c r="V22" s="199">
        <f ca="1">MEDIAN(V15:V19)</f>
        <v>16.878065509653084</v>
      </c>
      <c r="W22" s="210">
        <f ca="1">MEDIAN(W15:W19)</f>
        <v>5.699113921449297</v>
      </c>
    </row>
    <row r="23" spans="2:25" ht="17.25" x14ac:dyDescent="0.25">
      <c r="H23" s="182" t="s">
        <v>374</v>
      </c>
      <c r="I23" s="8"/>
      <c r="J23" s="199">
        <f ca="1">QUARTILE(J15:J19,1)</f>
        <v>0.95215564172958667</v>
      </c>
      <c r="K23" s="199">
        <f ca="1">QUARTILE(K15:K19,1)</f>
        <v>8.0733204577381699</v>
      </c>
      <c r="L23" s="199">
        <f ca="1">QUARTILE(L15:L19,1)</f>
        <v>13.82350749603761</v>
      </c>
      <c r="M23" s="199">
        <f ca="1">QUARTILE(M15:M19,1)</f>
        <v>3.1915060834002356</v>
      </c>
      <c r="N23" s="199"/>
      <c r="O23" s="199">
        <f ca="1">QUARTILE(O15:O19,1)</f>
        <v>0.95274039548406719</v>
      </c>
      <c r="P23" s="199">
        <f ca="1">QUARTILE(P15:P19,1)</f>
        <v>5.8366471744993547</v>
      </c>
      <c r="Q23" s="199">
        <f ca="1">QUARTILE(Q15:Q19,1)</f>
        <v>8.1123090585976207</v>
      </c>
      <c r="R23" s="199">
        <f ca="1">QUARTILE(R15:R19,1)</f>
        <v>6.4862428447689613</v>
      </c>
      <c r="S23" s="199"/>
      <c r="T23" s="199">
        <f ca="1">QUARTILE(T15:T19,1)</f>
        <v>0.9160398551123573</v>
      </c>
      <c r="U23" s="199">
        <f ca="1">QUARTILE(U15:U19,1)</f>
        <v>6.7339798591963165</v>
      </c>
      <c r="V23" s="199">
        <f ca="1">QUARTILE(V15:V19,1)</f>
        <v>8.9942653678937905</v>
      </c>
      <c r="W23" s="210">
        <f ca="1">QUARTILE(W15:W19,1)</f>
        <v>5.0650317399241009</v>
      </c>
    </row>
    <row r="24" spans="2:25" ht="18" thickBot="1" x14ac:dyDescent="0.3">
      <c r="H24" s="183" t="s">
        <v>375</v>
      </c>
      <c r="I24" s="184"/>
      <c r="J24" s="240">
        <f ca="1">QUARTILE(J15:J19,)</f>
        <v>0.2414719091778334</v>
      </c>
      <c r="K24" s="240">
        <f ca="1">QUARTILE(K15:K19,)</f>
        <v>1.8594318471120144</v>
      </c>
      <c r="L24" s="240">
        <f ca="1">QUARTILE(L15:L19,)</f>
        <v>2.7494933497331004</v>
      </c>
      <c r="M24" s="240">
        <f ca="1">QUARTILE(M15:M19,)</f>
        <v>0.74094528094721979</v>
      </c>
      <c r="N24" s="240"/>
      <c r="O24" s="240">
        <f ca="1">QUARTILE(O15:O19,)</f>
        <v>0.27315232664627176</v>
      </c>
      <c r="P24" s="240">
        <f ca="1">QUARTILE(P15:P19,)</f>
        <v>2.6056871688982115</v>
      </c>
      <c r="Q24" s="240">
        <f ca="1">QUARTILE(Q15:Q19,)</f>
        <v>4.4309164854998953</v>
      </c>
      <c r="R24" s="240">
        <f ca="1">QUARTILE(R15:R19,)</f>
        <v>0.6168593140241132</v>
      </c>
      <c r="S24" s="240"/>
      <c r="T24" s="240">
        <f ca="1">QUARTILE(T15:T19,)</f>
        <v>0.2618001137994117</v>
      </c>
      <c r="U24" s="240">
        <f ca="1">QUARTILE(U15:U19,)</f>
        <v>2.3043741587916369</v>
      </c>
      <c r="V24" s="240">
        <f ca="1">QUARTILE(V15:V19,)</f>
        <v>4.0461873603204941</v>
      </c>
      <c r="W24" s="241">
        <f ca="1">QUARTILE(W15:W19,)</f>
        <v>0.71874552529469526</v>
      </c>
    </row>
  </sheetData>
  <mergeCells count="10">
    <mergeCell ref="B4:H4"/>
    <mergeCell ref="B13:B14"/>
    <mergeCell ref="J13:M13"/>
    <mergeCell ref="O13:R13"/>
    <mergeCell ref="T13:W13"/>
    <mergeCell ref="E13:E14"/>
    <mergeCell ref="D13:D14"/>
    <mergeCell ref="F13:F14"/>
    <mergeCell ref="G13:G14"/>
    <mergeCell ref="H13:H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5750-08E8-4786-B242-41B161EAED25}">
  <dimension ref="B3:L80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RowHeight="15" x14ac:dyDescent="0.25"/>
  <cols>
    <col min="1" max="1" width="2.28515625" bestFit="1" customWidth="1"/>
    <col min="2" max="2" width="64.5703125" bestFit="1" customWidth="1"/>
    <col min="3" max="3" width="2.28515625" bestFit="1" customWidth="1"/>
    <col min="4" max="4" width="16.28515625" bestFit="1" customWidth="1"/>
    <col min="5" max="5" width="12.140625" customWidth="1"/>
    <col min="6" max="6" width="12.7109375" customWidth="1"/>
    <col min="7" max="7" width="15.140625" bestFit="1" customWidth="1"/>
    <col min="11" max="11" width="9.85546875" bestFit="1" customWidth="1"/>
    <col min="12" max="12" width="19.85546875" bestFit="1" customWidth="1"/>
    <col min="13" max="13" width="11.140625" bestFit="1" customWidth="1"/>
    <col min="20" max="20" width="8.7109375" bestFit="1" customWidth="1"/>
    <col min="21" max="21" width="10" bestFit="1" customWidth="1"/>
    <col min="22" max="22" width="8.7109375" bestFit="1" customWidth="1"/>
    <col min="23" max="23" width="9.7109375" bestFit="1" customWidth="1"/>
    <col min="24" max="24" width="8.85546875" bestFit="1" customWidth="1"/>
    <col min="25" max="25" width="10.140625" bestFit="1" customWidth="1"/>
    <col min="26" max="26" width="8.42578125" bestFit="1" customWidth="1"/>
    <col min="27" max="27" width="9.85546875" bestFit="1" customWidth="1"/>
    <col min="29" max="29" width="9.85546875" bestFit="1" customWidth="1"/>
    <col min="30" max="30" width="9.7109375" bestFit="1" customWidth="1"/>
  </cols>
  <sheetData>
    <row r="3" spans="2:7" x14ac:dyDescent="0.25">
      <c r="B3" s="38"/>
    </row>
    <row r="5" spans="2:7" x14ac:dyDescent="0.25">
      <c r="B5" s="38" t="s">
        <v>281</v>
      </c>
    </row>
    <row r="6" spans="2:7" x14ac:dyDescent="0.25">
      <c r="B6" s="172" t="s">
        <v>282</v>
      </c>
      <c r="C6" s="173"/>
      <c r="D6" s="171"/>
    </row>
    <row r="7" spans="2:7" x14ac:dyDescent="0.25">
      <c r="B7" s="4" t="s">
        <v>283</v>
      </c>
      <c r="C7" s="8"/>
      <c r="D7" s="20" t="s">
        <v>349</v>
      </c>
    </row>
    <row r="8" spans="2:7" x14ac:dyDescent="0.25">
      <c r="B8" s="4" t="s">
        <v>284</v>
      </c>
      <c r="C8" s="8"/>
      <c r="D8" s="100">
        <v>45659</v>
      </c>
    </row>
    <row r="9" spans="2:7" x14ac:dyDescent="0.25">
      <c r="B9" s="4" t="s">
        <v>285</v>
      </c>
      <c r="C9" s="8"/>
      <c r="D9" s="20" t="s">
        <v>396</v>
      </c>
    </row>
    <row r="10" spans="2:7" x14ac:dyDescent="0.25">
      <c r="B10" s="4" t="s">
        <v>286</v>
      </c>
      <c r="C10" s="8"/>
      <c r="D10" s="20">
        <v>2024</v>
      </c>
    </row>
    <row r="11" spans="2:7" x14ac:dyDescent="0.25">
      <c r="B11" s="4" t="s">
        <v>287</v>
      </c>
      <c r="C11" s="8"/>
      <c r="D11" s="20" t="s">
        <v>397</v>
      </c>
    </row>
    <row r="12" spans="2:7" x14ac:dyDescent="0.25">
      <c r="B12" s="4" t="s">
        <v>288</v>
      </c>
      <c r="C12" s="8"/>
      <c r="D12" s="20" t="s">
        <v>350</v>
      </c>
    </row>
    <row r="13" spans="2:7" x14ac:dyDescent="0.25">
      <c r="B13" s="4" t="s">
        <v>361</v>
      </c>
      <c r="C13" s="8"/>
      <c r="D13" s="187">
        <v>1</v>
      </c>
    </row>
    <row r="14" spans="2:7" x14ac:dyDescent="0.25">
      <c r="B14" s="91" t="s">
        <v>173</v>
      </c>
      <c r="C14" s="12"/>
      <c r="D14" s="168">
        <v>0.26</v>
      </c>
    </row>
    <row r="16" spans="2:7" x14ac:dyDescent="0.25">
      <c r="B16" s="172" t="s">
        <v>289</v>
      </c>
      <c r="C16" s="172"/>
      <c r="D16" s="160" t="s">
        <v>290</v>
      </c>
      <c r="E16" s="160" t="s">
        <v>291</v>
      </c>
      <c r="F16" s="160" t="s">
        <v>292</v>
      </c>
      <c r="G16" s="159" t="s">
        <v>351</v>
      </c>
    </row>
    <row r="17" spans="2:7" x14ac:dyDescent="0.25">
      <c r="B17" s="4" t="s">
        <v>293</v>
      </c>
      <c r="C17" s="8"/>
      <c r="D17" s="188">
        <v>379.28</v>
      </c>
      <c r="E17" s="188"/>
      <c r="F17" s="188"/>
      <c r="G17" s="188"/>
    </row>
    <row r="18" spans="2:7" x14ac:dyDescent="0.25">
      <c r="B18" s="4" t="s">
        <v>294</v>
      </c>
      <c r="C18" s="8"/>
      <c r="D18" s="188">
        <f>3216517037/10^6</f>
        <v>3216.5170370000001</v>
      </c>
      <c r="E18" s="188"/>
      <c r="F18" s="188"/>
      <c r="G18" s="188"/>
    </row>
    <row r="19" spans="2:7" x14ac:dyDescent="0.25">
      <c r="B19" s="4" t="s">
        <v>295</v>
      </c>
      <c r="C19" s="8"/>
      <c r="D19" s="188">
        <f>D18+J45+H56</f>
        <v>3543.0049075178235</v>
      </c>
      <c r="E19" s="188"/>
      <c r="F19" s="188"/>
      <c r="G19" s="188">
        <f>SUM(D19:F19)</f>
        <v>3543.0049075178235</v>
      </c>
    </row>
    <row r="20" spans="2:7" x14ac:dyDescent="0.25">
      <c r="B20" s="4" t="s">
        <v>296</v>
      </c>
      <c r="C20" s="8"/>
      <c r="D20" s="188">
        <f>D17*D19</f>
        <v>1343790.9013233599</v>
      </c>
      <c r="E20" s="188"/>
      <c r="F20" s="188"/>
      <c r="G20" s="188">
        <f>SUM(D20:F20)</f>
        <v>1343790.9013233599</v>
      </c>
    </row>
    <row r="21" spans="2:7" x14ac:dyDescent="0.25">
      <c r="B21" s="4" t="s">
        <v>239</v>
      </c>
      <c r="C21" s="8"/>
      <c r="D21" s="188"/>
      <c r="E21" s="188"/>
      <c r="F21" s="188"/>
      <c r="G21" s="188">
        <v>704</v>
      </c>
    </row>
    <row r="22" spans="2:7" x14ac:dyDescent="0.25">
      <c r="B22" s="4" t="s">
        <v>297</v>
      </c>
      <c r="C22" s="8"/>
      <c r="D22" s="188"/>
      <c r="E22" s="188"/>
      <c r="F22" s="188"/>
      <c r="G22" s="189">
        <f>SUM(G24)</f>
        <v>0</v>
      </c>
    </row>
    <row r="23" spans="2:7" x14ac:dyDescent="0.25">
      <c r="B23" s="164" t="s">
        <v>298</v>
      </c>
      <c r="C23" s="8"/>
      <c r="D23" s="188"/>
      <c r="E23" s="188"/>
      <c r="F23" s="188"/>
      <c r="G23" s="188">
        <v>0</v>
      </c>
    </row>
    <row r="24" spans="2:7" x14ac:dyDescent="0.25">
      <c r="B24" s="164" t="s">
        <v>299</v>
      </c>
      <c r="C24" s="8"/>
      <c r="D24" s="188"/>
      <c r="E24" s="188"/>
      <c r="F24" s="188"/>
      <c r="G24" s="188">
        <v>0</v>
      </c>
    </row>
    <row r="25" spans="2:7" x14ac:dyDescent="0.25">
      <c r="B25" s="4" t="s">
        <v>300</v>
      </c>
      <c r="C25" s="8"/>
      <c r="D25" s="188"/>
      <c r="E25" s="188"/>
      <c r="F25" s="188"/>
      <c r="G25" s="189">
        <f>SUM(G26:G27)</f>
        <v>8213</v>
      </c>
    </row>
    <row r="26" spans="2:7" x14ac:dyDescent="0.25">
      <c r="B26" s="164" t="s">
        <v>348</v>
      </c>
      <c r="C26" s="8"/>
      <c r="D26" s="188"/>
      <c r="E26" s="188"/>
      <c r="F26" s="188"/>
      <c r="G26" s="188">
        <f>2456+5757</f>
        <v>8213</v>
      </c>
    </row>
    <row r="27" spans="2:7" x14ac:dyDescent="0.25">
      <c r="B27" s="164" t="s">
        <v>301</v>
      </c>
      <c r="C27" s="8"/>
      <c r="D27" s="188"/>
      <c r="E27" s="188"/>
      <c r="F27" s="188"/>
      <c r="G27" s="188">
        <v>0</v>
      </c>
    </row>
    <row r="28" spans="2:7" x14ac:dyDescent="0.25">
      <c r="B28" s="4" t="s">
        <v>302</v>
      </c>
      <c r="C28" s="8"/>
      <c r="D28" s="188"/>
      <c r="E28" s="188"/>
      <c r="F28" s="188"/>
      <c r="G28" s="189">
        <f>SUM(G29:G30)</f>
        <v>0</v>
      </c>
    </row>
    <row r="29" spans="2:7" x14ac:dyDescent="0.25">
      <c r="B29" s="164" t="s">
        <v>303</v>
      </c>
      <c r="C29" s="8"/>
      <c r="D29" s="188"/>
      <c r="E29" s="188"/>
      <c r="F29" s="188"/>
      <c r="G29" s="188">
        <v>0</v>
      </c>
    </row>
    <row r="30" spans="2:7" x14ac:dyDescent="0.25">
      <c r="B30" s="164" t="s">
        <v>304</v>
      </c>
      <c r="C30" s="8"/>
      <c r="D30" s="188"/>
      <c r="E30" s="188"/>
      <c r="F30" s="188"/>
      <c r="G30" s="188">
        <v>0</v>
      </c>
    </row>
    <row r="31" spans="2:7" x14ac:dyDescent="0.25">
      <c r="B31" s="4" t="s">
        <v>305</v>
      </c>
      <c r="C31" s="8"/>
      <c r="D31" s="188"/>
      <c r="E31" s="188"/>
      <c r="F31" s="188"/>
      <c r="G31" s="188">
        <v>16139</v>
      </c>
    </row>
    <row r="32" spans="2:7" x14ac:dyDescent="0.25">
      <c r="B32" s="47" t="s">
        <v>306</v>
      </c>
      <c r="C32" s="47"/>
      <c r="D32" s="190"/>
      <c r="E32" s="190"/>
      <c r="F32" s="190"/>
      <c r="G32" s="190">
        <f>G20+G21+G22+G25+G28-G31</f>
        <v>1336568.9013233599</v>
      </c>
    </row>
    <row r="33" spans="2:12" x14ac:dyDescent="0.25">
      <c r="B33" s="4" t="s">
        <v>307</v>
      </c>
      <c r="C33" s="8"/>
      <c r="D33" s="188"/>
      <c r="E33" s="188"/>
      <c r="F33" s="188"/>
      <c r="G33" s="188">
        <f>20424</f>
        <v>20424</v>
      </c>
    </row>
    <row r="34" spans="2:12" x14ac:dyDescent="0.25">
      <c r="B34" s="4" t="s">
        <v>218</v>
      </c>
      <c r="C34" s="8"/>
      <c r="D34" s="188"/>
      <c r="E34" s="188"/>
      <c r="F34" s="188"/>
      <c r="G34" s="188">
        <f>G32-G33</f>
        <v>1316144.9013233599</v>
      </c>
    </row>
    <row r="35" spans="2:12" x14ac:dyDescent="0.25">
      <c r="B35" s="91" t="s">
        <v>308</v>
      </c>
      <c r="C35" s="12"/>
      <c r="D35" s="191"/>
      <c r="E35" s="191"/>
      <c r="F35" s="191"/>
      <c r="G35" s="191">
        <f>G20/SUM(D19:F19)</f>
        <v>379.28</v>
      </c>
    </row>
    <row r="37" spans="2:12" x14ac:dyDescent="0.25">
      <c r="D37" s="361" t="s">
        <v>343</v>
      </c>
      <c r="E37" s="362"/>
      <c r="F37" s="362"/>
      <c r="G37" s="362"/>
      <c r="H37" s="362"/>
      <c r="I37" s="362"/>
      <c r="J37" s="363"/>
    </row>
    <row r="39" spans="2:12" x14ac:dyDescent="0.25">
      <c r="B39" s="172" t="s">
        <v>314</v>
      </c>
      <c r="C39" s="173"/>
      <c r="D39" s="336" t="s">
        <v>309</v>
      </c>
      <c r="E39" s="336"/>
      <c r="F39" s="336"/>
      <c r="G39" s="336"/>
      <c r="H39" s="336"/>
      <c r="I39" s="336"/>
      <c r="J39" s="336"/>
    </row>
    <row r="40" spans="2:12" ht="15" customHeight="1" x14ac:dyDescent="0.25">
      <c r="B40" s="8"/>
      <c r="C40" s="8"/>
      <c r="D40" s="370" t="s">
        <v>310</v>
      </c>
      <c r="E40" s="370" t="s">
        <v>268</v>
      </c>
      <c r="F40" s="354" t="s">
        <v>264</v>
      </c>
      <c r="G40" s="336" t="s">
        <v>262</v>
      </c>
      <c r="H40" s="336"/>
      <c r="I40" s="336"/>
      <c r="J40" s="370" t="s">
        <v>269</v>
      </c>
    </row>
    <row r="41" spans="2:12" ht="15" customHeight="1" x14ac:dyDescent="0.25">
      <c r="B41" s="8"/>
      <c r="C41" s="8"/>
      <c r="D41" s="371"/>
      <c r="E41" s="371"/>
      <c r="F41" s="355"/>
      <c r="G41" s="29" t="s">
        <v>265</v>
      </c>
      <c r="H41" s="29" t="s">
        <v>266</v>
      </c>
      <c r="I41" s="29" t="s">
        <v>267</v>
      </c>
      <c r="J41" s="371"/>
      <c r="K41" s="340" t="s">
        <v>398</v>
      </c>
      <c r="L41" s="341"/>
    </row>
    <row r="42" spans="2:12" x14ac:dyDescent="0.25">
      <c r="B42" s="169" t="s">
        <v>345</v>
      </c>
      <c r="C42" s="8"/>
      <c r="D42" s="188">
        <f>344535/1000</f>
        <v>344.53500000000003</v>
      </c>
      <c r="E42" s="188">
        <v>40.409999999999997</v>
      </c>
      <c r="F42" s="8" t="str">
        <f>IF(D17&gt;E42,"Yes👍","No👎")</f>
        <v>Yes👍</v>
      </c>
      <c r="G42" s="188">
        <f>IF(F42="Yes👍",D42,"0")</f>
        <v>344.53500000000003</v>
      </c>
      <c r="H42" s="188">
        <f>E42*G42</f>
        <v>13922.65935</v>
      </c>
      <c r="I42" s="188">
        <f>H42/$D$17</f>
        <v>36.708129482176759</v>
      </c>
      <c r="J42" s="188">
        <f>G42-I42</f>
        <v>307.82687051782329</v>
      </c>
      <c r="K42" s="192">
        <f>D42*(1-E42/D17)</f>
        <v>307.82687051782329</v>
      </c>
      <c r="L42" t="b">
        <f>J42=K42</f>
        <v>1</v>
      </c>
    </row>
    <row r="43" spans="2:12" x14ac:dyDescent="0.25">
      <c r="B43" s="169" t="s">
        <v>344</v>
      </c>
      <c r="C43" s="8"/>
      <c r="D43" s="188">
        <f>18661/1000</f>
        <v>18.661000000000001</v>
      </c>
      <c r="E43" s="188">
        <v>0</v>
      </c>
      <c r="F43" s="8" t="str">
        <f t="shared" ref="F43" si="0">IF(D18&gt;E43,"Yes👍","No👎")</f>
        <v>Yes👍</v>
      </c>
      <c r="G43" s="188">
        <f t="shared" ref="G43" si="1">IF(F43="Yes👍",D43,"0")</f>
        <v>18.661000000000001</v>
      </c>
      <c r="H43" s="188">
        <f t="shared" ref="H43" si="2">E43*G43</f>
        <v>0</v>
      </c>
      <c r="I43" s="188">
        <f t="shared" ref="I43" si="3">H43/$D$17</f>
        <v>0</v>
      </c>
      <c r="J43" s="188">
        <f t="shared" ref="J43" si="4">G43-I43</f>
        <v>18.661000000000001</v>
      </c>
    </row>
    <row r="44" spans="2:12" x14ac:dyDescent="0.25">
      <c r="B44" s="170"/>
      <c r="C44" s="12"/>
      <c r="D44" s="12"/>
      <c r="E44" s="12"/>
      <c r="F44" s="12"/>
      <c r="G44" s="12"/>
      <c r="H44" s="12"/>
      <c r="I44" s="12"/>
      <c r="J44" s="12"/>
    </row>
    <row r="45" spans="2:12" ht="15.75" thickBot="1" x14ac:dyDescent="0.3">
      <c r="J45" s="193">
        <f>SUM(J42:J44)</f>
        <v>326.4878705178233</v>
      </c>
    </row>
    <row r="50" spans="2:11" x14ac:dyDescent="0.25">
      <c r="B50" s="172" t="s">
        <v>314</v>
      </c>
      <c r="C50" s="173"/>
      <c r="D50" s="336" t="s">
        <v>311</v>
      </c>
      <c r="E50" s="336"/>
      <c r="F50" s="336"/>
      <c r="G50" s="336"/>
      <c r="H50" s="336"/>
      <c r="I50" s="165"/>
      <c r="J50" s="165"/>
    </row>
    <row r="51" spans="2:11" x14ac:dyDescent="0.25">
      <c r="B51" s="166"/>
      <c r="C51" s="10"/>
      <c r="D51" s="364" t="s">
        <v>315</v>
      </c>
      <c r="E51" s="364" t="s">
        <v>316</v>
      </c>
      <c r="F51" s="366" t="s">
        <v>312</v>
      </c>
      <c r="G51" s="366" t="s">
        <v>317</v>
      </c>
      <c r="H51" s="368" t="s">
        <v>313</v>
      </c>
    </row>
    <row r="52" spans="2:11" x14ac:dyDescent="0.25">
      <c r="B52" s="167"/>
      <c r="C52" s="8"/>
      <c r="D52" s="365"/>
      <c r="E52" s="365"/>
      <c r="F52" s="367"/>
      <c r="G52" s="367"/>
      <c r="H52" s="369"/>
    </row>
    <row r="53" spans="2:11" x14ac:dyDescent="0.25">
      <c r="B53" s="4" t="s">
        <v>352</v>
      </c>
      <c r="C53" s="8"/>
      <c r="D53" s="8"/>
      <c r="E53" s="8"/>
      <c r="F53" s="8"/>
      <c r="G53" s="8"/>
      <c r="H53" s="8"/>
    </row>
    <row r="54" spans="2:11" x14ac:dyDescent="0.25">
      <c r="B54" s="4" t="s">
        <v>353</v>
      </c>
      <c r="C54" s="8"/>
      <c r="D54" s="8"/>
      <c r="E54" s="8"/>
      <c r="F54" s="8"/>
      <c r="G54" s="8"/>
      <c r="H54" s="8"/>
    </row>
    <row r="55" spans="2:11" x14ac:dyDescent="0.25">
      <c r="B55" s="12"/>
      <c r="C55" s="12"/>
      <c r="D55" s="12"/>
      <c r="E55" s="12"/>
      <c r="F55" s="12"/>
      <c r="G55" s="12"/>
      <c r="H55" s="12"/>
    </row>
    <row r="56" spans="2:11" ht="15.75" thickBot="1" x14ac:dyDescent="0.3">
      <c r="H56" s="175">
        <f>SUM(H53:H55)</f>
        <v>0</v>
      </c>
    </row>
    <row r="60" spans="2:11" x14ac:dyDescent="0.25">
      <c r="B60" s="172" t="s">
        <v>318</v>
      </c>
      <c r="C60" s="172"/>
      <c r="D60" s="161" t="s">
        <v>319</v>
      </c>
      <c r="E60" s="161" t="s">
        <v>320</v>
      </c>
      <c r="F60" s="161" t="s">
        <v>321</v>
      </c>
      <c r="G60" s="160" t="s">
        <v>322</v>
      </c>
      <c r="H60" s="159" t="s">
        <v>323</v>
      </c>
      <c r="I60" s="159" t="s">
        <v>324</v>
      </c>
      <c r="J60" s="159" t="s">
        <v>346</v>
      </c>
      <c r="K60" s="160" t="s">
        <v>354</v>
      </c>
    </row>
    <row r="61" spans="2:11" x14ac:dyDescent="0.25">
      <c r="B61" s="8"/>
      <c r="C61" s="8"/>
      <c r="D61" s="174" t="s">
        <v>325</v>
      </c>
      <c r="E61" s="174" t="s">
        <v>347</v>
      </c>
      <c r="F61" s="174" t="s">
        <v>347</v>
      </c>
      <c r="G61" s="20"/>
      <c r="H61" s="20">
        <v>2025</v>
      </c>
      <c r="I61" s="20">
        <v>2026</v>
      </c>
      <c r="J61" s="20">
        <v>2027</v>
      </c>
      <c r="K61" s="8"/>
    </row>
    <row r="62" spans="2:11" x14ac:dyDescent="0.25">
      <c r="B62" s="169" t="s">
        <v>326</v>
      </c>
      <c r="C62" s="45"/>
      <c r="D62" s="45">
        <v>97690</v>
      </c>
      <c r="E62" s="45"/>
      <c r="F62" s="45"/>
      <c r="G62" s="45">
        <f>D62+E62-F62</f>
        <v>97690</v>
      </c>
      <c r="H62" s="195">
        <v>112564</v>
      </c>
      <c r="I62" s="195">
        <v>134110</v>
      </c>
      <c r="J62" s="195">
        <v>154415</v>
      </c>
      <c r="K62" s="196">
        <f>_xlfn.RRI(3,D62,J62)</f>
        <v>0.16487625344308676</v>
      </c>
    </row>
    <row r="63" spans="2:11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2:11" x14ac:dyDescent="0.25">
      <c r="B64" s="169" t="s">
        <v>327</v>
      </c>
      <c r="C64" s="8"/>
      <c r="D64" s="8">
        <v>7076</v>
      </c>
      <c r="E64" s="8"/>
      <c r="F64" s="8"/>
      <c r="G64" s="8">
        <f>D64+E64-F64</f>
        <v>7076</v>
      </c>
      <c r="H64" s="198"/>
      <c r="I64" s="198"/>
      <c r="J64" s="198"/>
      <c r="K64" s="8"/>
    </row>
    <row r="65" spans="2:11" x14ac:dyDescent="0.25">
      <c r="B65" s="44" t="s">
        <v>328</v>
      </c>
      <c r="C65" s="8"/>
      <c r="D65" s="8"/>
      <c r="E65" s="8"/>
      <c r="F65" s="8"/>
      <c r="G65" s="8"/>
      <c r="H65" s="8"/>
      <c r="I65" s="8"/>
      <c r="J65" s="8"/>
      <c r="K65" s="8"/>
    </row>
    <row r="66" spans="2:11" x14ac:dyDescent="0.25">
      <c r="B66" s="45" t="s">
        <v>329</v>
      </c>
      <c r="C66" s="45"/>
      <c r="D66" s="45">
        <f>D64+D65</f>
        <v>7076</v>
      </c>
      <c r="E66" s="45">
        <f t="shared" ref="E66:F66" si="5">E64+E65</f>
        <v>0</v>
      </c>
      <c r="F66" s="45">
        <f t="shared" si="5"/>
        <v>0</v>
      </c>
      <c r="G66" s="45">
        <f>D66+E66-F66</f>
        <v>7076</v>
      </c>
      <c r="H66" s="45">
        <v>9732</v>
      </c>
      <c r="I66" s="45">
        <v>13678</v>
      </c>
      <c r="J66" s="45">
        <v>16732</v>
      </c>
      <c r="K66" s="196">
        <f>_xlfn.RRI(3,D66,J66)</f>
        <v>0.33225290905904581</v>
      </c>
    </row>
    <row r="67" spans="2:11" x14ac:dyDescent="0.25">
      <c r="B67" s="44" t="s">
        <v>330</v>
      </c>
      <c r="C67" s="8"/>
      <c r="D67" s="8">
        <v>5368</v>
      </c>
      <c r="E67" s="8"/>
      <c r="F67" s="8"/>
      <c r="G67" s="8"/>
      <c r="H67" s="8"/>
      <c r="I67" s="8"/>
      <c r="J67" s="8"/>
      <c r="K67" s="8"/>
    </row>
    <row r="68" spans="2:11" x14ac:dyDescent="0.25">
      <c r="B68" s="45" t="s">
        <v>331</v>
      </c>
      <c r="C68" s="45"/>
      <c r="D68" s="45">
        <f>D66+D67</f>
        <v>12444</v>
      </c>
      <c r="E68" s="45">
        <f t="shared" ref="E68:F68" si="6">E66+E67</f>
        <v>0</v>
      </c>
      <c r="F68" s="45">
        <f t="shared" si="6"/>
        <v>0</v>
      </c>
      <c r="G68" s="45">
        <f>D68+E68-F68</f>
        <v>12444</v>
      </c>
      <c r="H68" s="195">
        <v>18611</v>
      </c>
      <c r="I68" s="195">
        <v>23779</v>
      </c>
      <c r="J68" s="195">
        <v>29312</v>
      </c>
      <c r="K68" s="196">
        <f>_xlfn.RRI(3,D68,J68)</f>
        <v>0.33054167863159623</v>
      </c>
    </row>
    <row r="69" spans="2:11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2:11" x14ac:dyDescent="0.25">
      <c r="B70" s="169" t="s">
        <v>332</v>
      </c>
      <c r="C70" s="8"/>
      <c r="D70" s="8">
        <v>7153</v>
      </c>
      <c r="E70" s="8"/>
      <c r="F70" s="8"/>
      <c r="G70" s="8">
        <f>D70+E70-F70</f>
        <v>7153</v>
      </c>
      <c r="H70" s="8"/>
      <c r="I70" s="8"/>
      <c r="J70" s="8"/>
      <c r="K70" s="8"/>
    </row>
    <row r="71" spans="2:11" x14ac:dyDescent="0.25">
      <c r="B71" s="44" t="s">
        <v>333</v>
      </c>
      <c r="C71" s="8"/>
      <c r="D71" s="8">
        <f>D65</f>
        <v>0</v>
      </c>
      <c r="E71" s="8">
        <f t="shared" ref="E71:F71" si="7">E65</f>
        <v>0</v>
      </c>
      <c r="F71" s="8">
        <f t="shared" si="7"/>
        <v>0</v>
      </c>
      <c r="G71" s="8"/>
      <c r="H71" s="8"/>
      <c r="I71" s="8"/>
      <c r="J71" s="8"/>
      <c r="K71" s="8"/>
    </row>
    <row r="72" spans="2:11" x14ac:dyDescent="0.25">
      <c r="B72" s="44" t="s">
        <v>334</v>
      </c>
      <c r="C72" s="8"/>
      <c r="D72" s="8"/>
      <c r="E72" s="8"/>
      <c r="F72" s="8"/>
      <c r="G72" s="8"/>
      <c r="H72" s="8"/>
      <c r="I72" s="8"/>
      <c r="J72" s="8"/>
      <c r="K72" s="8"/>
    </row>
    <row r="73" spans="2:11" x14ac:dyDescent="0.25">
      <c r="B73" s="44" t="s">
        <v>335</v>
      </c>
      <c r="C73" s="8"/>
      <c r="D73" s="8">
        <f>SUM(D71:D72)*$D$14</f>
        <v>0</v>
      </c>
      <c r="E73" s="8">
        <f t="shared" ref="E73:F73" si="8">SUM(E71:E72)*$D$14</f>
        <v>0</v>
      </c>
      <c r="F73" s="8">
        <f t="shared" si="8"/>
        <v>0</v>
      </c>
      <c r="G73" s="8"/>
      <c r="H73" s="8"/>
      <c r="I73" s="8"/>
      <c r="J73" s="8"/>
      <c r="K73" s="8"/>
    </row>
    <row r="74" spans="2:11" x14ac:dyDescent="0.25">
      <c r="B74" s="44" t="s">
        <v>336</v>
      </c>
      <c r="C74" s="8"/>
      <c r="D74" s="8"/>
      <c r="E74" s="8"/>
      <c r="F74" s="8"/>
      <c r="G74" s="8"/>
      <c r="H74" s="8"/>
      <c r="I74" s="8"/>
      <c r="J74" s="8"/>
      <c r="K74" s="8"/>
    </row>
    <row r="75" spans="2:11" x14ac:dyDescent="0.25">
      <c r="B75" s="45" t="s">
        <v>337</v>
      </c>
      <c r="C75" s="45"/>
      <c r="D75" s="45">
        <f>SUM(D70:D74)</f>
        <v>7153</v>
      </c>
      <c r="E75" s="45">
        <f t="shared" ref="E75:F75" si="9">SUM(E70:E74)</f>
        <v>0</v>
      </c>
      <c r="F75" s="45">
        <f t="shared" si="9"/>
        <v>0</v>
      </c>
      <c r="G75" s="45">
        <f>D75+E75-F75</f>
        <v>7153</v>
      </c>
      <c r="H75" s="45"/>
      <c r="I75" s="45"/>
      <c r="J75" s="45"/>
      <c r="K75" s="196"/>
    </row>
    <row r="76" spans="2:11" x14ac:dyDescent="0.25">
      <c r="B76" s="44" t="s">
        <v>338</v>
      </c>
      <c r="C76" s="8"/>
      <c r="D76" s="8">
        <v>704</v>
      </c>
      <c r="E76" s="8"/>
      <c r="F76" s="8"/>
      <c r="G76" s="8"/>
      <c r="H76" s="8"/>
      <c r="I76" s="8"/>
      <c r="J76" s="8"/>
      <c r="K76" s="8"/>
    </row>
    <row r="77" spans="2:11" x14ac:dyDescent="0.25">
      <c r="B77" s="45" t="s">
        <v>339</v>
      </c>
      <c r="C77" s="45"/>
      <c r="D77" s="45">
        <f>D75-D76</f>
        <v>6449</v>
      </c>
      <c r="E77" s="45">
        <f t="shared" ref="E77:F77" si="10">E75-E76</f>
        <v>0</v>
      </c>
      <c r="F77" s="45">
        <f t="shared" si="10"/>
        <v>0</v>
      </c>
      <c r="G77" s="45">
        <f>D77+E77-F77</f>
        <v>6449</v>
      </c>
      <c r="H77" s="195">
        <v>9230</v>
      </c>
      <c r="I77" s="195">
        <v>12029</v>
      </c>
      <c r="J77" s="195">
        <v>14376</v>
      </c>
      <c r="K77" s="196">
        <f>_xlfn.RRI(3,D77,J77)</f>
        <v>0.30631695106019641</v>
      </c>
    </row>
    <row r="78" spans="2:11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2:11" x14ac:dyDescent="0.25">
      <c r="B79" s="4" t="s">
        <v>340</v>
      </c>
      <c r="C79" s="8"/>
      <c r="D79" s="8">
        <v>3498</v>
      </c>
      <c r="E79" s="8"/>
      <c r="F79" s="8"/>
      <c r="G79" s="8"/>
      <c r="H79" s="8"/>
      <c r="I79" s="8"/>
      <c r="J79" s="8"/>
      <c r="K79" s="8"/>
    </row>
    <row r="80" spans="2:11" x14ac:dyDescent="0.25">
      <c r="B80" s="194" t="s">
        <v>135</v>
      </c>
      <c r="C80" s="149"/>
      <c r="D80" s="201">
        <f>D77/D79</f>
        <v>1.843624928530589</v>
      </c>
      <c r="E80" s="149" t="e">
        <f t="shared" ref="E80:F80" si="11">E77/E79</f>
        <v>#DIV/0!</v>
      </c>
      <c r="F80" s="149" t="e">
        <f t="shared" si="11"/>
        <v>#DIV/0!</v>
      </c>
      <c r="G80" s="149" t="e">
        <f>D80+E80-F80</f>
        <v>#DIV/0!</v>
      </c>
      <c r="H80" s="149">
        <v>2.5819999999999999</v>
      </c>
      <c r="I80" s="149">
        <v>3.3460000000000001</v>
      </c>
      <c r="J80" s="149">
        <v>4.6100000000000003</v>
      </c>
      <c r="K80" s="197">
        <f>_xlfn.RRI(3,D80,J80)</f>
        <v>0.35730083999313522</v>
      </c>
    </row>
  </sheetData>
  <mergeCells count="14">
    <mergeCell ref="K41:L41"/>
    <mergeCell ref="D37:J37"/>
    <mergeCell ref="D51:D52"/>
    <mergeCell ref="E51:E52"/>
    <mergeCell ref="F51:F52"/>
    <mergeCell ref="G51:G52"/>
    <mergeCell ref="H51:H52"/>
    <mergeCell ref="D50:H50"/>
    <mergeCell ref="D39:J39"/>
    <mergeCell ref="D40:D41"/>
    <mergeCell ref="E40:E41"/>
    <mergeCell ref="F40:F41"/>
    <mergeCell ref="G40:I40"/>
    <mergeCell ref="J40:J41"/>
  </mergeCells>
  <pageMargins left="0.7" right="0.7" top="0.75" bottom="0.75" header="0.3" footer="0.3"/>
  <pageSetup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B86-3660-4B48-8CF6-CC7059DA3DB5}">
  <dimension ref="B3:L80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RowHeight="15" x14ac:dyDescent="0.25"/>
  <cols>
    <col min="1" max="1" width="2.28515625" bestFit="1" customWidth="1"/>
    <col min="2" max="2" width="64.5703125" bestFit="1" customWidth="1"/>
    <col min="3" max="3" width="2.28515625" bestFit="1" customWidth="1"/>
    <col min="4" max="4" width="16.28515625" bestFit="1" customWidth="1"/>
    <col min="5" max="5" width="12.140625" customWidth="1"/>
    <col min="6" max="6" width="12.7109375" customWidth="1"/>
    <col min="7" max="7" width="15.140625" bestFit="1" customWidth="1"/>
  </cols>
  <sheetData>
    <row r="3" spans="2:7" x14ac:dyDescent="0.25">
      <c r="B3" s="38"/>
    </row>
    <row r="5" spans="2:7" x14ac:dyDescent="0.25">
      <c r="B5" s="38" t="s">
        <v>281</v>
      </c>
    </row>
    <row r="6" spans="2:7" x14ac:dyDescent="0.25">
      <c r="B6" s="172" t="s">
        <v>282</v>
      </c>
      <c r="C6" s="173"/>
      <c r="D6" s="171"/>
    </row>
    <row r="7" spans="2:7" x14ac:dyDescent="0.25">
      <c r="B7" s="4" t="s">
        <v>283</v>
      </c>
      <c r="C7" s="8"/>
      <c r="D7" s="20" t="s">
        <v>349</v>
      </c>
    </row>
    <row r="8" spans="2:7" x14ac:dyDescent="0.25">
      <c r="B8" s="4" t="s">
        <v>284</v>
      </c>
      <c r="C8" s="8"/>
      <c r="D8" s="100">
        <v>45659</v>
      </c>
    </row>
    <row r="9" spans="2:7" x14ac:dyDescent="0.25">
      <c r="B9" s="4" t="s">
        <v>285</v>
      </c>
      <c r="C9" s="8"/>
      <c r="D9" s="20" t="s">
        <v>399</v>
      </c>
    </row>
    <row r="10" spans="2:7" x14ac:dyDescent="0.25">
      <c r="B10" s="4" t="s">
        <v>286</v>
      </c>
      <c r="C10" s="8"/>
      <c r="D10" s="20">
        <v>2023</v>
      </c>
    </row>
    <row r="11" spans="2:7" x14ac:dyDescent="0.25">
      <c r="B11" s="4" t="s">
        <v>287</v>
      </c>
      <c r="C11" s="8"/>
      <c r="D11" s="20" t="s">
        <v>397</v>
      </c>
    </row>
    <row r="12" spans="2:7" x14ac:dyDescent="0.25">
      <c r="B12" s="4" t="s">
        <v>288</v>
      </c>
      <c r="C12" s="8"/>
      <c r="D12" s="20" t="s">
        <v>400</v>
      </c>
    </row>
    <row r="13" spans="2:7" x14ac:dyDescent="0.25">
      <c r="B13" s="186" t="s">
        <v>361</v>
      </c>
      <c r="C13" s="20"/>
      <c r="D13" s="20">
        <v>1.05</v>
      </c>
    </row>
    <row r="14" spans="2:7" x14ac:dyDescent="0.25">
      <c r="B14" s="91" t="s">
        <v>173</v>
      </c>
      <c r="C14" s="12"/>
      <c r="D14" s="168">
        <v>0.26</v>
      </c>
    </row>
    <row r="16" spans="2:7" x14ac:dyDescent="0.25">
      <c r="B16" s="172" t="s">
        <v>289</v>
      </c>
      <c r="C16" s="172"/>
      <c r="D16" s="160" t="s">
        <v>290</v>
      </c>
      <c r="E16" s="160" t="s">
        <v>291</v>
      </c>
      <c r="F16" s="160" t="s">
        <v>292</v>
      </c>
      <c r="G16" s="159" t="s">
        <v>351</v>
      </c>
    </row>
    <row r="17" spans="2:7" x14ac:dyDescent="0.25">
      <c r="B17" s="4" t="s">
        <v>293</v>
      </c>
      <c r="C17" s="8"/>
      <c r="D17" s="188">
        <v>479.3</v>
      </c>
      <c r="E17" s="8"/>
      <c r="F17" s="8"/>
      <c r="G17" s="8"/>
    </row>
    <row r="18" spans="2:7" x14ac:dyDescent="0.25">
      <c r="B18" s="4" t="s">
        <v>294</v>
      </c>
      <c r="C18" s="8"/>
      <c r="D18" s="198">
        <f>180418090/10^6</f>
        <v>180.41809000000001</v>
      </c>
      <c r="E18" s="8"/>
      <c r="F18" s="8"/>
      <c r="G18" s="8"/>
    </row>
    <row r="19" spans="2:7" x14ac:dyDescent="0.25">
      <c r="B19" s="4" t="s">
        <v>295</v>
      </c>
      <c r="C19" s="8"/>
      <c r="D19" s="188">
        <f>D18+J45+H56</f>
        <v>239.51409000000001</v>
      </c>
      <c r="E19" s="188"/>
      <c r="F19" s="188"/>
      <c r="G19" s="188">
        <f>SUM(D19:F19)</f>
        <v>239.51409000000001</v>
      </c>
    </row>
    <row r="20" spans="2:7" x14ac:dyDescent="0.25">
      <c r="B20" s="4" t="s">
        <v>296</v>
      </c>
      <c r="C20" s="8"/>
      <c r="D20" s="188">
        <f>D17*D19</f>
        <v>114799.10333700001</v>
      </c>
      <c r="E20" s="188"/>
      <c r="F20" s="188"/>
      <c r="G20" s="188">
        <f>SUM(D20:F20)</f>
        <v>114799.10333700001</v>
      </c>
    </row>
    <row r="21" spans="2:7" x14ac:dyDescent="0.25">
      <c r="B21" s="4" t="s">
        <v>239</v>
      </c>
      <c r="C21" s="8"/>
      <c r="D21" s="188"/>
      <c r="E21" s="188"/>
      <c r="F21" s="188"/>
      <c r="G21" s="188">
        <f>492413/1000</f>
        <v>492.41300000000001</v>
      </c>
    </row>
    <row r="22" spans="2:7" x14ac:dyDescent="0.25">
      <c r="B22" s="4" t="s">
        <v>297</v>
      </c>
      <c r="C22" s="8"/>
      <c r="D22" s="188"/>
      <c r="E22" s="188"/>
      <c r="F22" s="188"/>
      <c r="G22" s="189">
        <f>SUM(G24)</f>
        <v>0</v>
      </c>
    </row>
    <row r="23" spans="2:7" x14ac:dyDescent="0.25">
      <c r="B23" s="164" t="s">
        <v>298</v>
      </c>
      <c r="C23" s="8"/>
      <c r="D23" s="188"/>
      <c r="E23" s="188"/>
      <c r="F23" s="188"/>
      <c r="G23" s="188">
        <v>0</v>
      </c>
    </row>
    <row r="24" spans="2:7" x14ac:dyDescent="0.25">
      <c r="B24" s="164" t="s">
        <v>299</v>
      </c>
      <c r="C24" s="8"/>
      <c r="D24" s="188"/>
      <c r="E24" s="188"/>
      <c r="F24" s="188"/>
      <c r="G24" s="188">
        <v>0</v>
      </c>
    </row>
    <row r="25" spans="2:7" x14ac:dyDescent="0.25">
      <c r="B25" s="4" t="s">
        <v>300</v>
      </c>
      <c r="C25" s="8"/>
      <c r="D25" s="188"/>
      <c r="E25" s="188"/>
      <c r="F25" s="188"/>
      <c r="G25" s="189">
        <f>SUM(G26:G27)</f>
        <v>2477.1860000000001</v>
      </c>
    </row>
    <row r="26" spans="2:7" x14ac:dyDescent="0.25">
      <c r="B26" s="164" t="s">
        <v>348</v>
      </c>
      <c r="C26" s="8"/>
      <c r="D26" s="188"/>
      <c r="E26" s="188"/>
      <c r="F26" s="188"/>
      <c r="G26" s="188">
        <f>2477186000/10^6</f>
        <v>2477.1860000000001</v>
      </c>
    </row>
    <row r="27" spans="2:7" x14ac:dyDescent="0.25">
      <c r="B27" s="164" t="s">
        <v>301</v>
      </c>
      <c r="C27" s="8"/>
      <c r="D27" s="188"/>
      <c r="E27" s="188"/>
      <c r="F27" s="188"/>
      <c r="G27" s="188">
        <v>0</v>
      </c>
    </row>
    <row r="28" spans="2:7" x14ac:dyDescent="0.25">
      <c r="B28" s="4" t="s">
        <v>302</v>
      </c>
      <c r="C28" s="8"/>
      <c r="D28" s="188"/>
      <c r="E28" s="188"/>
      <c r="F28" s="188"/>
      <c r="G28" s="189">
        <f>SUM(G29:G30)</f>
        <v>0</v>
      </c>
    </row>
    <row r="29" spans="2:7" x14ac:dyDescent="0.25">
      <c r="B29" s="164" t="s">
        <v>303</v>
      </c>
      <c r="C29" s="8"/>
      <c r="D29" s="188"/>
      <c r="E29" s="188"/>
      <c r="F29" s="188"/>
      <c r="G29" s="188">
        <v>0</v>
      </c>
    </row>
    <row r="30" spans="2:7" x14ac:dyDescent="0.25">
      <c r="B30" s="164" t="s">
        <v>304</v>
      </c>
      <c r="C30" s="8"/>
      <c r="D30" s="188"/>
      <c r="E30" s="188"/>
      <c r="F30" s="188"/>
      <c r="G30" s="188">
        <v>0</v>
      </c>
    </row>
    <row r="31" spans="2:7" x14ac:dyDescent="0.25">
      <c r="B31" s="4" t="s">
        <v>305</v>
      </c>
      <c r="C31" s="8"/>
      <c r="D31" s="188"/>
      <c r="E31" s="188"/>
      <c r="F31" s="188"/>
      <c r="G31" s="188">
        <f>1121981000/10^6</f>
        <v>1121.981</v>
      </c>
    </row>
    <row r="32" spans="2:7" x14ac:dyDescent="0.25">
      <c r="B32" s="47" t="s">
        <v>306</v>
      </c>
      <c r="C32" s="47"/>
      <c r="D32" s="190"/>
      <c r="E32" s="190"/>
      <c r="F32" s="190"/>
      <c r="G32" s="190">
        <f>G20+G21+G22+G25+G28-G31</f>
        <v>116646.72133700001</v>
      </c>
    </row>
    <row r="33" spans="2:12" x14ac:dyDescent="0.25">
      <c r="B33" s="4" t="s">
        <v>307</v>
      </c>
      <c r="C33" s="8"/>
      <c r="D33" s="188"/>
      <c r="E33" s="188"/>
      <c r="F33" s="188"/>
      <c r="G33" s="188">
        <f>67671000/10^6</f>
        <v>67.671000000000006</v>
      </c>
    </row>
    <row r="34" spans="2:12" x14ac:dyDescent="0.25">
      <c r="B34" s="4" t="s">
        <v>218</v>
      </c>
      <c r="C34" s="8"/>
      <c r="D34" s="188"/>
      <c r="E34" s="188"/>
      <c r="F34" s="188"/>
      <c r="G34" s="188">
        <f>G32-G33</f>
        <v>116579.05033700001</v>
      </c>
    </row>
    <row r="35" spans="2:12" x14ac:dyDescent="0.25">
      <c r="B35" s="91" t="s">
        <v>308</v>
      </c>
      <c r="C35" s="12"/>
      <c r="D35" s="191"/>
      <c r="E35" s="191"/>
      <c r="F35" s="191"/>
      <c r="G35" s="191">
        <f>G20/SUM(D19:F19)</f>
        <v>479.3</v>
      </c>
    </row>
    <row r="37" spans="2:12" x14ac:dyDescent="0.25">
      <c r="D37" s="361" t="s">
        <v>343</v>
      </c>
      <c r="E37" s="362"/>
      <c r="F37" s="362"/>
      <c r="G37" s="362"/>
      <c r="H37" s="362"/>
      <c r="I37" s="362"/>
      <c r="J37" s="363"/>
    </row>
    <row r="39" spans="2:12" x14ac:dyDescent="0.25">
      <c r="B39" s="172" t="s">
        <v>314</v>
      </c>
      <c r="C39" s="173"/>
      <c r="D39" s="336" t="s">
        <v>309</v>
      </c>
      <c r="E39" s="336"/>
      <c r="F39" s="336"/>
      <c r="G39" s="336"/>
      <c r="H39" s="336"/>
      <c r="I39" s="336"/>
      <c r="J39" s="336"/>
    </row>
    <row r="40" spans="2:12" ht="15" customHeight="1" x14ac:dyDescent="0.25">
      <c r="B40" s="8"/>
      <c r="C40" s="8"/>
      <c r="D40" s="370" t="s">
        <v>310</v>
      </c>
      <c r="E40" s="370" t="s">
        <v>268</v>
      </c>
      <c r="F40" s="354" t="s">
        <v>264</v>
      </c>
      <c r="G40" s="336" t="s">
        <v>262</v>
      </c>
      <c r="H40" s="336"/>
      <c r="I40" s="336"/>
      <c r="J40" s="370" t="s">
        <v>269</v>
      </c>
    </row>
    <row r="41" spans="2:12" ht="15" customHeight="1" x14ac:dyDescent="0.25">
      <c r="B41" s="8"/>
      <c r="C41" s="8"/>
      <c r="D41" s="371"/>
      <c r="E41" s="371"/>
      <c r="F41" s="355"/>
      <c r="G41" s="29" t="s">
        <v>265</v>
      </c>
      <c r="H41" s="29" t="s">
        <v>266</v>
      </c>
      <c r="I41" s="29" t="s">
        <v>267</v>
      </c>
      <c r="J41" s="371"/>
      <c r="K41" s="340" t="s">
        <v>398</v>
      </c>
      <c r="L41" s="341"/>
    </row>
    <row r="42" spans="2:12" x14ac:dyDescent="0.25">
      <c r="B42" s="169" t="s">
        <v>345</v>
      </c>
      <c r="C42" s="8"/>
      <c r="D42" s="188">
        <v>0</v>
      </c>
      <c r="E42" s="188">
        <v>0</v>
      </c>
      <c r="F42" s="188" t="str">
        <f>IF(D17&gt;E42,"Yes👍","No👎")</f>
        <v>Yes👍</v>
      </c>
      <c r="G42" s="188">
        <f>IF(F42="Yes👍",D42,"0")</f>
        <v>0</v>
      </c>
      <c r="H42" s="188">
        <f>E42*G42</f>
        <v>0</v>
      </c>
      <c r="I42" s="188">
        <f>H42/$D$17</f>
        <v>0</v>
      </c>
      <c r="J42" s="188">
        <f>G42-I42</f>
        <v>0</v>
      </c>
      <c r="K42" s="192">
        <f>D42*(1-E42/D17)</f>
        <v>0</v>
      </c>
      <c r="L42" t="b">
        <f>J42=K42</f>
        <v>1</v>
      </c>
    </row>
    <row r="43" spans="2:12" x14ac:dyDescent="0.25">
      <c r="B43" s="169" t="s">
        <v>344</v>
      </c>
      <c r="C43" s="8"/>
      <c r="D43" s="188">
        <f>59096/1000</f>
        <v>59.095999999999997</v>
      </c>
      <c r="E43" s="188">
        <v>0</v>
      </c>
      <c r="F43" s="188" t="str">
        <f t="shared" ref="F43" si="0">IF(D18&gt;E43,"Yes👍","No👎")</f>
        <v>Yes👍</v>
      </c>
      <c r="G43" s="188">
        <f t="shared" ref="G43" si="1">IF(F43="Yes👍",D43,"0")</f>
        <v>59.095999999999997</v>
      </c>
      <c r="H43" s="188">
        <f t="shared" ref="H43" si="2">E43*G43</f>
        <v>0</v>
      </c>
      <c r="I43" s="188">
        <f t="shared" ref="I43" si="3">H43/$D$17</f>
        <v>0</v>
      </c>
      <c r="J43" s="188">
        <f t="shared" ref="J43" si="4">G43-I43</f>
        <v>59.095999999999997</v>
      </c>
    </row>
    <row r="44" spans="2:12" x14ac:dyDescent="0.25">
      <c r="B44" s="170"/>
      <c r="C44" s="12"/>
      <c r="D44" s="191"/>
      <c r="E44" s="191"/>
      <c r="F44" s="191"/>
      <c r="G44" s="191"/>
      <c r="H44" s="191"/>
      <c r="I44" s="191"/>
      <c r="J44" s="191"/>
    </row>
    <row r="45" spans="2:12" ht="15.75" thickBot="1" x14ac:dyDescent="0.3">
      <c r="D45" s="192"/>
      <c r="E45" s="192"/>
      <c r="F45" s="192"/>
      <c r="G45" s="192"/>
      <c r="H45" s="192"/>
      <c r="I45" s="192"/>
      <c r="J45" s="193">
        <f>SUM(J42:J44)</f>
        <v>59.095999999999997</v>
      </c>
    </row>
    <row r="50" spans="2:11" x14ac:dyDescent="0.25">
      <c r="B50" s="172" t="s">
        <v>314</v>
      </c>
      <c r="C50" s="173"/>
      <c r="D50" s="336" t="s">
        <v>311</v>
      </c>
      <c r="E50" s="336"/>
      <c r="F50" s="336"/>
      <c r="G50" s="336"/>
      <c r="H50" s="336"/>
      <c r="I50" s="165"/>
      <c r="J50" s="165"/>
    </row>
    <row r="51" spans="2:11" x14ac:dyDescent="0.25">
      <c r="B51" s="166"/>
      <c r="C51" s="10"/>
      <c r="D51" s="364" t="s">
        <v>315</v>
      </c>
      <c r="E51" s="364" t="s">
        <v>316</v>
      </c>
      <c r="F51" s="366" t="s">
        <v>312</v>
      </c>
      <c r="G51" s="366" t="s">
        <v>317</v>
      </c>
      <c r="H51" s="368" t="s">
        <v>313</v>
      </c>
    </row>
    <row r="52" spans="2:11" x14ac:dyDescent="0.25">
      <c r="B52" s="167"/>
      <c r="C52" s="8"/>
      <c r="D52" s="365"/>
      <c r="E52" s="365"/>
      <c r="F52" s="367"/>
      <c r="G52" s="367"/>
      <c r="H52" s="369"/>
    </row>
    <row r="53" spans="2:11" x14ac:dyDescent="0.25">
      <c r="B53" s="4" t="s">
        <v>352</v>
      </c>
      <c r="C53" s="8"/>
      <c r="D53" s="8"/>
      <c r="E53" s="8"/>
      <c r="F53" s="8"/>
      <c r="G53" s="8"/>
      <c r="H53" s="8"/>
    </row>
    <row r="54" spans="2:11" x14ac:dyDescent="0.25">
      <c r="B54" s="4" t="s">
        <v>353</v>
      </c>
      <c r="C54" s="8"/>
      <c r="D54" s="8"/>
      <c r="E54" s="8"/>
      <c r="F54" s="8"/>
      <c r="G54" s="8"/>
      <c r="H54" s="8"/>
    </row>
    <row r="55" spans="2:11" x14ac:dyDescent="0.25">
      <c r="B55" s="12"/>
      <c r="C55" s="12"/>
      <c r="D55" s="12"/>
      <c r="E55" s="12"/>
      <c r="F55" s="12"/>
      <c r="G55" s="12"/>
      <c r="H55" s="12"/>
    </row>
    <row r="56" spans="2:11" ht="15.75" thickBot="1" x14ac:dyDescent="0.3">
      <c r="H56" s="175">
        <f>SUM(H53:H55)</f>
        <v>0</v>
      </c>
    </row>
    <row r="58" spans="2:11" x14ac:dyDescent="0.25">
      <c r="D58" t="s">
        <v>403</v>
      </c>
    </row>
    <row r="60" spans="2:11" x14ac:dyDescent="0.25">
      <c r="B60" s="172" t="s">
        <v>318</v>
      </c>
      <c r="C60" s="172"/>
      <c r="D60" s="161" t="s">
        <v>319</v>
      </c>
      <c r="E60" s="161" t="s">
        <v>320</v>
      </c>
      <c r="F60" s="161" t="s">
        <v>321</v>
      </c>
      <c r="G60" s="160" t="s">
        <v>322</v>
      </c>
      <c r="H60" s="159" t="s">
        <v>323</v>
      </c>
      <c r="I60" s="159" t="s">
        <v>324</v>
      </c>
      <c r="J60" s="159" t="s">
        <v>346</v>
      </c>
      <c r="K60" s="160" t="s">
        <v>354</v>
      </c>
    </row>
    <row r="61" spans="2:11" x14ac:dyDescent="0.25">
      <c r="B61" s="8"/>
      <c r="C61" s="8"/>
      <c r="D61" s="174" t="s">
        <v>325</v>
      </c>
      <c r="E61" s="174" t="s">
        <v>407</v>
      </c>
      <c r="F61" s="174" t="s">
        <v>407</v>
      </c>
      <c r="G61" s="20"/>
      <c r="H61" s="20">
        <v>2024</v>
      </c>
      <c r="I61" s="20">
        <v>2025</v>
      </c>
      <c r="J61" s="20">
        <v>2026</v>
      </c>
      <c r="K61" s="8"/>
    </row>
    <row r="62" spans="2:11" x14ac:dyDescent="0.25">
      <c r="B62" s="169" t="s">
        <v>326</v>
      </c>
      <c r="C62" s="45"/>
      <c r="D62" s="189">
        <f>5970146/1000</f>
        <v>5970.1459999999997</v>
      </c>
      <c r="E62" s="189">
        <f>4941127/1000</f>
        <v>4941.1270000000004</v>
      </c>
      <c r="F62" s="189">
        <f>4446746/1000</f>
        <v>4446.7460000000001</v>
      </c>
      <c r="G62" s="189">
        <f>D62+E62-F62</f>
        <v>6464.527000000001</v>
      </c>
      <c r="H62" s="189">
        <v>6677</v>
      </c>
      <c r="I62" s="189">
        <v>7164</v>
      </c>
      <c r="J62" s="189">
        <v>7853</v>
      </c>
      <c r="K62" s="196">
        <f>_xlfn.RRI(3,D62,J62)</f>
        <v>9.5679531196055878E-2</v>
      </c>
    </row>
    <row r="63" spans="2:11" x14ac:dyDescent="0.25">
      <c r="B63" s="8"/>
      <c r="C63" s="8"/>
      <c r="D63" s="188"/>
      <c r="E63" s="188"/>
      <c r="F63" s="188"/>
      <c r="G63" s="188"/>
      <c r="H63" s="188"/>
      <c r="I63" s="188"/>
      <c r="J63" s="188"/>
      <c r="K63" s="204"/>
    </row>
    <row r="64" spans="2:11" x14ac:dyDescent="0.25">
      <c r="B64" s="169" t="s">
        <v>327</v>
      </c>
      <c r="C64" s="8"/>
      <c r="D64" s="188">
        <f>1617369/1000</f>
        <v>1617.3689999999999</v>
      </c>
      <c r="E64" s="188">
        <f>1419817/1000</f>
        <v>1419.817</v>
      </c>
      <c r="F64" s="188">
        <f>1245042/1000</f>
        <v>1245.0419999999999</v>
      </c>
      <c r="G64" s="188">
        <f>D64+E64-F64</f>
        <v>1792.1439999999998</v>
      </c>
      <c r="H64" s="188"/>
      <c r="I64" s="188"/>
      <c r="J64" s="188"/>
      <c r="K64" s="204"/>
    </row>
    <row r="65" spans="2:11" x14ac:dyDescent="0.25">
      <c r="B65" s="44" t="s">
        <v>328</v>
      </c>
      <c r="C65" s="8"/>
      <c r="D65" s="188"/>
      <c r="E65" s="188"/>
      <c r="F65" s="188"/>
      <c r="G65" s="188"/>
      <c r="H65" s="188"/>
      <c r="I65" s="188"/>
      <c r="J65" s="188"/>
      <c r="K65" s="204"/>
    </row>
    <row r="66" spans="2:11" x14ac:dyDescent="0.25">
      <c r="B66" s="45" t="s">
        <v>329</v>
      </c>
      <c r="C66" s="45"/>
      <c r="D66" s="189">
        <v>1617</v>
      </c>
      <c r="E66" s="189">
        <v>1420</v>
      </c>
      <c r="F66" s="189">
        <v>1245</v>
      </c>
      <c r="G66" s="189">
        <f>D66+E66-F66</f>
        <v>1792</v>
      </c>
      <c r="H66" s="189">
        <v>1888</v>
      </c>
      <c r="I66" s="189">
        <v>2097</v>
      </c>
      <c r="J66" s="189">
        <v>2373</v>
      </c>
      <c r="K66" s="196">
        <f>_xlfn.RRI(3,D66,J66)</f>
        <v>0.13639480433992768</v>
      </c>
    </row>
    <row r="67" spans="2:11" x14ac:dyDescent="0.25">
      <c r="B67" s="44" t="s">
        <v>330</v>
      </c>
      <c r="C67" s="8"/>
      <c r="D67" s="188">
        <f>662305/1000</f>
        <v>662.30499999999995</v>
      </c>
      <c r="E67" s="188">
        <f>492413/1000</f>
        <v>492.41300000000001</v>
      </c>
      <c r="F67" s="188">
        <f>476248/1000</f>
        <v>476.24799999999999</v>
      </c>
      <c r="G67" s="188"/>
      <c r="H67" s="188"/>
      <c r="I67" s="188"/>
      <c r="J67" s="188"/>
      <c r="K67" s="204"/>
    </row>
    <row r="68" spans="2:11" x14ac:dyDescent="0.25">
      <c r="B68" s="45" t="s">
        <v>331</v>
      </c>
      <c r="C68" s="45"/>
      <c r="D68" s="189">
        <f>D66+D67</f>
        <v>2279.3049999999998</v>
      </c>
      <c r="E68" s="189">
        <f t="shared" ref="E68:F68" si="5">E66+E67</f>
        <v>1912.413</v>
      </c>
      <c r="F68" s="189">
        <f t="shared" si="5"/>
        <v>1721.248</v>
      </c>
      <c r="G68" s="189">
        <f>D68+E68-F68</f>
        <v>2470.4699999999998</v>
      </c>
      <c r="H68" s="189">
        <v>2555</v>
      </c>
      <c r="I68" s="189">
        <v>2769</v>
      </c>
      <c r="J68" s="189">
        <v>3128</v>
      </c>
      <c r="K68" s="196">
        <f>_xlfn.RRI(3,D68,J68)</f>
        <v>0.11127471714508252</v>
      </c>
    </row>
    <row r="69" spans="2:11" x14ac:dyDescent="0.25">
      <c r="B69" s="8"/>
      <c r="C69" s="8"/>
      <c r="D69" s="188"/>
      <c r="E69" s="188"/>
      <c r="F69" s="188"/>
      <c r="G69" s="188"/>
      <c r="H69" s="188"/>
      <c r="I69" s="188"/>
      <c r="J69" s="188"/>
      <c r="K69" s="204"/>
    </row>
    <row r="70" spans="2:11" x14ac:dyDescent="0.25">
      <c r="B70" s="169" t="s">
        <v>332</v>
      </c>
      <c r="C70" s="8"/>
      <c r="D70" s="188">
        <f>1257457/1000</f>
        <v>1257.4570000000001</v>
      </c>
      <c r="E70" s="188">
        <f>1140409/1000</f>
        <v>1140.4090000000001</v>
      </c>
      <c r="F70" s="188">
        <f>962964/1000</f>
        <v>962.96400000000006</v>
      </c>
      <c r="G70" s="188">
        <f>D70+E70-F70</f>
        <v>1434.902</v>
      </c>
      <c r="H70" s="188"/>
      <c r="I70" s="188"/>
      <c r="J70" s="188"/>
      <c r="K70" s="204"/>
    </row>
    <row r="71" spans="2:11" x14ac:dyDescent="0.25">
      <c r="B71" s="44" t="s">
        <v>333</v>
      </c>
      <c r="C71" s="8"/>
      <c r="D71" s="188">
        <f>D65</f>
        <v>0</v>
      </c>
      <c r="E71" s="188">
        <f t="shared" ref="E71:F71" si="6">E65</f>
        <v>0</v>
      </c>
      <c r="F71" s="188">
        <f t="shared" si="6"/>
        <v>0</v>
      </c>
      <c r="G71" s="188"/>
      <c r="H71" s="188"/>
      <c r="I71" s="188"/>
      <c r="J71" s="188"/>
      <c r="K71" s="204"/>
    </row>
    <row r="72" spans="2:11" x14ac:dyDescent="0.25">
      <c r="B72" s="44" t="s">
        <v>334</v>
      </c>
      <c r="C72" s="8"/>
      <c r="D72" s="188"/>
      <c r="E72" s="188"/>
      <c r="F72" s="188"/>
      <c r="G72" s="188"/>
      <c r="H72" s="188"/>
      <c r="I72" s="188"/>
      <c r="J72" s="188"/>
      <c r="K72" s="204"/>
    </row>
    <row r="73" spans="2:11" x14ac:dyDescent="0.25">
      <c r="B73" s="44" t="s">
        <v>335</v>
      </c>
      <c r="C73" s="8"/>
      <c r="D73" s="188">
        <f>SUM(D71:D72)*$D$14</f>
        <v>0</v>
      </c>
      <c r="E73" s="188">
        <f>SUM(E71:E72)*$D$14</f>
        <v>0</v>
      </c>
      <c r="F73" s="188">
        <f>SUM(F71:F72)*$D$14</f>
        <v>0</v>
      </c>
      <c r="G73" s="188"/>
      <c r="H73" s="188"/>
      <c r="I73" s="188"/>
      <c r="J73" s="188"/>
      <c r="K73" s="204"/>
    </row>
    <row r="74" spans="2:11" x14ac:dyDescent="0.25">
      <c r="B74" s="44" t="s">
        <v>336</v>
      </c>
      <c r="C74" s="8"/>
      <c r="D74" s="188"/>
      <c r="E74" s="188"/>
      <c r="F74" s="188"/>
      <c r="G74" s="188"/>
      <c r="H74" s="188"/>
      <c r="I74" s="188"/>
      <c r="J74" s="188"/>
      <c r="K74" s="204"/>
    </row>
    <row r="75" spans="2:11" x14ac:dyDescent="0.25">
      <c r="B75" s="45" t="s">
        <v>337</v>
      </c>
      <c r="C75" s="45"/>
      <c r="D75" s="189">
        <f>SUM(D70:D74)</f>
        <v>1257.4570000000001</v>
      </c>
      <c r="E75" s="189">
        <f t="shared" ref="E75:F75" si="7">SUM(E70:E74)</f>
        <v>1140.4090000000001</v>
      </c>
      <c r="F75" s="189">
        <f t="shared" si="7"/>
        <v>962.96400000000006</v>
      </c>
      <c r="G75" s="189">
        <f>D75+E75-F75</f>
        <v>1434.902</v>
      </c>
      <c r="H75" s="189"/>
      <c r="I75" s="189"/>
      <c r="J75" s="189"/>
      <c r="K75" s="196"/>
    </row>
    <row r="76" spans="2:11" x14ac:dyDescent="0.25">
      <c r="B76" s="44" t="s">
        <v>338</v>
      </c>
      <c r="C76" s="8"/>
      <c r="D76" s="188"/>
      <c r="E76" s="188"/>
      <c r="F76" s="188"/>
      <c r="G76" s="188"/>
      <c r="H76" s="188"/>
      <c r="I76" s="188"/>
      <c r="J76" s="188"/>
      <c r="K76" s="204"/>
    </row>
    <row r="77" spans="2:11" x14ac:dyDescent="0.25">
      <c r="B77" s="45" t="s">
        <v>339</v>
      </c>
      <c r="C77" s="45"/>
      <c r="D77" s="189">
        <f>D75-D76</f>
        <v>1257.4570000000001</v>
      </c>
      <c r="E77" s="189">
        <f t="shared" ref="E77:F77" si="8">E75-E76</f>
        <v>1140.4090000000001</v>
      </c>
      <c r="F77" s="189">
        <f t="shared" si="8"/>
        <v>962.96400000000006</v>
      </c>
      <c r="G77" s="189">
        <f>D77+E77-F77</f>
        <v>1434.902</v>
      </c>
      <c r="H77" s="189">
        <v>1526</v>
      </c>
      <c r="I77" s="189">
        <v>1621</v>
      </c>
      <c r="J77" s="189">
        <v>1838</v>
      </c>
      <c r="K77" s="196">
        <f>_xlfn.RRI(3,D77,J77)</f>
        <v>0.13488220959175523</v>
      </c>
    </row>
    <row r="78" spans="2:11" x14ac:dyDescent="0.25">
      <c r="B78" s="8"/>
      <c r="C78" s="8"/>
      <c r="D78" s="188"/>
      <c r="E78" s="188"/>
      <c r="F78" s="188"/>
      <c r="G78" s="188"/>
      <c r="H78" s="188"/>
      <c r="I78" s="188"/>
      <c r="J78" s="188"/>
      <c r="K78" s="204"/>
    </row>
    <row r="79" spans="2:11" x14ac:dyDescent="0.25">
      <c r="B79" s="4" t="s">
        <v>340</v>
      </c>
      <c r="C79" s="8"/>
      <c r="D79" s="188">
        <f>179743/1000</f>
        <v>179.74299999999999</v>
      </c>
      <c r="E79" s="188">
        <f>D79</f>
        <v>179.74299999999999</v>
      </c>
      <c r="F79" s="188">
        <f t="shared" ref="F79" si="9">E79</f>
        <v>179.74299999999999</v>
      </c>
      <c r="G79" s="188"/>
      <c r="H79" s="188"/>
      <c r="I79" s="188"/>
      <c r="J79" s="188"/>
      <c r="K79" s="204"/>
    </row>
    <row r="80" spans="2:11" x14ac:dyDescent="0.25">
      <c r="B80" s="194" t="s">
        <v>135</v>
      </c>
      <c r="C80" s="149"/>
      <c r="D80" s="201">
        <f>D77/D79</f>
        <v>6.9958607567471338</v>
      </c>
      <c r="E80" s="201">
        <f t="shared" ref="E80:F80" si="10">E77/E79</f>
        <v>6.3446643262880897</v>
      </c>
      <c r="F80" s="201">
        <f t="shared" si="10"/>
        <v>5.3574492469804111</v>
      </c>
      <c r="G80" s="201">
        <f>D80+E80-F80</f>
        <v>7.9830758360548133</v>
      </c>
      <c r="H80" s="201">
        <v>8.4600000000000009</v>
      </c>
      <c r="I80" s="201">
        <v>9.0459999999999994</v>
      </c>
      <c r="J80" s="201">
        <v>10.47</v>
      </c>
      <c r="K80" s="197">
        <f>_xlfn.RRI(3,D80,J80)</f>
        <v>0.14384850336924537</v>
      </c>
    </row>
  </sheetData>
  <mergeCells count="14">
    <mergeCell ref="K41:L41"/>
    <mergeCell ref="D37:J37"/>
    <mergeCell ref="D39:J39"/>
    <mergeCell ref="D40:D41"/>
    <mergeCell ref="E40:E41"/>
    <mergeCell ref="F40:F41"/>
    <mergeCell ref="G40:I40"/>
    <mergeCell ref="J40:J41"/>
    <mergeCell ref="D50:H50"/>
    <mergeCell ref="D51:D52"/>
    <mergeCell ref="E51:E52"/>
    <mergeCell ref="F51:F52"/>
    <mergeCell ref="G51:G52"/>
    <mergeCell ref="H51:H52"/>
  </mergeCells>
  <pageMargins left="0.7" right="0.7" top="0.75" bottom="0.75" header="0.3" footer="0.3"/>
  <pageSetup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55B7-CDC9-4780-883F-45C98DF2F001}">
  <dimension ref="B3:L80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RowHeight="15" x14ac:dyDescent="0.25"/>
  <cols>
    <col min="1" max="1" width="2.28515625" bestFit="1" customWidth="1"/>
    <col min="2" max="2" width="64.5703125" bestFit="1" customWidth="1"/>
    <col min="3" max="3" width="2.28515625" bestFit="1" customWidth="1"/>
    <col min="4" max="4" width="16.42578125" bestFit="1" customWidth="1"/>
    <col min="5" max="5" width="12.140625" customWidth="1"/>
    <col min="6" max="6" width="12.7109375" customWidth="1"/>
    <col min="7" max="7" width="15.28515625" bestFit="1" customWidth="1"/>
    <col min="11" max="11" width="14.42578125" bestFit="1" customWidth="1"/>
  </cols>
  <sheetData>
    <row r="3" spans="2:7" x14ac:dyDescent="0.25">
      <c r="B3" s="38"/>
    </row>
    <row r="5" spans="2:7" x14ac:dyDescent="0.25">
      <c r="B5" s="38" t="s">
        <v>281</v>
      </c>
    </row>
    <row r="6" spans="2:7" x14ac:dyDescent="0.25">
      <c r="B6" s="172" t="s">
        <v>282</v>
      </c>
      <c r="C6" s="173"/>
      <c r="D6" s="171"/>
    </row>
    <row r="7" spans="2:7" x14ac:dyDescent="0.25">
      <c r="B7" s="4" t="s">
        <v>283</v>
      </c>
      <c r="C7" s="8"/>
      <c r="D7" s="20" t="s">
        <v>349</v>
      </c>
    </row>
    <row r="8" spans="2:7" x14ac:dyDescent="0.25">
      <c r="B8" s="4" t="s">
        <v>284</v>
      </c>
      <c r="C8" s="8"/>
      <c r="D8" s="100">
        <v>45659</v>
      </c>
    </row>
    <row r="9" spans="2:7" x14ac:dyDescent="0.25">
      <c r="B9" s="4" t="s">
        <v>285</v>
      </c>
      <c r="C9" s="8"/>
      <c r="D9" s="20" t="s">
        <v>401</v>
      </c>
    </row>
    <row r="10" spans="2:7" x14ac:dyDescent="0.25">
      <c r="B10" s="4" t="s">
        <v>286</v>
      </c>
      <c r="C10" s="8"/>
      <c r="D10" s="20">
        <v>2024</v>
      </c>
    </row>
    <row r="11" spans="2:7" x14ac:dyDescent="0.25">
      <c r="B11" s="4" t="s">
        <v>287</v>
      </c>
      <c r="C11" s="8"/>
      <c r="D11" s="20" t="s">
        <v>397</v>
      </c>
    </row>
    <row r="12" spans="2:7" x14ac:dyDescent="0.25">
      <c r="B12" s="4" t="s">
        <v>288</v>
      </c>
      <c r="C12" s="8"/>
      <c r="D12" s="20" t="s">
        <v>350</v>
      </c>
    </row>
    <row r="13" spans="2:7" x14ac:dyDescent="0.25">
      <c r="B13" s="186" t="s">
        <v>361</v>
      </c>
      <c r="D13" s="20">
        <v>1</v>
      </c>
    </row>
    <row r="14" spans="2:7" x14ac:dyDescent="0.25">
      <c r="B14" s="91" t="s">
        <v>173</v>
      </c>
      <c r="C14" s="12"/>
      <c r="D14" s="168">
        <v>0.26</v>
      </c>
    </row>
    <row r="16" spans="2:7" x14ac:dyDescent="0.25">
      <c r="B16" s="172" t="s">
        <v>289</v>
      </c>
      <c r="C16" s="172"/>
      <c r="D16" s="160" t="s">
        <v>290</v>
      </c>
      <c r="E16" s="160" t="s">
        <v>291</v>
      </c>
      <c r="F16" s="160" t="s">
        <v>292</v>
      </c>
      <c r="G16" s="159" t="s">
        <v>351</v>
      </c>
    </row>
    <row r="17" spans="2:11" x14ac:dyDescent="0.25">
      <c r="B17" s="4" t="s">
        <v>293</v>
      </c>
      <c r="C17" s="8"/>
      <c r="D17" s="188">
        <v>9.65</v>
      </c>
      <c r="E17" s="188">
        <f>D17</f>
        <v>9.65</v>
      </c>
      <c r="F17" s="188"/>
      <c r="G17" s="188"/>
    </row>
    <row r="18" spans="2:11" x14ac:dyDescent="0.25">
      <c r="B18" s="4" t="s">
        <v>294</v>
      </c>
      <c r="C18" s="8"/>
      <c r="D18" s="188">
        <f>3904327951/10^6</f>
        <v>3904.3279510000002</v>
      </c>
      <c r="E18" s="188">
        <f>70852076/10^6</f>
        <v>70.852075999999997</v>
      </c>
      <c r="F18" s="188"/>
      <c r="G18" s="188"/>
      <c r="K18" s="203"/>
    </row>
    <row r="19" spans="2:11" x14ac:dyDescent="0.25">
      <c r="B19" s="4" t="s">
        <v>295</v>
      </c>
      <c r="C19" s="8"/>
      <c r="D19" s="188">
        <f>D18+J45+H56</f>
        <v>4000.027951</v>
      </c>
      <c r="E19" s="188">
        <f>E18</f>
        <v>70.852075999999997</v>
      </c>
      <c r="F19" s="188"/>
      <c r="G19" s="188">
        <f>SUM(D19:F19)</f>
        <v>4070.8800270000002</v>
      </c>
    </row>
    <row r="20" spans="2:11" x14ac:dyDescent="0.25">
      <c r="B20" s="4" t="s">
        <v>296</v>
      </c>
      <c r="C20" s="8"/>
      <c r="D20" s="188">
        <f>D17*D19</f>
        <v>38600.26972715</v>
      </c>
      <c r="E20" s="188">
        <f t="shared" ref="E20" si="0">E17*E19</f>
        <v>683.72253339999997</v>
      </c>
      <c r="F20" s="188"/>
      <c r="G20" s="188">
        <f>SUM(D20:F20)</f>
        <v>39283.992260550003</v>
      </c>
    </row>
    <row r="21" spans="2:11" x14ac:dyDescent="0.25">
      <c r="B21" s="4" t="s">
        <v>239</v>
      </c>
      <c r="C21" s="8"/>
      <c r="D21" s="188"/>
      <c r="E21" s="188"/>
      <c r="F21" s="188"/>
      <c r="G21" s="188">
        <v>23</v>
      </c>
    </row>
    <row r="22" spans="2:11" x14ac:dyDescent="0.25">
      <c r="B22" s="4" t="s">
        <v>297</v>
      </c>
      <c r="C22" s="8"/>
      <c r="D22" s="188"/>
      <c r="E22" s="188"/>
      <c r="F22" s="188"/>
      <c r="G22" s="189">
        <f>SUM(G24)</f>
        <v>0</v>
      </c>
    </row>
    <row r="23" spans="2:11" x14ac:dyDescent="0.25">
      <c r="B23" s="164" t="s">
        <v>298</v>
      </c>
      <c r="C23" s="8"/>
      <c r="D23" s="188"/>
      <c r="E23" s="188"/>
      <c r="F23" s="188"/>
      <c r="G23" s="188">
        <v>0</v>
      </c>
    </row>
    <row r="24" spans="2:11" x14ac:dyDescent="0.25">
      <c r="B24" s="164" t="s">
        <v>299</v>
      </c>
      <c r="C24" s="8"/>
      <c r="D24" s="188"/>
      <c r="E24" s="188"/>
      <c r="F24" s="188"/>
      <c r="G24" s="188">
        <v>0</v>
      </c>
    </row>
    <row r="25" spans="2:11" x14ac:dyDescent="0.25">
      <c r="B25" s="4" t="s">
        <v>300</v>
      </c>
      <c r="C25" s="8"/>
      <c r="D25" s="188"/>
      <c r="E25" s="188"/>
      <c r="F25" s="188"/>
      <c r="G25" s="189">
        <f>SUM(G26:G27)</f>
        <v>158522</v>
      </c>
    </row>
    <row r="26" spans="2:11" x14ac:dyDescent="0.25">
      <c r="B26" s="164" t="s">
        <v>348</v>
      </c>
      <c r="C26" s="8"/>
      <c r="D26" s="188"/>
      <c r="E26" s="188"/>
      <c r="F26" s="188"/>
      <c r="G26" s="188">
        <f>1756+53193+18898+84675</f>
        <v>158522</v>
      </c>
    </row>
    <row r="27" spans="2:11" x14ac:dyDescent="0.25">
      <c r="B27" s="164" t="s">
        <v>301</v>
      </c>
      <c r="C27" s="8"/>
      <c r="D27" s="188"/>
      <c r="E27" s="188"/>
      <c r="F27" s="188"/>
      <c r="G27" s="188">
        <v>0</v>
      </c>
    </row>
    <row r="28" spans="2:11" x14ac:dyDescent="0.25">
      <c r="B28" s="4" t="s">
        <v>302</v>
      </c>
      <c r="C28" s="8"/>
      <c r="D28" s="188"/>
      <c r="E28" s="188"/>
      <c r="F28" s="188"/>
      <c r="G28" s="189">
        <f>SUM(G29:G30)</f>
        <v>4962</v>
      </c>
    </row>
    <row r="29" spans="2:11" x14ac:dyDescent="0.25">
      <c r="B29" s="164" t="s">
        <v>303</v>
      </c>
      <c r="C29" s="8"/>
      <c r="D29" s="188"/>
      <c r="E29" s="188"/>
      <c r="F29" s="188"/>
      <c r="G29" s="188">
        <f>1053+4415-506</f>
        <v>4962</v>
      </c>
    </row>
    <row r="30" spans="2:11" x14ac:dyDescent="0.25">
      <c r="B30" s="164" t="s">
        <v>304</v>
      </c>
      <c r="C30" s="8"/>
      <c r="D30" s="188"/>
      <c r="E30" s="188"/>
      <c r="F30" s="188"/>
      <c r="G30" s="188"/>
    </row>
    <row r="31" spans="2:11" x14ac:dyDescent="0.25">
      <c r="B31" s="4" t="s">
        <v>305</v>
      </c>
      <c r="C31" s="8"/>
      <c r="D31" s="188"/>
      <c r="E31" s="188"/>
      <c r="F31" s="188"/>
      <c r="G31" s="188">
        <v>22935</v>
      </c>
    </row>
    <row r="32" spans="2:11" x14ac:dyDescent="0.25">
      <c r="B32" s="47" t="s">
        <v>306</v>
      </c>
      <c r="C32" s="47"/>
      <c r="D32" s="190"/>
      <c r="E32" s="190"/>
      <c r="F32" s="190"/>
      <c r="G32" s="190">
        <f>G20+G21+G22+G25+G28-G31</f>
        <v>179855.99226055</v>
      </c>
    </row>
    <row r="33" spans="2:12" x14ac:dyDescent="0.25">
      <c r="B33" s="4" t="s">
        <v>307</v>
      </c>
      <c r="C33" s="8"/>
      <c r="D33" s="188"/>
      <c r="E33" s="188"/>
      <c r="F33" s="188"/>
      <c r="G33" s="188">
        <f>15413</f>
        <v>15413</v>
      </c>
    </row>
    <row r="34" spans="2:12" x14ac:dyDescent="0.25">
      <c r="B34" s="4" t="s">
        <v>218</v>
      </c>
      <c r="C34" s="8"/>
      <c r="D34" s="188"/>
      <c r="E34" s="188"/>
      <c r="F34" s="188"/>
      <c r="G34" s="188">
        <f>G32-G33</f>
        <v>164442.99226055</v>
      </c>
    </row>
    <row r="35" spans="2:12" x14ac:dyDescent="0.25">
      <c r="B35" s="91" t="s">
        <v>308</v>
      </c>
      <c r="C35" s="12"/>
      <c r="D35" s="191"/>
      <c r="E35" s="191"/>
      <c r="F35" s="191"/>
      <c r="G35" s="191">
        <f>G20/SUM(D19:F19)</f>
        <v>9.65</v>
      </c>
    </row>
    <row r="37" spans="2:12" x14ac:dyDescent="0.25">
      <c r="D37" s="361" t="s">
        <v>343</v>
      </c>
      <c r="E37" s="362"/>
      <c r="F37" s="362"/>
      <c r="G37" s="362"/>
      <c r="H37" s="362"/>
      <c r="I37" s="362"/>
      <c r="J37" s="363"/>
    </row>
    <row r="39" spans="2:12" x14ac:dyDescent="0.25">
      <c r="B39" s="172" t="s">
        <v>314</v>
      </c>
      <c r="C39" s="173"/>
      <c r="D39" s="336" t="s">
        <v>309</v>
      </c>
      <c r="E39" s="336"/>
      <c r="F39" s="336"/>
      <c r="G39" s="336"/>
      <c r="H39" s="336"/>
      <c r="I39" s="336"/>
      <c r="J39" s="336"/>
    </row>
    <row r="40" spans="2:12" ht="15" customHeight="1" x14ac:dyDescent="0.25">
      <c r="B40" s="8"/>
      <c r="C40" s="8"/>
      <c r="D40" s="370" t="s">
        <v>310</v>
      </c>
      <c r="E40" s="370" t="s">
        <v>268</v>
      </c>
      <c r="F40" s="354" t="s">
        <v>264</v>
      </c>
      <c r="G40" s="336" t="s">
        <v>262</v>
      </c>
      <c r="H40" s="336"/>
      <c r="I40" s="336"/>
      <c r="J40" s="370" t="s">
        <v>269</v>
      </c>
    </row>
    <row r="41" spans="2:12" ht="15" customHeight="1" x14ac:dyDescent="0.25">
      <c r="B41" s="8"/>
      <c r="C41" s="8"/>
      <c r="D41" s="371"/>
      <c r="E41" s="371"/>
      <c r="F41" s="355"/>
      <c r="G41" s="29" t="s">
        <v>265</v>
      </c>
      <c r="H41" s="29" t="s">
        <v>266</v>
      </c>
      <c r="I41" s="29" t="s">
        <v>267</v>
      </c>
      <c r="J41" s="371"/>
      <c r="K41" s="340" t="s">
        <v>398</v>
      </c>
      <c r="L41" s="341"/>
    </row>
    <row r="42" spans="2:12" x14ac:dyDescent="0.25">
      <c r="B42" s="169" t="s">
        <v>345</v>
      </c>
      <c r="C42" s="8"/>
      <c r="D42" s="8">
        <v>0</v>
      </c>
      <c r="E42" s="8"/>
      <c r="F42" s="8" t="str">
        <f>IF(D17&gt;E42,"Yes👍","No👎")</f>
        <v>Yes👍</v>
      </c>
      <c r="G42" s="8">
        <f>IF(F42="Yes👍",D42,"0")</f>
        <v>0</v>
      </c>
      <c r="H42" s="8">
        <f>E42*G42</f>
        <v>0</v>
      </c>
      <c r="I42" s="8">
        <f>H42/$D$17</f>
        <v>0</v>
      </c>
      <c r="J42" s="8">
        <f>G42-I42</f>
        <v>0</v>
      </c>
      <c r="K42" s="192">
        <f>D42*(1-E42/D17)</f>
        <v>0</v>
      </c>
      <c r="L42" t="b">
        <f>J42=K42</f>
        <v>1</v>
      </c>
    </row>
    <row r="43" spans="2:12" x14ac:dyDescent="0.25">
      <c r="B43" s="169" t="s">
        <v>344</v>
      </c>
      <c r="C43" s="8"/>
      <c r="D43" s="8">
        <v>95.7</v>
      </c>
      <c r="E43" s="8"/>
      <c r="F43" s="8" t="str">
        <f t="shared" ref="F43" si="1">IF(D18&gt;E43,"Yes👍","No👎")</f>
        <v>Yes👍</v>
      </c>
      <c r="G43" s="8">
        <f t="shared" ref="G43" si="2">IF(F43="Yes👍",D43,"0")</f>
        <v>95.7</v>
      </c>
      <c r="H43" s="8">
        <f t="shared" ref="H43" si="3">E43*G43</f>
        <v>0</v>
      </c>
      <c r="I43" s="8">
        <f t="shared" ref="I43" si="4">H43/$D$17</f>
        <v>0</v>
      </c>
      <c r="J43" s="8">
        <f t="shared" ref="J43" si="5">G43-I43</f>
        <v>95.7</v>
      </c>
    </row>
    <row r="44" spans="2:12" x14ac:dyDescent="0.25">
      <c r="B44" s="170"/>
      <c r="C44" s="12"/>
      <c r="D44" s="12"/>
      <c r="E44" s="12"/>
      <c r="F44" s="12"/>
      <c r="G44" s="12"/>
      <c r="H44" s="12"/>
      <c r="I44" s="12"/>
      <c r="J44" s="12"/>
    </row>
    <row r="45" spans="2:12" ht="15.75" thickBot="1" x14ac:dyDescent="0.3">
      <c r="J45" s="150">
        <f>SUM(J42:J44)</f>
        <v>95.7</v>
      </c>
    </row>
    <row r="49" spans="2:11" x14ac:dyDescent="0.25">
      <c r="I49" t="s">
        <v>402</v>
      </c>
    </row>
    <row r="50" spans="2:11" x14ac:dyDescent="0.25">
      <c r="B50" s="172" t="s">
        <v>314</v>
      </c>
      <c r="C50" s="173"/>
      <c r="D50" s="336" t="s">
        <v>311</v>
      </c>
      <c r="E50" s="336"/>
      <c r="F50" s="336"/>
      <c r="G50" s="336"/>
      <c r="H50" s="336"/>
      <c r="I50" s="165"/>
      <c r="J50" s="165"/>
    </row>
    <row r="51" spans="2:11" x14ac:dyDescent="0.25">
      <c r="B51" s="166"/>
      <c r="C51" s="10"/>
      <c r="D51" s="364" t="s">
        <v>315</v>
      </c>
      <c r="E51" s="364" t="s">
        <v>316</v>
      </c>
      <c r="F51" s="366" t="s">
        <v>312</v>
      </c>
      <c r="G51" s="366" t="s">
        <v>317</v>
      </c>
      <c r="H51" s="368" t="s">
        <v>313</v>
      </c>
    </row>
    <row r="52" spans="2:11" x14ac:dyDescent="0.25">
      <c r="B52" s="167"/>
      <c r="C52" s="8"/>
      <c r="D52" s="365"/>
      <c r="E52" s="365"/>
      <c r="F52" s="367"/>
      <c r="G52" s="367"/>
      <c r="H52" s="369"/>
    </row>
    <row r="53" spans="2:11" x14ac:dyDescent="0.25">
      <c r="B53" s="4" t="s">
        <v>352</v>
      </c>
      <c r="C53" s="8"/>
      <c r="D53" s="8"/>
      <c r="E53" s="8"/>
      <c r="F53" s="8"/>
      <c r="G53" s="8"/>
      <c r="H53" s="8"/>
    </row>
    <row r="54" spans="2:11" x14ac:dyDescent="0.25">
      <c r="B54" s="4" t="s">
        <v>353</v>
      </c>
      <c r="C54" s="8"/>
      <c r="D54" s="8"/>
      <c r="E54" s="8"/>
      <c r="F54" s="8"/>
      <c r="G54" s="8"/>
      <c r="H54" s="8"/>
    </row>
    <row r="55" spans="2:11" x14ac:dyDescent="0.25">
      <c r="B55" s="12"/>
      <c r="C55" s="12"/>
      <c r="D55" s="12"/>
      <c r="E55" s="12"/>
      <c r="F55" s="12"/>
      <c r="G55" s="12"/>
      <c r="H55" s="12"/>
    </row>
    <row r="56" spans="2:11" ht="15.75" thickBot="1" x14ac:dyDescent="0.3">
      <c r="H56" s="175">
        <f>SUM(H53:H55)</f>
        <v>0</v>
      </c>
    </row>
    <row r="60" spans="2:11" x14ac:dyDescent="0.25">
      <c r="B60" s="172" t="s">
        <v>318</v>
      </c>
      <c r="C60" s="172"/>
      <c r="D60" s="161" t="s">
        <v>319</v>
      </c>
      <c r="E60" s="161" t="s">
        <v>320</v>
      </c>
      <c r="F60" s="161" t="s">
        <v>321</v>
      </c>
      <c r="G60" s="160" t="s">
        <v>322</v>
      </c>
      <c r="H60" s="159" t="s">
        <v>323</v>
      </c>
      <c r="I60" s="159" t="s">
        <v>324</v>
      </c>
      <c r="J60" s="159" t="s">
        <v>346</v>
      </c>
      <c r="K60" s="160" t="s">
        <v>354</v>
      </c>
    </row>
    <row r="61" spans="2:11" x14ac:dyDescent="0.25">
      <c r="B61" s="8"/>
      <c r="C61" s="8"/>
      <c r="D61" s="174" t="s">
        <v>325</v>
      </c>
      <c r="E61" s="174" t="s">
        <v>347</v>
      </c>
      <c r="F61" s="174" t="s">
        <v>347</v>
      </c>
      <c r="G61" s="20"/>
      <c r="H61" s="20">
        <v>2025</v>
      </c>
      <c r="I61" s="20">
        <v>2026</v>
      </c>
      <c r="J61" s="20">
        <v>2027</v>
      </c>
      <c r="K61" s="8"/>
    </row>
    <row r="62" spans="2:11" x14ac:dyDescent="0.25">
      <c r="B62" s="169" t="s">
        <v>326</v>
      </c>
      <c r="C62" s="45"/>
      <c r="D62" s="45">
        <v>172706</v>
      </c>
      <c r="E62" s="45"/>
      <c r="F62" s="45"/>
      <c r="G62" s="45">
        <f>D62+E62-F62</f>
        <v>172706</v>
      </c>
      <c r="H62" s="195">
        <v>172600</v>
      </c>
      <c r="I62" s="195">
        <v>174331</v>
      </c>
      <c r="J62" s="195">
        <v>180104</v>
      </c>
      <c r="K62" s="196">
        <f>_xlfn.RRI(3,D62,J62)</f>
        <v>1.4079439680576789E-2</v>
      </c>
    </row>
    <row r="63" spans="2:11" x14ac:dyDescent="0.25">
      <c r="B63" s="8"/>
      <c r="C63" s="8"/>
      <c r="D63" s="8"/>
      <c r="E63" s="8"/>
      <c r="F63" s="8"/>
      <c r="G63" s="8"/>
      <c r="H63" s="8"/>
      <c r="I63" s="8"/>
      <c r="J63" s="8"/>
      <c r="K63" s="204"/>
    </row>
    <row r="64" spans="2:11" x14ac:dyDescent="0.25">
      <c r="B64" s="169" t="s">
        <v>327</v>
      </c>
      <c r="C64" s="8"/>
      <c r="D64" s="8">
        <v>5219</v>
      </c>
      <c r="E64" s="8"/>
      <c r="F64" s="8"/>
      <c r="G64" s="8">
        <f>D64+E64-F64</f>
        <v>5219</v>
      </c>
      <c r="H64" s="8"/>
      <c r="I64" s="8"/>
      <c r="J64" s="8"/>
      <c r="K64" s="204"/>
    </row>
    <row r="65" spans="2:11" x14ac:dyDescent="0.25">
      <c r="B65" s="44" t="s">
        <v>328</v>
      </c>
      <c r="C65" s="8"/>
      <c r="D65" s="8"/>
      <c r="E65" s="8"/>
      <c r="F65" s="8"/>
      <c r="G65" s="8"/>
      <c r="H65" s="8"/>
      <c r="I65" s="8"/>
      <c r="J65" s="8"/>
      <c r="K65" s="204"/>
    </row>
    <row r="66" spans="2:11" x14ac:dyDescent="0.25">
      <c r="B66" s="45" t="s">
        <v>329</v>
      </c>
      <c r="C66" s="45"/>
      <c r="D66" s="45">
        <v>10208</v>
      </c>
      <c r="E66" s="45"/>
      <c r="F66" s="45"/>
      <c r="G66" s="45">
        <f>D66+E66-F66</f>
        <v>10208</v>
      </c>
      <c r="H66" s="195">
        <v>7904</v>
      </c>
      <c r="I66" s="195">
        <v>9743</v>
      </c>
      <c r="J66" s="195">
        <v>10355</v>
      </c>
      <c r="K66" s="196">
        <f>_xlfn.RRI(3,D66,J66)</f>
        <v>4.7772978219207118E-3</v>
      </c>
    </row>
    <row r="67" spans="2:11" x14ac:dyDescent="0.25">
      <c r="B67" s="44" t="s">
        <v>330</v>
      </c>
      <c r="C67" s="8"/>
      <c r="D67" s="8">
        <f>7567+(-1700)</f>
        <v>5867</v>
      </c>
      <c r="E67" s="8"/>
      <c r="F67" s="8"/>
      <c r="G67" s="8"/>
      <c r="H67" s="8"/>
      <c r="I67" s="8"/>
      <c r="J67" s="8"/>
      <c r="K67" s="204"/>
    </row>
    <row r="68" spans="2:11" x14ac:dyDescent="0.25">
      <c r="B68" s="45" t="s">
        <v>331</v>
      </c>
      <c r="C68" s="45"/>
      <c r="D68" s="45">
        <f>D66+D67</f>
        <v>16075</v>
      </c>
      <c r="E68" s="45">
        <f t="shared" ref="E68:F68" si="6">E66+E67</f>
        <v>0</v>
      </c>
      <c r="F68" s="45">
        <f t="shared" si="6"/>
        <v>0</v>
      </c>
      <c r="G68" s="45">
        <f>D68+E68-F68</f>
        <v>16075</v>
      </c>
      <c r="H68" s="195">
        <v>13080</v>
      </c>
      <c r="I68" s="195">
        <v>13854</v>
      </c>
      <c r="J68" s="195">
        <v>15776</v>
      </c>
      <c r="K68" s="196">
        <f>_xlfn.RRI(3,D68,J68)</f>
        <v>-6.2389471935260232E-3</v>
      </c>
    </row>
    <row r="69" spans="2:11" x14ac:dyDescent="0.25">
      <c r="B69" s="8"/>
      <c r="C69" s="8"/>
      <c r="D69" s="8"/>
      <c r="E69" s="8"/>
      <c r="F69" s="8"/>
      <c r="G69" s="8"/>
      <c r="H69" s="8"/>
      <c r="I69" s="8"/>
      <c r="J69" s="8"/>
      <c r="K69" s="204"/>
    </row>
    <row r="70" spans="2:11" x14ac:dyDescent="0.25">
      <c r="B70" s="169" t="s">
        <v>332</v>
      </c>
      <c r="C70" s="8"/>
      <c r="D70" s="8">
        <v>5879</v>
      </c>
      <c r="E70" s="8"/>
      <c r="F70" s="8"/>
      <c r="G70" s="8">
        <f>D70+E70-F70</f>
        <v>5879</v>
      </c>
      <c r="H70" s="8"/>
      <c r="I70" s="8"/>
      <c r="J70" s="8"/>
      <c r="K70" s="204"/>
    </row>
    <row r="71" spans="2:11" x14ac:dyDescent="0.25">
      <c r="B71" s="44" t="s">
        <v>333</v>
      </c>
      <c r="C71" s="8"/>
      <c r="D71" s="8">
        <f>D65</f>
        <v>0</v>
      </c>
      <c r="E71" s="8">
        <f t="shared" ref="E71:F71" si="7">E65</f>
        <v>0</v>
      </c>
      <c r="F71" s="8">
        <f t="shared" si="7"/>
        <v>0</v>
      </c>
      <c r="G71" s="8"/>
      <c r="H71" s="8"/>
      <c r="I71" s="8"/>
      <c r="J71" s="8"/>
      <c r="K71" s="204"/>
    </row>
    <row r="72" spans="2:11" x14ac:dyDescent="0.25">
      <c r="B72" s="44" t="s">
        <v>334</v>
      </c>
      <c r="C72" s="8"/>
      <c r="D72" s="8"/>
      <c r="E72" s="8"/>
      <c r="F72" s="8"/>
      <c r="G72" s="8"/>
      <c r="H72" s="8"/>
      <c r="I72" s="8"/>
      <c r="J72" s="8"/>
      <c r="K72" s="204"/>
    </row>
    <row r="73" spans="2:11" x14ac:dyDescent="0.25">
      <c r="B73" s="44" t="s">
        <v>335</v>
      </c>
      <c r="C73" s="8"/>
      <c r="D73" s="8">
        <f>SUM(D71:D72)*$D$14</f>
        <v>0</v>
      </c>
      <c r="E73" s="8">
        <f>SUM(E71:E72)*$D$14</f>
        <v>0</v>
      </c>
      <c r="F73" s="8">
        <f>SUM(F71:F72)*$D$14</f>
        <v>0</v>
      </c>
      <c r="G73" s="8"/>
      <c r="H73" s="8"/>
      <c r="I73" s="8"/>
      <c r="J73" s="8"/>
      <c r="K73" s="204"/>
    </row>
    <row r="74" spans="2:11" x14ac:dyDescent="0.25">
      <c r="B74" s="44" t="s">
        <v>336</v>
      </c>
      <c r="C74" s="8"/>
      <c r="D74" s="8"/>
      <c r="E74" s="8"/>
      <c r="F74" s="8"/>
      <c r="G74" s="8"/>
      <c r="H74" s="8"/>
      <c r="I74" s="8"/>
      <c r="J74" s="8"/>
      <c r="K74" s="204"/>
    </row>
    <row r="75" spans="2:11" x14ac:dyDescent="0.25">
      <c r="B75" s="45" t="s">
        <v>337</v>
      </c>
      <c r="C75" s="45"/>
      <c r="D75" s="45">
        <f>SUM(D70:D74)</f>
        <v>5879</v>
      </c>
      <c r="E75" s="45">
        <f t="shared" ref="E75:F75" si="8">SUM(E70:E74)</f>
        <v>0</v>
      </c>
      <c r="F75" s="45">
        <f t="shared" si="8"/>
        <v>0</v>
      </c>
      <c r="G75" s="45">
        <f>D75+E75-F75</f>
        <v>5879</v>
      </c>
      <c r="H75" s="45"/>
      <c r="I75" s="45"/>
      <c r="J75" s="45"/>
      <c r="K75" s="196"/>
    </row>
    <row r="76" spans="2:11" x14ac:dyDescent="0.25">
      <c r="B76" s="44" t="s">
        <v>338</v>
      </c>
      <c r="C76" s="8"/>
      <c r="D76" s="8">
        <v>23</v>
      </c>
      <c r="E76" s="8"/>
      <c r="F76" s="8"/>
      <c r="G76" s="8"/>
      <c r="H76" s="8"/>
      <c r="I76" s="8"/>
      <c r="J76" s="8"/>
      <c r="K76" s="204"/>
    </row>
    <row r="77" spans="2:11" x14ac:dyDescent="0.25">
      <c r="B77" s="45" t="s">
        <v>339</v>
      </c>
      <c r="C77" s="45"/>
      <c r="D77" s="45">
        <f>D75-D76</f>
        <v>5856</v>
      </c>
      <c r="E77" s="45">
        <f t="shared" ref="E77:F77" si="9">E75-E76</f>
        <v>0</v>
      </c>
      <c r="F77" s="45">
        <f t="shared" si="9"/>
        <v>0</v>
      </c>
      <c r="G77" s="45">
        <f>D77+E77-F77</f>
        <v>5856</v>
      </c>
      <c r="H77" s="195">
        <v>5330</v>
      </c>
      <c r="I77" s="195">
        <v>6893</v>
      </c>
      <c r="J77" s="195">
        <v>8176</v>
      </c>
      <c r="K77" s="196">
        <f>_xlfn.RRI(3,D77,J77)</f>
        <v>0.11766917037483537</v>
      </c>
    </row>
    <row r="78" spans="2:11" x14ac:dyDescent="0.25">
      <c r="B78" s="8"/>
      <c r="C78" s="8"/>
      <c r="D78" s="8"/>
      <c r="E78" s="8"/>
      <c r="F78" s="8"/>
      <c r="G78" s="8"/>
      <c r="H78" s="8"/>
      <c r="I78" s="8"/>
      <c r="J78" s="8"/>
      <c r="K78" s="204"/>
    </row>
    <row r="79" spans="2:11" x14ac:dyDescent="0.25">
      <c r="B79" s="4" t="s">
        <v>340</v>
      </c>
      <c r="C79" s="8"/>
      <c r="D79" s="8">
        <v>4021</v>
      </c>
      <c r="E79" s="8"/>
      <c r="F79" s="8"/>
      <c r="G79" s="8"/>
      <c r="H79" s="8"/>
      <c r="I79" s="8"/>
      <c r="J79" s="8"/>
      <c r="K79" s="204"/>
    </row>
    <row r="80" spans="2:11" x14ac:dyDescent="0.25">
      <c r="B80" s="194" t="s">
        <v>135</v>
      </c>
      <c r="C80" s="149"/>
      <c r="D80" s="201">
        <f>D77/D79</f>
        <v>1.4563541407610048</v>
      </c>
      <c r="E80" s="201" t="e">
        <f t="shared" ref="E80:F80" si="10">E77/E79</f>
        <v>#DIV/0!</v>
      </c>
      <c r="F80" s="201" t="e">
        <f t="shared" si="10"/>
        <v>#DIV/0!</v>
      </c>
      <c r="G80" s="201" t="e">
        <f>D80+E80-F80</f>
        <v>#DIV/0!</v>
      </c>
      <c r="H80" s="201">
        <v>1.373</v>
      </c>
      <c r="I80" s="201">
        <v>1.746</v>
      </c>
      <c r="J80" s="201">
        <v>2.0329999999999999</v>
      </c>
      <c r="K80" s="197">
        <f>_xlfn.RRI(3,D80,J80)</f>
        <v>0.11760961103642598</v>
      </c>
    </row>
  </sheetData>
  <mergeCells count="14">
    <mergeCell ref="K41:L41"/>
    <mergeCell ref="D37:J37"/>
    <mergeCell ref="D39:J39"/>
    <mergeCell ref="D40:D41"/>
    <mergeCell ref="E40:E41"/>
    <mergeCell ref="F40:F41"/>
    <mergeCell ref="G40:I40"/>
    <mergeCell ref="J40:J41"/>
    <mergeCell ref="D50:H50"/>
    <mergeCell ref="D51:D52"/>
    <mergeCell ref="E51:E52"/>
    <mergeCell ref="F51:F52"/>
    <mergeCell ref="G51:G52"/>
    <mergeCell ref="H51:H52"/>
  </mergeCells>
  <pageMargins left="0.7" right="0.7" top="0.75" bottom="0.75" header="0.3" footer="0.3"/>
  <pageSetup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0FF4-7748-4E57-AB50-716624B87F19}">
  <dimension ref="B3:L80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RowHeight="15" x14ac:dyDescent="0.25"/>
  <cols>
    <col min="1" max="1" width="2.28515625" bestFit="1" customWidth="1"/>
    <col min="2" max="2" width="64.5703125" bestFit="1" customWidth="1"/>
    <col min="3" max="3" width="2.28515625" bestFit="1" customWidth="1"/>
    <col min="4" max="4" width="16.28515625" bestFit="1" customWidth="1"/>
    <col min="5" max="5" width="12.140625" customWidth="1"/>
    <col min="6" max="6" width="12.7109375" customWidth="1"/>
    <col min="7" max="7" width="15.140625" bestFit="1" customWidth="1"/>
  </cols>
  <sheetData>
    <row r="3" spans="2:7" x14ac:dyDescent="0.25">
      <c r="B3" s="38"/>
    </row>
    <row r="5" spans="2:7" x14ac:dyDescent="0.25">
      <c r="B5" s="38" t="s">
        <v>281</v>
      </c>
    </row>
    <row r="6" spans="2:7" x14ac:dyDescent="0.25">
      <c r="B6" s="172" t="s">
        <v>282</v>
      </c>
      <c r="C6" s="173"/>
      <c r="D6" s="171"/>
    </row>
    <row r="7" spans="2:7" x14ac:dyDescent="0.25">
      <c r="B7" s="4" t="s">
        <v>283</v>
      </c>
      <c r="C7" s="8"/>
      <c r="D7" s="20" t="s">
        <v>349</v>
      </c>
    </row>
    <row r="8" spans="2:7" x14ac:dyDescent="0.25">
      <c r="B8" s="4" t="s">
        <v>284</v>
      </c>
      <c r="C8" s="8"/>
      <c r="D8" s="100">
        <v>45659</v>
      </c>
    </row>
    <row r="9" spans="2:7" x14ac:dyDescent="0.25">
      <c r="B9" s="4" t="s">
        <v>285</v>
      </c>
      <c r="C9" s="8"/>
      <c r="D9" s="20" t="s">
        <v>408</v>
      </c>
    </row>
    <row r="10" spans="2:7" x14ac:dyDescent="0.25">
      <c r="B10" s="4" t="s">
        <v>286</v>
      </c>
      <c r="C10" s="8"/>
      <c r="D10" s="20">
        <v>2023</v>
      </c>
    </row>
    <row r="11" spans="2:7" x14ac:dyDescent="0.25">
      <c r="B11" s="4" t="s">
        <v>287</v>
      </c>
      <c r="C11" s="8"/>
      <c r="D11" s="20">
        <v>2024</v>
      </c>
    </row>
    <row r="12" spans="2:7" x14ac:dyDescent="0.25">
      <c r="B12" s="4" t="s">
        <v>288</v>
      </c>
      <c r="C12" s="8"/>
      <c r="D12" s="20" t="s">
        <v>400</v>
      </c>
    </row>
    <row r="13" spans="2:7" x14ac:dyDescent="0.25">
      <c r="B13" s="4" t="s">
        <v>361</v>
      </c>
      <c r="D13" s="20">
        <v>1.05</v>
      </c>
    </row>
    <row r="14" spans="2:7" x14ac:dyDescent="0.25">
      <c r="B14" s="91" t="s">
        <v>173</v>
      </c>
      <c r="C14" s="12"/>
      <c r="D14" s="168">
        <v>0.26</v>
      </c>
    </row>
    <row r="16" spans="2:7" x14ac:dyDescent="0.25">
      <c r="B16" s="172" t="s">
        <v>289</v>
      </c>
      <c r="C16" s="172"/>
      <c r="D16" s="233" t="s">
        <v>290</v>
      </c>
      <c r="E16" s="233" t="s">
        <v>291</v>
      </c>
      <c r="F16" s="233" t="s">
        <v>292</v>
      </c>
      <c r="G16" s="159" t="s">
        <v>351</v>
      </c>
    </row>
    <row r="17" spans="2:7" x14ac:dyDescent="0.25">
      <c r="B17" s="4" t="s">
        <v>293</v>
      </c>
      <c r="C17" s="8"/>
      <c r="D17" s="188">
        <v>13.43</v>
      </c>
      <c r="E17" s="188"/>
      <c r="F17" s="188"/>
      <c r="G17" s="188"/>
    </row>
    <row r="18" spans="2:7" x14ac:dyDescent="0.25">
      <c r="B18" s="4" t="s">
        <v>294</v>
      </c>
      <c r="C18" s="8"/>
      <c r="D18" s="188">
        <f>3023099039/10^6</f>
        <v>3023.0990390000002</v>
      </c>
      <c r="E18" s="188"/>
      <c r="F18" s="188"/>
      <c r="G18" s="188"/>
    </row>
    <row r="19" spans="2:7" x14ac:dyDescent="0.25">
      <c r="B19" s="4" t="s">
        <v>295</v>
      </c>
      <c r="C19" s="8"/>
      <c r="D19" s="188">
        <f>D18+J45+H56</f>
        <v>3031.0990390000002</v>
      </c>
      <c r="E19" s="188"/>
      <c r="F19" s="188"/>
      <c r="G19" s="188">
        <f>SUM(D19:F19)</f>
        <v>3031.0990390000002</v>
      </c>
    </row>
    <row r="20" spans="2:7" x14ac:dyDescent="0.25">
      <c r="B20" s="4" t="s">
        <v>296</v>
      </c>
      <c r="C20" s="8"/>
      <c r="D20" s="188">
        <f>D17*D19</f>
        <v>40707.660093769999</v>
      </c>
      <c r="E20" s="188"/>
      <c r="F20" s="188"/>
      <c r="G20" s="188">
        <f>SUM(D20:F20)</f>
        <v>40707.660093769999</v>
      </c>
    </row>
    <row r="21" spans="2:7" x14ac:dyDescent="0.25">
      <c r="B21" s="4" t="s">
        <v>239</v>
      </c>
      <c r="C21" s="8"/>
      <c r="D21" s="188"/>
      <c r="E21" s="188"/>
      <c r="F21" s="188"/>
      <c r="G21" s="188">
        <v>427</v>
      </c>
    </row>
    <row r="22" spans="2:7" x14ac:dyDescent="0.25">
      <c r="B22" s="4" t="s">
        <v>297</v>
      </c>
      <c r="C22" s="8"/>
      <c r="D22" s="188"/>
      <c r="E22" s="188"/>
      <c r="F22" s="188"/>
      <c r="G22" s="189">
        <f>SUM(G24)</f>
        <v>0</v>
      </c>
    </row>
    <row r="23" spans="2:7" x14ac:dyDescent="0.25">
      <c r="B23" s="164" t="s">
        <v>298</v>
      </c>
      <c r="C23" s="8"/>
      <c r="D23" s="188"/>
      <c r="E23" s="188"/>
      <c r="F23" s="188"/>
      <c r="G23" s="188">
        <v>0</v>
      </c>
    </row>
    <row r="24" spans="2:7" x14ac:dyDescent="0.25">
      <c r="B24" s="164" t="s">
        <v>299</v>
      </c>
      <c r="C24" s="8"/>
      <c r="D24" s="188"/>
      <c r="E24" s="188"/>
      <c r="F24" s="188"/>
      <c r="G24" s="188">
        <v>0</v>
      </c>
    </row>
    <row r="25" spans="2:7" x14ac:dyDescent="0.25">
      <c r="B25" s="4" t="s">
        <v>300</v>
      </c>
      <c r="C25" s="8"/>
      <c r="D25" s="188"/>
      <c r="E25" s="188"/>
      <c r="F25" s="188"/>
      <c r="G25" s="189">
        <f>SUM(G26:G27)</f>
        <v>32174</v>
      </c>
    </row>
    <row r="26" spans="2:7" x14ac:dyDescent="0.25">
      <c r="B26" s="164" t="s">
        <v>348</v>
      </c>
      <c r="C26" s="8"/>
      <c r="D26" s="188"/>
      <c r="E26" s="188"/>
      <c r="F26" s="188"/>
      <c r="G26" s="188">
        <f>21489+10685</f>
        <v>32174</v>
      </c>
    </row>
    <row r="27" spans="2:7" x14ac:dyDescent="0.25">
      <c r="B27" s="164" t="s">
        <v>301</v>
      </c>
      <c r="C27" s="8"/>
      <c r="D27" s="188"/>
      <c r="E27" s="188"/>
      <c r="F27" s="188"/>
      <c r="G27" s="188">
        <v>0</v>
      </c>
    </row>
    <row r="28" spans="2:7" x14ac:dyDescent="0.25">
      <c r="B28" s="4" t="s">
        <v>302</v>
      </c>
      <c r="C28" s="8"/>
      <c r="D28" s="188"/>
      <c r="E28" s="188"/>
      <c r="F28" s="188"/>
      <c r="G28" s="189">
        <f>SUM(G29:G30)</f>
        <v>5963</v>
      </c>
    </row>
    <row r="29" spans="2:7" x14ac:dyDescent="0.25">
      <c r="B29" s="164" t="s">
        <v>303</v>
      </c>
      <c r="C29" s="8"/>
      <c r="D29" s="188"/>
      <c r="E29" s="188"/>
      <c r="F29" s="188"/>
      <c r="G29" s="188">
        <v>5963</v>
      </c>
    </row>
    <row r="30" spans="2:7" x14ac:dyDescent="0.25">
      <c r="B30" s="164" t="s">
        <v>304</v>
      </c>
      <c r="C30" s="8"/>
      <c r="D30" s="188"/>
      <c r="E30" s="188"/>
      <c r="F30" s="188"/>
      <c r="G30" s="188">
        <v>0</v>
      </c>
    </row>
    <row r="31" spans="2:7" x14ac:dyDescent="0.25">
      <c r="B31" s="4" t="s">
        <v>305</v>
      </c>
      <c r="C31" s="8"/>
      <c r="D31" s="188"/>
      <c r="E31" s="188"/>
      <c r="F31" s="188"/>
      <c r="G31" s="188">
        <v>36325</v>
      </c>
    </row>
    <row r="32" spans="2:7" x14ac:dyDescent="0.25">
      <c r="B32" s="47" t="s">
        <v>306</v>
      </c>
      <c r="C32" s="47"/>
      <c r="D32" s="190"/>
      <c r="E32" s="190"/>
      <c r="F32" s="190"/>
      <c r="G32" s="190">
        <f>G20+G21+G22+G25+G28-G31</f>
        <v>42946.660093769999</v>
      </c>
    </row>
    <row r="33" spans="2:12" x14ac:dyDescent="0.25">
      <c r="B33" s="4" t="s">
        <v>307</v>
      </c>
      <c r="C33" s="8"/>
      <c r="D33" s="188"/>
      <c r="E33" s="188"/>
      <c r="F33" s="188"/>
      <c r="G33" s="188">
        <f>825-424</f>
        <v>401</v>
      </c>
    </row>
    <row r="34" spans="2:12" x14ac:dyDescent="0.25">
      <c r="B34" s="4" t="s">
        <v>218</v>
      </c>
      <c r="C34" s="8"/>
      <c r="D34" s="188"/>
      <c r="E34" s="188"/>
      <c r="F34" s="188"/>
      <c r="G34" s="188">
        <f>G32-G33</f>
        <v>42545.660093769999</v>
      </c>
    </row>
    <row r="35" spans="2:12" x14ac:dyDescent="0.25">
      <c r="B35" s="91" t="s">
        <v>308</v>
      </c>
      <c r="C35" s="12"/>
      <c r="D35" s="191"/>
      <c r="E35" s="191"/>
      <c r="F35" s="191"/>
      <c r="G35" s="191">
        <f>G20/SUM(D19:F19)</f>
        <v>13.429999999999998</v>
      </c>
    </row>
    <row r="37" spans="2:12" x14ac:dyDescent="0.25">
      <c r="D37" s="361" t="s">
        <v>343</v>
      </c>
      <c r="E37" s="362"/>
      <c r="F37" s="362"/>
      <c r="G37" s="362"/>
      <c r="H37" s="362"/>
      <c r="I37" s="362"/>
      <c r="J37" s="363"/>
    </row>
    <row r="39" spans="2:12" x14ac:dyDescent="0.25">
      <c r="B39" s="172" t="s">
        <v>314</v>
      </c>
      <c r="C39" s="173"/>
      <c r="D39" s="336" t="s">
        <v>309</v>
      </c>
      <c r="E39" s="336"/>
      <c r="F39" s="336"/>
      <c r="G39" s="336"/>
      <c r="H39" s="336"/>
      <c r="I39" s="336"/>
      <c r="J39" s="336"/>
    </row>
    <row r="40" spans="2:12" ht="15" customHeight="1" x14ac:dyDescent="0.25">
      <c r="B40" s="8"/>
      <c r="C40" s="8"/>
      <c r="D40" s="370" t="s">
        <v>310</v>
      </c>
      <c r="E40" s="370" t="s">
        <v>268</v>
      </c>
      <c r="F40" s="354" t="s">
        <v>264</v>
      </c>
      <c r="G40" s="336" t="s">
        <v>262</v>
      </c>
      <c r="H40" s="336"/>
      <c r="I40" s="336"/>
      <c r="J40" s="370" t="s">
        <v>269</v>
      </c>
    </row>
    <row r="41" spans="2:12" ht="15" customHeight="1" x14ac:dyDescent="0.25">
      <c r="B41" s="8"/>
      <c r="C41" s="8"/>
      <c r="D41" s="371"/>
      <c r="E41" s="371"/>
      <c r="F41" s="355"/>
      <c r="G41" s="29" t="s">
        <v>265</v>
      </c>
      <c r="H41" s="29" t="s">
        <v>266</v>
      </c>
      <c r="I41" s="29" t="s">
        <v>267</v>
      </c>
      <c r="J41" s="371"/>
      <c r="K41" s="340" t="s">
        <v>398</v>
      </c>
      <c r="L41" s="341"/>
    </row>
    <row r="42" spans="2:12" x14ac:dyDescent="0.25">
      <c r="B42" s="4" t="s">
        <v>345</v>
      </c>
      <c r="C42" s="8"/>
      <c r="D42" s="8">
        <v>0</v>
      </c>
      <c r="E42" s="8">
        <v>0</v>
      </c>
      <c r="F42" s="8" t="str">
        <f>IF(D17&gt;E42,"Yes👍","No👎")</f>
        <v>Yes👍</v>
      </c>
      <c r="G42" s="8">
        <f>IF(F42="Yes👍",D42,"0")</f>
        <v>0</v>
      </c>
      <c r="H42" s="8">
        <f>E42*G42</f>
        <v>0</v>
      </c>
      <c r="I42" s="8">
        <f>H42/$D$17</f>
        <v>0</v>
      </c>
      <c r="J42" s="8">
        <f>G42-I42</f>
        <v>0</v>
      </c>
      <c r="K42" s="192">
        <f>D42*(1-E42/D17)</f>
        <v>0</v>
      </c>
      <c r="L42" t="b">
        <f>J42=K42</f>
        <v>1</v>
      </c>
    </row>
    <row r="43" spans="2:12" x14ac:dyDescent="0.25">
      <c r="B43" s="4" t="s">
        <v>344</v>
      </c>
      <c r="C43" s="8"/>
      <c r="D43" s="8">
        <f>8000000/10^6</f>
        <v>8</v>
      </c>
      <c r="E43" s="8">
        <v>0</v>
      </c>
      <c r="F43" s="8" t="str">
        <f>IF(D18&gt;E43,"Yes👍","No👎")</f>
        <v>Yes👍</v>
      </c>
      <c r="G43" s="8">
        <f>IF(F43="Yes👍",D43,"0")</f>
        <v>8</v>
      </c>
      <c r="H43" s="8">
        <f>E43*G43</f>
        <v>0</v>
      </c>
      <c r="I43" s="8">
        <f>H43/$D$17</f>
        <v>0</v>
      </c>
      <c r="J43" s="8">
        <f>G43-I43</f>
        <v>8</v>
      </c>
    </row>
    <row r="44" spans="2:12" x14ac:dyDescent="0.25">
      <c r="B44" s="91"/>
      <c r="C44" s="12"/>
      <c r="D44" s="12"/>
      <c r="E44" s="12"/>
      <c r="F44" s="12"/>
      <c r="G44" s="12"/>
      <c r="H44" s="12"/>
      <c r="I44" s="12"/>
      <c r="J44" s="12"/>
    </row>
    <row r="45" spans="2:12" ht="15.75" thickBot="1" x14ac:dyDescent="0.3">
      <c r="J45" s="150">
        <f>SUM(J42:J44)</f>
        <v>8</v>
      </c>
    </row>
    <row r="50" spans="2:11" x14ac:dyDescent="0.25">
      <c r="B50" s="172" t="s">
        <v>314</v>
      </c>
      <c r="C50" s="173"/>
      <c r="D50" s="336" t="s">
        <v>311</v>
      </c>
      <c r="E50" s="336"/>
      <c r="F50" s="336"/>
      <c r="G50" s="336"/>
      <c r="H50" s="336"/>
      <c r="I50" s="38"/>
      <c r="J50" s="38"/>
    </row>
    <row r="51" spans="2:11" x14ac:dyDescent="0.25">
      <c r="B51" s="166"/>
      <c r="C51" s="10"/>
      <c r="D51" s="364" t="s">
        <v>315</v>
      </c>
      <c r="E51" s="364" t="s">
        <v>316</v>
      </c>
      <c r="F51" s="366" t="s">
        <v>312</v>
      </c>
      <c r="G51" s="366" t="s">
        <v>317</v>
      </c>
      <c r="H51" s="368" t="s">
        <v>313</v>
      </c>
    </row>
    <row r="52" spans="2:11" x14ac:dyDescent="0.25">
      <c r="B52" s="167"/>
      <c r="C52" s="8"/>
      <c r="D52" s="365"/>
      <c r="E52" s="365"/>
      <c r="F52" s="367"/>
      <c r="G52" s="367"/>
      <c r="H52" s="369"/>
    </row>
    <row r="53" spans="2:11" x14ac:dyDescent="0.25">
      <c r="B53" s="4" t="s">
        <v>352</v>
      </c>
      <c r="C53" s="8"/>
      <c r="D53" s="8"/>
      <c r="E53" s="8"/>
      <c r="F53" s="8"/>
      <c r="G53" s="8"/>
      <c r="H53" s="8"/>
    </row>
    <row r="54" spans="2:11" x14ac:dyDescent="0.25">
      <c r="B54" s="4" t="s">
        <v>353</v>
      </c>
      <c r="C54" s="8"/>
      <c r="D54" s="8"/>
      <c r="E54" s="8"/>
      <c r="F54" s="8"/>
      <c r="G54" s="8"/>
      <c r="H54" s="8"/>
    </row>
    <row r="55" spans="2:11" x14ac:dyDescent="0.25">
      <c r="B55" s="12"/>
      <c r="C55" s="12"/>
      <c r="D55" s="12"/>
      <c r="E55" s="12"/>
      <c r="F55" s="12"/>
      <c r="G55" s="12"/>
      <c r="H55" s="12"/>
    </row>
    <row r="56" spans="2:11" ht="15.75" thickBot="1" x14ac:dyDescent="0.3">
      <c r="H56" s="175">
        <f>SUM(H53:H55)</f>
        <v>0</v>
      </c>
    </row>
    <row r="60" spans="2:11" x14ac:dyDescent="0.25">
      <c r="B60" s="172" t="s">
        <v>318</v>
      </c>
      <c r="C60" s="172"/>
      <c r="D60" s="232" t="s">
        <v>319</v>
      </c>
      <c r="E60" s="232" t="s">
        <v>320</v>
      </c>
      <c r="F60" s="232" t="s">
        <v>321</v>
      </c>
      <c r="G60" s="233" t="s">
        <v>322</v>
      </c>
      <c r="H60" s="159" t="s">
        <v>323</v>
      </c>
      <c r="I60" s="159" t="s">
        <v>324</v>
      </c>
      <c r="J60" s="159" t="s">
        <v>346</v>
      </c>
      <c r="K60" s="233" t="s">
        <v>354</v>
      </c>
    </row>
    <row r="61" spans="2:11" x14ac:dyDescent="0.25">
      <c r="B61" s="8"/>
      <c r="C61" s="8"/>
      <c r="D61" s="174" t="s">
        <v>325</v>
      </c>
      <c r="E61" s="174" t="s">
        <v>347</v>
      </c>
      <c r="F61" s="174" t="s">
        <v>347</v>
      </c>
      <c r="G61" s="20"/>
      <c r="H61" s="20" t="s">
        <v>159</v>
      </c>
      <c r="I61" s="20" t="s">
        <v>159</v>
      </c>
      <c r="J61" s="20" t="s">
        <v>159</v>
      </c>
      <c r="K61" s="8"/>
    </row>
    <row r="62" spans="2:11" x14ac:dyDescent="0.25">
      <c r="B62" s="4" t="s">
        <v>326</v>
      </c>
      <c r="C62" s="45"/>
      <c r="D62" s="45">
        <v>189544</v>
      </c>
      <c r="E62" s="45">
        <v>85017</v>
      </c>
      <c r="F62" s="45">
        <v>98368</v>
      </c>
      <c r="G62" s="45">
        <f>D62+E62-F62</f>
        <v>176193</v>
      </c>
      <c r="H62" s="195">
        <v>155758</v>
      </c>
      <c r="I62" s="195">
        <v>162512</v>
      </c>
      <c r="J62" s="195">
        <v>170138</v>
      </c>
      <c r="K62" s="196">
        <f>(J62/D62)^(1/3)-1</f>
        <v>-3.5363344840852906E-2</v>
      </c>
    </row>
    <row r="63" spans="2:11" x14ac:dyDescent="0.25">
      <c r="B63" s="8"/>
      <c r="C63" s="8"/>
      <c r="D63" s="8"/>
      <c r="E63" s="8"/>
      <c r="F63" s="8"/>
      <c r="G63" s="8"/>
      <c r="H63" s="8"/>
      <c r="I63" s="8"/>
      <c r="J63" s="8"/>
      <c r="K63" s="204"/>
    </row>
    <row r="64" spans="2:11" x14ac:dyDescent="0.25">
      <c r="B64" s="4" t="s">
        <v>327</v>
      </c>
      <c r="C64" s="8"/>
      <c r="D64" s="8">
        <v>22376</v>
      </c>
      <c r="E64" s="8">
        <v>6639</v>
      </c>
      <c r="F64" s="8">
        <v>13541</v>
      </c>
      <c r="G64" s="8">
        <f>D64+E64-F64</f>
        <v>15474</v>
      </c>
      <c r="H64" s="8"/>
      <c r="I64" s="8"/>
      <c r="J64" s="8"/>
      <c r="K64" s="204"/>
    </row>
    <row r="65" spans="2:11" x14ac:dyDescent="0.25">
      <c r="B65" s="44" t="s">
        <v>328</v>
      </c>
      <c r="C65" s="8"/>
      <c r="D65" s="8"/>
      <c r="E65" s="8"/>
      <c r="F65" s="8"/>
      <c r="G65" s="8"/>
      <c r="H65" s="8"/>
      <c r="I65" s="8"/>
      <c r="J65" s="8"/>
      <c r="K65" s="204"/>
    </row>
    <row r="66" spans="2:11" x14ac:dyDescent="0.25">
      <c r="B66" s="45" t="s">
        <v>329</v>
      </c>
      <c r="C66" s="45"/>
      <c r="D66" s="45">
        <f>D64+D65</f>
        <v>22376</v>
      </c>
      <c r="E66" s="45">
        <f>E64+E65</f>
        <v>6639</v>
      </c>
      <c r="F66" s="45">
        <f>F64+F65</f>
        <v>13541</v>
      </c>
      <c r="G66" s="45">
        <f>D66+E66-F66</f>
        <v>15474</v>
      </c>
      <c r="H66" s="195">
        <v>9602</v>
      </c>
      <c r="I66" s="195">
        <v>10515</v>
      </c>
      <c r="J66" s="195">
        <v>12601</v>
      </c>
      <c r="K66" s="196">
        <f>(J66/D66)^(1/3)-1</f>
        <v>-0.17420131671548611</v>
      </c>
    </row>
    <row r="67" spans="2:11" x14ac:dyDescent="0.25">
      <c r="B67" s="44" t="s">
        <v>330</v>
      </c>
      <c r="C67" s="8"/>
      <c r="D67" s="8">
        <v>7549</v>
      </c>
      <c r="E67" s="8">
        <v>3598</v>
      </c>
      <c r="F67" s="8">
        <v>3740</v>
      </c>
      <c r="G67" s="8"/>
      <c r="H67" s="8"/>
      <c r="I67" s="8"/>
      <c r="J67" s="8"/>
      <c r="K67" s="204"/>
    </row>
    <row r="68" spans="2:11" x14ac:dyDescent="0.25">
      <c r="B68" s="45" t="s">
        <v>331</v>
      </c>
      <c r="C68" s="45"/>
      <c r="D68" s="45">
        <f>D66+D67</f>
        <v>29925</v>
      </c>
      <c r="E68" s="45">
        <f>E66+E67</f>
        <v>10237</v>
      </c>
      <c r="F68" s="45">
        <f>F66+F67</f>
        <v>17281</v>
      </c>
      <c r="G68" s="45">
        <f>D68+E68-F68</f>
        <v>22881</v>
      </c>
      <c r="H68" s="195">
        <v>16328</v>
      </c>
      <c r="I68" s="195">
        <v>18463</v>
      </c>
      <c r="J68" s="195">
        <v>20583</v>
      </c>
      <c r="K68" s="196">
        <f>(J68/D68)^(1/3)-1</f>
        <v>-0.11727619567254699</v>
      </c>
    </row>
    <row r="69" spans="2:11" x14ac:dyDescent="0.25">
      <c r="B69" s="8"/>
      <c r="C69" s="8"/>
      <c r="D69" s="8"/>
      <c r="E69" s="8"/>
      <c r="F69" s="8"/>
      <c r="G69" s="8"/>
      <c r="H69" s="8"/>
      <c r="I69" s="8"/>
      <c r="J69" s="8"/>
      <c r="K69" s="204"/>
    </row>
    <row r="70" spans="2:11" x14ac:dyDescent="0.25">
      <c r="B70" s="4" t="s">
        <v>332</v>
      </c>
      <c r="C70" s="8"/>
      <c r="D70" s="8">
        <v>18625</v>
      </c>
      <c r="E70" s="8">
        <v>5647</v>
      </c>
      <c r="F70" s="8">
        <v>10918</v>
      </c>
      <c r="G70" s="8">
        <f>D70+E70-F70</f>
        <v>13354</v>
      </c>
      <c r="H70" s="8"/>
      <c r="I70" s="8"/>
      <c r="J70" s="8"/>
      <c r="K70" s="204"/>
    </row>
    <row r="71" spans="2:11" x14ac:dyDescent="0.25">
      <c r="B71" s="44" t="s">
        <v>333</v>
      </c>
      <c r="C71" s="8"/>
      <c r="D71" s="8">
        <f>D65</f>
        <v>0</v>
      </c>
      <c r="E71" s="8">
        <f>E65</f>
        <v>0</v>
      </c>
      <c r="F71" s="8">
        <f>F65</f>
        <v>0</v>
      </c>
      <c r="G71" s="8"/>
      <c r="H71" s="8"/>
      <c r="I71" s="8"/>
      <c r="J71" s="8"/>
      <c r="K71" s="204"/>
    </row>
    <row r="72" spans="2:11" x14ac:dyDescent="0.25">
      <c r="B72" s="44" t="s">
        <v>334</v>
      </c>
      <c r="C72" s="8"/>
      <c r="D72" s="8"/>
      <c r="E72" s="8"/>
      <c r="F72" s="8"/>
      <c r="G72" s="8"/>
      <c r="H72" s="8"/>
      <c r="I72" s="8"/>
      <c r="J72" s="8"/>
      <c r="K72" s="204"/>
    </row>
    <row r="73" spans="2:11" x14ac:dyDescent="0.25">
      <c r="B73" s="44" t="s">
        <v>335</v>
      </c>
      <c r="C73" s="8"/>
      <c r="D73" s="8">
        <f>SUM(D71:D72)*$D$14</f>
        <v>0</v>
      </c>
      <c r="E73" s="8">
        <f>SUM(E71:E72)*$D$14</f>
        <v>0</v>
      </c>
      <c r="F73" s="8">
        <f>SUM(F71:F72)*$D$14</f>
        <v>0</v>
      </c>
      <c r="G73" s="8"/>
      <c r="H73" s="8"/>
      <c r="I73" s="8"/>
      <c r="J73" s="8"/>
      <c r="K73" s="204"/>
    </row>
    <row r="74" spans="2:11" x14ac:dyDescent="0.25">
      <c r="B74" s="44" t="s">
        <v>336</v>
      </c>
      <c r="C74" s="8"/>
      <c r="D74" s="8"/>
      <c r="E74" s="8"/>
      <c r="F74" s="8"/>
      <c r="G74" s="8"/>
      <c r="H74" s="8"/>
      <c r="I74" s="8"/>
      <c r="J74" s="8"/>
      <c r="K74" s="204"/>
    </row>
    <row r="75" spans="2:11" x14ac:dyDescent="0.25">
      <c r="B75" s="45" t="s">
        <v>337</v>
      </c>
      <c r="C75" s="45"/>
      <c r="D75" s="45">
        <f>SUM(D70:D74)</f>
        <v>18625</v>
      </c>
      <c r="E75" s="45">
        <f>SUM(E70:E74)</f>
        <v>5647</v>
      </c>
      <c r="F75" s="45">
        <f>SUM(F70:F74)</f>
        <v>10918</v>
      </c>
      <c r="G75" s="45">
        <f>D75+E75-F75</f>
        <v>13354</v>
      </c>
      <c r="H75" s="45"/>
      <c r="I75" s="45"/>
      <c r="J75" s="45"/>
      <c r="K75" s="196"/>
    </row>
    <row r="76" spans="2:11" x14ac:dyDescent="0.25">
      <c r="B76" s="44" t="s">
        <v>338</v>
      </c>
      <c r="C76" s="8"/>
      <c r="D76" s="8">
        <v>427</v>
      </c>
      <c r="E76" s="8">
        <v>599</v>
      </c>
      <c r="F76" s="8">
        <v>427</v>
      </c>
      <c r="G76" s="8"/>
      <c r="H76" s="8"/>
      <c r="I76" s="8"/>
      <c r="J76" s="8"/>
      <c r="K76" s="204"/>
    </row>
    <row r="77" spans="2:11" x14ac:dyDescent="0.25">
      <c r="B77" s="45" t="s">
        <v>339</v>
      </c>
      <c r="C77" s="45"/>
      <c r="D77" s="45">
        <f>D75-D76</f>
        <v>18198</v>
      </c>
      <c r="E77" s="45">
        <f>E75-E76</f>
        <v>5048</v>
      </c>
      <c r="F77" s="45">
        <f>F75-F76</f>
        <v>10491</v>
      </c>
      <c r="G77" s="45">
        <f>D77+E77-F77</f>
        <v>12755</v>
      </c>
      <c r="H77" s="195">
        <v>6276</v>
      </c>
      <c r="I77" s="195">
        <v>8037</v>
      </c>
      <c r="J77" s="195">
        <v>9542</v>
      </c>
      <c r="K77" s="196">
        <f>(J77/D77)^(1/3)-1</f>
        <v>-0.1936221611387493</v>
      </c>
    </row>
    <row r="78" spans="2:11" x14ac:dyDescent="0.25">
      <c r="B78" s="8"/>
      <c r="C78" s="8"/>
      <c r="D78" s="8"/>
      <c r="E78" s="8"/>
      <c r="F78" s="8"/>
      <c r="G78" s="8"/>
      <c r="H78" s="8"/>
      <c r="I78" s="8"/>
      <c r="J78" s="8"/>
      <c r="K78" s="204"/>
    </row>
    <row r="79" spans="2:11" x14ac:dyDescent="0.25">
      <c r="B79" s="4" t="s">
        <v>340</v>
      </c>
      <c r="C79" s="8"/>
      <c r="D79" s="188">
        <f>3023099039/10^6</f>
        <v>3023.0990390000002</v>
      </c>
      <c r="E79" s="188">
        <f>3002791/1000</f>
        <v>3002.7910000000002</v>
      </c>
      <c r="F79" s="188">
        <f>3137744/1000</f>
        <v>3137.7440000000001</v>
      </c>
      <c r="G79" s="8"/>
      <c r="H79" s="8"/>
      <c r="I79" s="8"/>
      <c r="J79" s="8"/>
      <c r="K79" s="204"/>
    </row>
    <row r="80" spans="2:11" x14ac:dyDescent="0.25">
      <c r="B80" s="194" t="s">
        <v>135</v>
      </c>
      <c r="C80" s="149"/>
      <c r="D80" s="201">
        <f>D77/D79</f>
        <v>6.0196506185320509</v>
      </c>
      <c r="E80" s="201">
        <f>E77/E79</f>
        <v>1.6811026808059568</v>
      </c>
      <c r="F80" s="201">
        <f>F77/F79</f>
        <v>3.3434850006883927</v>
      </c>
      <c r="G80" s="201">
        <f>D80+E80-F80</f>
        <v>4.3572682986496147</v>
      </c>
      <c r="H80" s="201">
        <v>2.0459999999999998</v>
      </c>
      <c r="I80" s="201">
        <v>2.6339999999999999</v>
      </c>
      <c r="J80" s="201">
        <v>3.1589999999999998</v>
      </c>
      <c r="K80" s="197">
        <f>(J80/D80)^(1/3)-1</f>
        <v>-0.19339771715725551</v>
      </c>
    </row>
  </sheetData>
  <mergeCells count="14">
    <mergeCell ref="D37:J37"/>
    <mergeCell ref="D39:J39"/>
    <mergeCell ref="D40:D41"/>
    <mergeCell ref="E40:E41"/>
    <mergeCell ref="F40:F41"/>
    <mergeCell ref="G40:I40"/>
    <mergeCell ref="J40:J41"/>
    <mergeCell ref="K41:L41"/>
    <mergeCell ref="D50:H50"/>
    <mergeCell ref="D51:D52"/>
    <mergeCell ref="E51:E52"/>
    <mergeCell ref="F51:F52"/>
    <mergeCell ref="G51:G52"/>
    <mergeCell ref="H51:H52"/>
  </mergeCells>
  <pageMargins left="0.7" right="0.7" top="0.75" bottom="0.75" header="0.3" footer="0.3"/>
  <pageSetup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0C44-8BEE-4181-B1F8-1BCB5D754119}">
  <dimension ref="B3:N80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RowHeight="15" x14ac:dyDescent="0.25"/>
  <cols>
    <col min="1" max="1" width="2.28515625" bestFit="1" customWidth="1"/>
    <col min="2" max="2" width="64.5703125" bestFit="1" customWidth="1"/>
    <col min="3" max="3" width="2.28515625" bestFit="1" customWidth="1"/>
    <col min="4" max="4" width="16.42578125" bestFit="1" customWidth="1"/>
    <col min="5" max="5" width="12.140625" customWidth="1"/>
    <col min="6" max="6" width="12.7109375" customWidth="1"/>
    <col min="7" max="7" width="15.28515625" bestFit="1" customWidth="1"/>
    <col min="8" max="10" width="12.42578125" bestFit="1" customWidth="1"/>
    <col min="16" max="16" width="11.28515625" customWidth="1"/>
  </cols>
  <sheetData>
    <row r="3" spans="2:7" x14ac:dyDescent="0.25">
      <c r="B3" s="38"/>
    </row>
    <row r="5" spans="2:7" x14ac:dyDescent="0.25">
      <c r="B5" s="38" t="s">
        <v>281</v>
      </c>
    </row>
    <row r="6" spans="2:7" x14ac:dyDescent="0.25">
      <c r="B6" s="172" t="s">
        <v>282</v>
      </c>
      <c r="C6" s="173"/>
      <c r="D6" s="171"/>
    </row>
    <row r="7" spans="2:7" x14ac:dyDescent="0.25">
      <c r="B7" s="4" t="s">
        <v>283</v>
      </c>
      <c r="C7" s="8"/>
      <c r="D7" s="20" t="s">
        <v>349</v>
      </c>
    </row>
    <row r="8" spans="2:7" x14ac:dyDescent="0.25">
      <c r="B8" s="4" t="s">
        <v>284</v>
      </c>
      <c r="C8" s="8"/>
      <c r="D8" s="100">
        <v>45659</v>
      </c>
    </row>
    <row r="9" spans="2:7" x14ac:dyDescent="0.25">
      <c r="B9" s="4" t="s">
        <v>285</v>
      </c>
      <c r="C9" s="8"/>
      <c r="D9" s="20" t="s">
        <v>406</v>
      </c>
    </row>
    <row r="10" spans="2:7" x14ac:dyDescent="0.25">
      <c r="B10" s="4" t="s">
        <v>286</v>
      </c>
      <c r="C10" s="8"/>
      <c r="D10" s="20">
        <v>2023</v>
      </c>
    </row>
    <row r="11" spans="2:7" x14ac:dyDescent="0.25">
      <c r="B11" s="4" t="s">
        <v>287</v>
      </c>
      <c r="C11" s="8"/>
      <c r="D11" s="20" t="s">
        <v>397</v>
      </c>
    </row>
    <row r="12" spans="2:7" x14ac:dyDescent="0.25">
      <c r="B12" s="4" t="s">
        <v>288</v>
      </c>
      <c r="C12" s="8"/>
      <c r="D12" s="20" t="s">
        <v>409</v>
      </c>
    </row>
    <row r="13" spans="2:7" x14ac:dyDescent="0.25">
      <c r="B13" s="186" t="s">
        <v>361</v>
      </c>
      <c r="D13" s="20">
        <v>6.6E-3</v>
      </c>
    </row>
    <row r="14" spans="2:7" x14ac:dyDescent="0.25">
      <c r="B14" s="91" t="s">
        <v>173</v>
      </c>
      <c r="C14" s="12"/>
      <c r="D14" s="168">
        <v>0.26</v>
      </c>
    </row>
    <row r="16" spans="2:7" x14ac:dyDescent="0.25">
      <c r="B16" s="172" t="s">
        <v>289</v>
      </c>
      <c r="C16" s="172"/>
      <c r="D16" s="160" t="s">
        <v>290</v>
      </c>
      <c r="E16" s="160" t="s">
        <v>291</v>
      </c>
      <c r="F16" s="160" t="s">
        <v>292</v>
      </c>
      <c r="G16" s="159" t="s">
        <v>351</v>
      </c>
    </row>
    <row r="17" spans="2:14" x14ac:dyDescent="0.25">
      <c r="B17" s="4" t="s">
        <v>293</v>
      </c>
      <c r="C17" s="8"/>
      <c r="D17" s="188">
        <v>193.12</v>
      </c>
      <c r="E17" s="188"/>
      <c r="F17" s="188"/>
      <c r="G17" s="188"/>
    </row>
    <row r="18" spans="2:14" x14ac:dyDescent="0.25">
      <c r="B18" s="4" t="s">
        <v>294</v>
      </c>
      <c r="C18" s="8"/>
      <c r="D18" s="188">
        <f>15794987460/10^6</f>
        <v>15794.98746</v>
      </c>
      <c r="E18" s="188"/>
      <c r="F18" s="188"/>
      <c r="G18" s="188"/>
    </row>
    <row r="19" spans="2:14" x14ac:dyDescent="0.25">
      <c r="B19" s="4" t="s">
        <v>295</v>
      </c>
      <c r="C19" s="8"/>
      <c r="D19" s="188">
        <f>D18+J45+H56</f>
        <v>15794.98746</v>
      </c>
      <c r="E19" s="188"/>
      <c r="F19" s="188"/>
      <c r="G19" s="188">
        <f>SUM(D19:F19)</f>
        <v>15794.98746</v>
      </c>
    </row>
    <row r="20" spans="2:14" x14ac:dyDescent="0.25">
      <c r="B20" s="4" t="s">
        <v>296</v>
      </c>
      <c r="C20" s="8"/>
      <c r="D20" s="188">
        <f>D17*D19</f>
        <v>3050327.9782752004</v>
      </c>
      <c r="E20" s="188"/>
      <c r="F20" s="188"/>
      <c r="G20" s="188">
        <f>SUM(D20:F20)</f>
        <v>3050327.9782752004</v>
      </c>
    </row>
    <row r="21" spans="2:14" x14ac:dyDescent="0.25">
      <c r="B21" s="4" t="s">
        <v>239</v>
      </c>
      <c r="C21" s="8"/>
      <c r="D21" s="188"/>
      <c r="E21" s="188"/>
      <c r="F21" s="188"/>
      <c r="G21" s="188">
        <v>946255</v>
      </c>
    </row>
    <row r="22" spans="2:14" x14ac:dyDescent="0.25">
      <c r="B22" s="4" t="s">
        <v>297</v>
      </c>
      <c r="C22" s="8"/>
      <c r="D22" s="188"/>
      <c r="E22" s="188"/>
      <c r="F22" s="188"/>
      <c r="G22" s="189">
        <f>SUM(G24)</f>
        <v>0</v>
      </c>
    </row>
    <row r="23" spans="2:14" x14ac:dyDescent="0.25">
      <c r="B23" s="164" t="s">
        <v>298</v>
      </c>
      <c r="C23" s="8"/>
      <c r="D23" s="188"/>
      <c r="E23" s="188"/>
      <c r="F23" s="188"/>
      <c r="G23" s="188">
        <v>0</v>
      </c>
    </row>
    <row r="24" spans="2:14" x14ac:dyDescent="0.25">
      <c r="B24" s="164" t="s">
        <v>299</v>
      </c>
      <c r="C24" s="8"/>
      <c r="D24" s="188"/>
      <c r="E24" s="188"/>
      <c r="F24" s="188"/>
      <c r="G24" s="188">
        <v>0</v>
      </c>
      <c r="N24" s="209"/>
    </row>
    <row r="25" spans="2:14" x14ac:dyDescent="0.25">
      <c r="B25" s="4" t="s">
        <v>300</v>
      </c>
      <c r="C25" s="8"/>
      <c r="D25" s="188"/>
      <c r="E25" s="188"/>
      <c r="F25" s="188"/>
      <c r="G25" s="189">
        <f>SUM(G26:G27)</f>
        <v>39579686</v>
      </c>
    </row>
    <row r="26" spans="2:14" x14ac:dyDescent="0.25">
      <c r="B26" s="164" t="s">
        <v>348</v>
      </c>
      <c r="C26" s="8"/>
      <c r="D26" s="188"/>
      <c r="E26" s="188"/>
      <c r="F26" s="188"/>
      <c r="G26" s="188">
        <f>23519846+16059840</f>
        <v>39579686</v>
      </c>
    </row>
    <row r="27" spans="2:14" x14ac:dyDescent="0.25">
      <c r="B27" s="164" t="s">
        <v>301</v>
      </c>
      <c r="C27" s="8"/>
      <c r="D27" s="188"/>
      <c r="E27" s="188"/>
      <c r="F27" s="188"/>
      <c r="G27" s="188">
        <v>0</v>
      </c>
    </row>
    <row r="28" spans="2:14" x14ac:dyDescent="0.25">
      <c r="B28" s="4" t="s">
        <v>302</v>
      </c>
      <c r="C28" s="8"/>
      <c r="D28" s="188"/>
      <c r="E28" s="188"/>
      <c r="F28" s="188"/>
      <c r="G28" s="189">
        <f>SUM(G29:G30)</f>
        <v>8133542</v>
      </c>
    </row>
    <row r="29" spans="2:14" x14ac:dyDescent="0.25">
      <c r="B29" s="164" t="s">
        <v>303</v>
      </c>
      <c r="C29" s="8"/>
      <c r="D29" s="188"/>
      <c r="E29" s="188"/>
      <c r="F29" s="188"/>
      <c r="G29" s="188">
        <v>0</v>
      </c>
    </row>
    <row r="30" spans="2:14" x14ac:dyDescent="0.25">
      <c r="B30" s="164" t="s">
        <v>304</v>
      </c>
      <c r="C30" s="8"/>
      <c r="D30" s="188"/>
      <c r="E30" s="188"/>
      <c r="F30" s="188"/>
      <c r="G30" s="188">
        <v>8133542</v>
      </c>
    </row>
    <row r="31" spans="2:14" x14ac:dyDescent="0.25">
      <c r="B31" s="4" t="s">
        <v>305</v>
      </c>
      <c r="C31" s="8"/>
      <c r="D31" s="188"/>
      <c r="E31" s="188"/>
      <c r="F31" s="188"/>
      <c r="G31" s="188">
        <v>8285156</v>
      </c>
    </row>
    <row r="32" spans="2:14" x14ac:dyDescent="0.25">
      <c r="B32" s="47" t="s">
        <v>306</v>
      </c>
      <c r="C32" s="47"/>
      <c r="D32" s="190"/>
      <c r="E32" s="190"/>
      <c r="F32" s="190"/>
      <c r="G32" s="190">
        <f>G20+G21+G22+G25+G28-G31</f>
        <v>43424654.978275202</v>
      </c>
    </row>
    <row r="33" spans="2:12" x14ac:dyDescent="0.25">
      <c r="B33" s="4" t="s">
        <v>307</v>
      </c>
      <c r="C33" s="8"/>
      <c r="D33" s="188"/>
      <c r="E33" s="188"/>
      <c r="F33" s="188"/>
      <c r="G33" s="188">
        <v>0</v>
      </c>
    </row>
    <row r="34" spans="2:12" x14ac:dyDescent="0.25">
      <c r="B34" s="4" t="s">
        <v>218</v>
      </c>
      <c r="C34" s="8"/>
      <c r="D34" s="188"/>
      <c r="E34" s="188"/>
      <c r="F34" s="188"/>
      <c r="G34" s="188">
        <f>G32-G33</f>
        <v>43424654.978275202</v>
      </c>
    </row>
    <row r="35" spans="2:12" x14ac:dyDescent="0.25">
      <c r="B35" s="91" t="s">
        <v>308</v>
      </c>
      <c r="C35" s="12"/>
      <c r="D35" s="191"/>
      <c r="E35" s="191"/>
      <c r="F35" s="191"/>
      <c r="G35" s="191">
        <f>G20/SUM(D19:F19)</f>
        <v>193.12000000000003</v>
      </c>
    </row>
    <row r="37" spans="2:12" x14ac:dyDescent="0.25">
      <c r="D37" s="361" t="s">
        <v>343</v>
      </c>
      <c r="E37" s="362"/>
      <c r="F37" s="362"/>
      <c r="G37" s="362"/>
      <c r="H37" s="362"/>
      <c r="I37" s="362"/>
      <c r="J37" s="363"/>
    </row>
    <row r="39" spans="2:12" x14ac:dyDescent="0.25">
      <c r="B39" s="172" t="s">
        <v>314</v>
      </c>
      <c r="C39" s="173"/>
      <c r="D39" s="336" t="s">
        <v>309</v>
      </c>
      <c r="E39" s="336"/>
      <c r="F39" s="336"/>
      <c r="G39" s="336"/>
      <c r="H39" s="336"/>
      <c r="I39" s="336"/>
      <c r="J39" s="336"/>
    </row>
    <row r="40" spans="2:12" ht="15" customHeight="1" x14ac:dyDescent="0.25">
      <c r="B40" s="8"/>
      <c r="C40" s="8"/>
      <c r="D40" s="370" t="s">
        <v>310</v>
      </c>
      <c r="E40" s="370" t="s">
        <v>268</v>
      </c>
      <c r="F40" s="354" t="s">
        <v>264</v>
      </c>
      <c r="G40" s="336" t="s">
        <v>262</v>
      </c>
      <c r="H40" s="336"/>
      <c r="I40" s="336"/>
      <c r="J40" s="370" t="s">
        <v>269</v>
      </c>
    </row>
    <row r="41" spans="2:12" ht="15" customHeight="1" x14ac:dyDescent="0.25">
      <c r="B41" s="8"/>
      <c r="C41" s="8"/>
      <c r="D41" s="371"/>
      <c r="E41" s="371"/>
      <c r="F41" s="355"/>
      <c r="G41" s="29" t="s">
        <v>265</v>
      </c>
      <c r="H41" s="29" t="s">
        <v>266</v>
      </c>
      <c r="I41" s="29" t="s">
        <v>267</v>
      </c>
      <c r="J41" s="371"/>
      <c r="K41" s="340" t="s">
        <v>398</v>
      </c>
      <c r="L41" s="341"/>
    </row>
    <row r="42" spans="2:12" x14ac:dyDescent="0.25">
      <c r="B42" s="169" t="s">
        <v>345</v>
      </c>
      <c r="C42" s="8"/>
      <c r="D42" s="8">
        <v>0</v>
      </c>
      <c r="E42" s="8">
        <v>0</v>
      </c>
      <c r="F42" s="8" t="str">
        <f>IF(D17&gt;E42,"Yes👍","No👎")</f>
        <v>Yes👍</v>
      </c>
      <c r="G42" s="8">
        <f>IF(F42="Yes👍",D42,"0")</f>
        <v>0</v>
      </c>
      <c r="H42" s="8">
        <f>E42*G42</f>
        <v>0</v>
      </c>
      <c r="I42" s="8">
        <f>H42/$D$17</f>
        <v>0</v>
      </c>
      <c r="J42" s="8">
        <f>G42-I42</f>
        <v>0</v>
      </c>
      <c r="K42" s="192">
        <f>D42*(1-E42/D17)</f>
        <v>0</v>
      </c>
      <c r="L42" t="b">
        <f>J42=K42</f>
        <v>1</v>
      </c>
    </row>
    <row r="43" spans="2:12" x14ac:dyDescent="0.25">
      <c r="B43" s="169" t="s">
        <v>344</v>
      </c>
      <c r="C43" s="8"/>
      <c r="D43" s="8">
        <v>0</v>
      </c>
      <c r="E43" s="8"/>
      <c r="F43" s="8" t="str">
        <f t="shared" ref="F43" si="0">IF(D18&gt;E43,"Yes👍","No👎")</f>
        <v>Yes👍</v>
      </c>
      <c r="G43" s="8">
        <f t="shared" ref="G43" si="1">IF(F43="Yes👍",D43,"0")</f>
        <v>0</v>
      </c>
      <c r="H43" s="8">
        <f t="shared" ref="H43" si="2">E43*G43</f>
        <v>0</v>
      </c>
      <c r="I43" s="8">
        <f t="shared" ref="I43" si="3">H43/$D$17</f>
        <v>0</v>
      </c>
      <c r="J43" s="8">
        <f t="shared" ref="J43" si="4">G43-I43</f>
        <v>0</v>
      </c>
    </row>
    <row r="44" spans="2:12" x14ac:dyDescent="0.25">
      <c r="B44" s="170"/>
      <c r="C44" s="12"/>
      <c r="D44" s="12"/>
      <c r="E44" s="12"/>
      <c r="F44" s="12"/>
      <c r="G44" s="12"/>
      <c r="H44" s="12"/>
      <c r="I44" s="12"/>
      <c r="J44" s="12"/>
    </row>
    <row r="45" spans="2:12" ht="15.75" thickBot="1" x14ac:dyDescent="0.3">
      <c r="J45" s="150">
        <f>SUM(J42:J44)</f>
        <v>0</v>
      </c>
    </row>
    <row r="50" spans="2:11" x14ac:dyDescent="0.25">
      <c r="B50" s="172" t="s">
        <v>314</v>
      </c>
      <c r="C50" s="173"/>
      <c r="D50" s="336" t="s">
        <v>311</v>
      </c>
      <c r="E50" s="336"/>
      <c r="F50" s="336"/>
      <c r="G50" s="336"/>
      <c r="H50" s="336"/>
      <c r="I50" s="165"/>
      <c r="J50" s="165"/>
    </row>
    <row r="51" spans="2:11" x14ac:dyDescent="0.25">
      <c r="B51" s="166"/>
      <c r="C51" s="10"/>
      <c r="D51" s="364" t="s">
        <v>315</v>
      </c>
      <c r="E51" s="364" t="s">
        <v>316</v>
      </c>
      <c r="F51" s="366" t="s">
        <v>312</v>
      </c>
      <c r="G51" s="366" t="s">
        <v>317</v>
      </c>
      <c r="H51" s="368" t="s">
        <v>313</v>
      </c>
    </row>
    <row r="52" spans="2:11" x14ac:dyDescent="0.25">
      <c r="B52" s="167"/>
      <c r="C52" s="8"/>
      <c r="D52" s="365"/>
      <c r="E52" s="365"/>
      <c r="F52" s="367"/>
      <c r="G52" s="367"/>
      <c r="H52" s="369"/>
    </row>
    <row r="53" spans="2:11" x14ac:dyDescent="0.25">
      <c r="B53" s="4" t="s">
        <v>352</v>
      </c>
      <c r="C53" s="8"/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2:11" x14ac:dyDescent="0.25">
      <c r="B54" s="4" t="s">
        <v>353</v>
      </c>
      <c r="C54" s="8"/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2:11" x14ac:dyDescent="0.25">
      <c r="B55" s="12"/>
      <c r="C55" s="12"/>
      <c r="D55" s="12"/>
      <c r="E55" s="12"/>
      <c r="F55" s="12"/>
      <c r="G55" s="12"/>
      <c r="H55" s="12"/>
    </row>
    <row r="56" spans="2:11" ht="15.75" thickBot="1" x14ac:dyDescent="0.3">
      <c r="H56" s="175">
        <f>SUM(H53:H55)</f>
        <v>0</v>
      </c>
    </row>
    <row r="60" spans="2:11" x14ac:dyDescent="0.25">
      <c r="B60" s="172" t="s">
        <v>318</v>
      </c>
      <c r="C60" s="172"/>
      <c r="D60" s="161" t="s">
        <v>319</v>
      </c>
      <c r="E60" s="161" t="s">
        <v>320</v>
      </c>
      <c r="F60" s="161" t="s">
        <v>321</v>
      </c>
      <c r="G60" s="160" t="s">
        <v>322</v>
      </c>
      <c r="H60" s="159" t="s">
        <v>323</v>
      </c>
      <c r="I60" s="159" t="s">
        <v>324</v>
      </c>
      <c r="J60" s="159" t="s">
        <v>346</v>
      </c>
      <c r="K60" s="160" t="s">
        <v>354</v>
      </c>
    </row>
    <row r="61" spans="2:11" x14ac:dyDescent="0.25">
      <c r="B61" s="8"/>
      <c r="C61" s="8"/>
      <c r="D61" s="174" t="s">
        <v>325</v>
      </c>
      <c r="E61" s="174" t="s">
        <v>407</v>
      </c>
      <c r="F61" s="174" t="s">
        <v>407</v>
      </c>
      <c r="G61" s="20"/>
      <c r="H61" s="20" t="s">
        <v>159</v>
      </c>
      <c r="I61" s="20" t="s">
        <v>159</v>
      </c>
      <c r="J61" s="20" t="s">
        <v>159</v>
      </c>
      <c r="K61" s="8"/>
    </row>
    <row r="62" spans="2:11" x14ac:dyDescent="0.25">
      <c r="B62" s="169" t="s">
        <v>326</v>
      </c>
      <c r="C62" s="45"/>
      <c r="D62" s="189">
        <v>41648130</v>
      </c>
      <c r="E62" s="189">
        <v>32642249</v>
      </c>
      <c r="F62" s="189">
        <v>31511767</v>
      </c>
      <c r="G62" s="189">
        <f>D62+E62-F62</f>
        <v>42778612</v>
      </c>
      <c r="H62" s="189">
        <v>45095325</v>
      </c>
      <c r="I62" s="189">
        <v>47404766</v>
      </c>
      <c r="J62" s="189">
        <v>49109964</v>
      </c>
      <c r="K62" s="196">
        <f>(J62/D62)^(1/3)-1</f>
        <v>5.6472109872171439E-2</v>
      </c>
    </row>
    <row r="63" spans="2:11" x14ac:dyDescent="0.25">
      <c r="B63" s="8"/>
      <c r="C63" s="8"/>
      <c r="D63" s="188"/>
      <c r="E63" s="188"/>
      <c r="F63" s="188"/>
      <c r="G63" s="188"/>
      <c r="H63" s="188"/>
      <c r="I63" s="188"/>
      <c r="J63" s="188"/>
      <c r="K63" s="204"/>
    </row>
    <row r="64" spans="2:11" x14ac:dyDescent="0.25">
      <c r="B64" s="169" t="s">
        <v>327</v>
      </c>
      <c r="C64" s="8"/>
      <c r="D64" s="188">
        <v>5352934</v>
      </c>
      <c r="E64" s="188">
        <v>29782483</v>
      </c>
      <c r="F64" s="188">
        <v>31994054</v>
      </c>
      <c r="G64" s="188">
        <f>D64+E64-F64</f>
        <v>3141363</v>
      </c>
      <c r="H64" s="188"/>
      <c r="I64" s="188"/>
      <c r="J64" s="188"/>
      <c r="K64" s="204"/>
    </row>
    <row r="65" spans="2:11" x14ac:dyDescent="0.25">
      <c r="B65" s="44" t="s">
        <v>328</v>
      </c>
      <c r="C65" s="8"/>
      <c r="D65" s="188">
        <v>0</v>
      </c>
      <c r="E65" s="188">
        <v>0</v>
      </c>
      <c r="F65" s="188">
        <v>0</v>
      </c>
      <c r="G65" s="188"/>
      <c r="H65" s="188"/>
      <c r="I65" s="188"/>
      <c r="J65" s="188"/>
      <c r="K65" s="204"/>
    </row>
    <row r="66" spans="2:11" x14ac:dyDescent="0.25">
      <c r="B66" s="45" t="s">
        <v>329</v>
      </c>
      <c r="C66" s="45"/>
      <c r="D66" s="189">
        <f>D64+D65</f>
        <v>5352934</v>
      </c>
      <c r="E66" s="189">
        <f t="shared" ref="E66:F66" si="5">E64+E65</f>
        <v>29782483</v>
      </c>
      <c r="F66" s="189">
        <f t="shared" si="5"/>
        <v>31994054</v>
      </c>
      <c r="G66" s="189">
        <f>D66+E66-F66</f>
        <v>3141363</v>
      </c>
      <c r="H66" s="189">
        <v>5352934</v>
      </c>
      <c r="I66" s="189">
        <v>4828038</v>
      </c>
      <c r="J66" s="189">
        <v>5094262</v>
      </c>
      <c r="K66" s="196">
        <f>(J66/D66)^(1/3)-1</f>
        <v>-1.6374461342636426E-2</v>
      </c>
    </row>
    <row r="67" spans="2:11" x14ac:dyDescent="0.25">
      <c r="B67" s="44" t="s">
        <v>330</v>
      </c>
      <c r="C67" s="8"/>
      <c r="D67" s="188">
        <v>2087066</v>
      </c>
      <c r="E67" s="188">
        <v>1685749</v>
      </c>
      <c r="F67" s="188">
        <v>1535393</v>
      </c>
      <c r="G67" s="188"/>
      <c r="H67" s="188"/>
      <c r="I67" s="188"/>
      <c r="J67" s="188"/>
      <c r="K67" s="204"/>
    </row>
    <row r="68" spans="2:11" x14ac:dyDescent="0.25">
      <c r="B68" s="45" t="s">
        <v>331</v>
      </c>
      <c r="C68" s="45"/>
      <c r="D68" s="189">
        <f>D66+D67</f>
        <v>7440000</v>
      </c>
      <c r="E68" s="189">
        <f t="shared" ref="E68:F68" si="6">E66+E67</f>
        <v>31468232</v>
      </c>
      <c r="F68" s="189">
        <f t="shared" si="6"/>
        <v>33529447</v>
      </c>
      <c r="G68" s="189">
        <f>D68+E68-F68</f>
        <v>5378785</v>
      </c>
      <c r="H68" s="189">
        <v>7440000</v>
      </c>
      <c r="I68" s="189">
        <v>6448587</v>
      </c>
      <c r="J68" s="189">
        <v>7079565</v>
      </c>
      <c r="K68" s="196">
        <f>(J68/D68)^(1/3)-1</f>
        <v>-1.6416549843742301E-2</v>
      </c>
    </row>
    <row r="69" spans="2:11" x14ac:dyDescent="0.25">
      <c r="B69" s="8"/>
      <c r="C69" s="8"/>
      <c r="D69" s="188"/>
      <c r="E69" s="188"/>
      <c r="F69" s="188"/>
      <c r="G69" s="188"/>
      <c r="H69" s="188"/>
      <c r="I69" s="188"/>
      <c r="J69" s="188"/>
      <c r="K69" s="204"/>
    </row>
    <row r="70" spans="2:11" x14ac:dyDescent="0.25">
      <c r="B70" s="169" t="s">
        <v>332</v>
      </c>
      <c r="C70" s="8"/>
      <c r="D70" s="188">
        <v>5071421</v>
      </c>
      <c r="E70" s="188">
        <v>4079342</v>
      </c>
      <c r="F70" s="188">
        <v>4031624</v>
      </c>
      <c r="G70" s="188"/>
      <c r="H70" s="188"/>
      <c r="I70" s="188"/>
      <c r="J70" s="188"/>
      <c r="K70" s="204"/>
    </row>
    <row r="71" spans="2:11" x14ac:dyDescent="0.25">
      <c r="B71" s="44" t="s">
        <v>333</v>
      </c>
      <c r="C71" s="8"/>
      <c r="D71" s="188">
        <f>D65</f>
        <v>0</v>
      </c>
      <c r="E71" s="188">
        <f t="shared" ref="E71:F71" si="7">E65</f>
        <v>0</v>
      </c>
      <c r="F71" s="188">
        <f t="shared" si="7"/>
        <v>0</v>
      </c>
      <c r="G71" s="188"/>
      <c r="H71" s="188"/>
      <c r="I71" s="188"/>
      <c r="J71" s="188"/>
      <c r="K71" s="204"/>
    </row>
    <row r="72" spans="2:11" x14ac:dyDescent="0.25">
      <c r="B72" s="44" t="s">
        <v>334</v>
      </c>
      <c r="C72" s="8"/>
      <c r="D72" s="188"/>
      <c r="E72" s="188"/>
      <c r="F72" s="188"/>
      <c r="G72" s="188"/>
      <c r="H72" s="188"/>
      <c r="I72" s="188"/>
      <c r="J72" s="188"/>
      <c r="K72" s="204"/>
    </row>
    <row r="73" spans="2:11" x14ac:dyDescent="0.25">
      <c r="B73" s="44" t="s">
        <v>335</v>
      </c>
      <c r="C73" s="8"/>
      <c r="D73" s="188">
        <f>SUM(D71:D72)*$D$14</f>
        <v>0</v>
      </c>
      <c r="E73" s="188">
        <f>SUM(E71:E72)*$D$14</f>
        <v>0</v>
      </c>
      <c r="F73" s="188">
        <f>SUM(F71:F72)*$D$14</f>
        <v>0</v>
      </c>
      <c r="G73" s="188"/>
      <c r="H73" s="188"/>
      <c r="I73" s="188"/>
      <c r="J73" s="188"/>
      <c r="K73" s="204"/>
    </row>
    <row r="74" spans="2:11" x14ac:dyDescent="0.25">
      <c r="B74" s="44" t="s">
        <v>336</v>
      </c>
      <c r="C74" s="8"/>
      <c r="D74" s="188"/>
      <c r="E74" s="188"/>
      <c r="F74" s="188"/>
      <c r="G74" s="188"/>
      <c r="H74" s="188"/>
      <c r="I74" s="188"/>
      <c r="J74" s="188"/>
      <c r="K74" s="204"/>
    </row>
    <row r="75" spans="2:11" x14ac:dyDescent="0.25">
      <c r="B75" s="45" t="s">
        <v>337</v>
      </c>
      <c r="C75" s="45"/>
      <c r="D75" s="189">
        <f>SUM(D70:D74)</f>
        <v>5071421</v>
      </c>
      <c r="E75" s="189">
        <f t="shared" ref="E75:F75" si="8">SUM(E70:E74)</f>
        <v>4079342</v>
      </c>
      <c r="F75" s="189">
        <f t="shared" si="8"/>
        <v>4031624</v>
      </c>
      <c r="G75" s="189">
        <f>D75+E75-F75</f>
        <v>5119139</v>
      </c>
      <c r="H75" s="189"/>
      <c r="I75" s="189"/>
      <c r="J75" s="189"/>
      <c r="K75" s="196"/>
    </row>
    <row r="76" spans="2:11" x14ac:dyDescent="0.25">
      <c r="B76" s="44" t="s">
        <v>338</v>
      </c>
      <c r="C76" s="8"/>
      <c r="D76" s="188">
        <v>1018347</v>
      </c>
      <c r="E76" s="188">
        <v>946255</v>
      </c>
      <c r="F76" s="188">
        <v>962269</v>
      </c>
      <c r="G76" s="188"/>
      <c r="H76" s="188"/>
      <c r="I76" s="188"/>
      <c r="J76" s="188"/>
      <c r="K76" s="204"/>
    </row>
    <row r="77" spans="2:11" x14ac:dyDescent="0.25">
      <c r="B77" s="45" t="s">
        <v>339</v>
      </c>
      <c r="C77" s="45"/>
      <c r="D77" s="189">
        <f>D75-D76</f>
        <v>4053074</v>
      </c>
      <c r="E77" s="189">
        <f t="shared" ref="E77:F77" si="9">E75-E76</f>
        <v>3133087</v>
      </c>
      <c r="F77" s="189">
        <f t="shared" si="9"/>
        <v>3069355</v>
      </c>
      <c r="G77" s="189">
        <f>D77+E77-F77</f>
        <v>4116806</v>
      </c>
      <c r="H77" s="189">
        <v>4944933</v>
      </c>
      <c r="I77" s="189">
        <v>4243961</v>
      </c>
      <c r="J77" s="189">
        <v>4272390</v>
      </c>
      <c r="K77" s="196">
        <f>(J77/D77)^(1/3)-1</f>
        <v>1.7721116279163729E-2</v>
      </c>
    </row>
    <row r="78" spans="2:11" x14ac:dyDescent="0.25">
      <c r="B78" s="8"/>
      <c r="C78" s="8"/>
      <c r="D78" s="188"/>
      <c r="E78" s="188"/>
      <c r="F78" s="188"/>
      <c r="G78" s="188"/>
      <c r="H78" s="188"/>
      <c r="I78" s="188"/>
      <c r="J78" s="188"/>
      <c r="K78" s="204"/>
    </row>
    <row r="79" spans="2:11" x14ac:dyDescent="0.25">
      <c r="B79" s="4" t="s">
        <v>340</v>
      </c>
      <c r="C79" s="8"/>
      <c r="D79" s="188">
        <f>13512848/10^6</f>
        <v>13.512848</v>
      </c>
      <c r="E79" s="188">
        <f>D79</f>
        <v>13.512848</v>
      </c>
      <c r="F79" s="188">
        <f>E79</f>
        <v>13.512848</v>
      </c>
      <c r="G79" s="188"/>
      <c r="H79" s="188"/>
      <c r="I79" s="188"/>
      <c r="J79" s="188"/>
      <c r="K79" s="204"/>
    </row>
    <row r="80" spans="2:11" x14ac:dyDescent="0.25">
      <c r="B80" s="91" t="s">
        <v>135</v>
      </c>
      <c r="C80" s="12"/>
      <c r="D80" s="201">
        <f>D77/D79</f>
        <v>299942.24755580764</v>
      </c>
      <c r="E80" s="201">
        <f t="shared" ref="E80:F80" si="10">E77/E79</f>
        <v>231859.85663421953</v>
      </c>
      <c r="F80" s="201">
        <f t="shared" si="10"/>
        <v>227143.45636093887</v>
      </c>
      <c r="G80" s="201">
        <f>D80+E80-F80</f>
        <v>304658.64782908827</v>
      </c>
      <c r="H80" s="201">
        <v>365.9</v>
      </c>
      <c r="I80" s="201">
        <v>310.8</v>
      </c>
      <c r="J80" s="201">
        <v>321.60000000000002</v>
      </c>
      <c r="K80" s="197">
        <f>(J80/D80)^(1/3)-1</f>
        <v>-0.8976488328290726</v>
      </c>
    </row>
  </sheetData>
  <mergeCells count="14">
    <mergeCell ref="K41:L41"/>
    <mergeCell ref="D37:J37"/>
    <mergeCell ref="D39:J39"/>
    <mergeCell ref="D40:D41"/>
    <mergeCell ref="E40:E41"/>
    <mergeCell ref="F40:F41"/>
    <mergeCell ref="G40:I40"/>
    <mergeCell ref="J40:J41"/>
    <mergeCell ref="D50:H50"/>
    <mergeCell ref="D51:D52"/>
    <mergeCell ref="E51:E52"/>
    <mergeCell ref="F51:F52"/>
    <mergeCell ref="G51:G52"/>
    <mergeCell ref="H51:H5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Revenue Projection</vt:lpstr>
      <vt:lpstr>GM-I.S.</vt:lpstr>
      <vt:lpstr>GM-B.S.</vt:lpstr>
      <vt:lpstr>GM-C.F.S.</vt:lpstr>
      <vt:lpstr>Debt Schedule</vt:lpstr>
      <vt:lpstr>FA Schedule</vt:lpstr>
      <vt:lpstr>WACC</vt:lpstr>
      <vt:lpstr>FCFF</vt:lpstr>
      <vt:lpstr>Football Field Analysis</vt:lpstr>
      <vt:lpstr>DuPont Analysis</vt:lpstr>
      <vt:lpstr>Regression Beta</vt:lpstr>
      <vt:lpstr>Bottom-Up Beta</vt:lpstr>
      <vt:lpstr>Valuation-GM</vt:lpstr>
      <vt:lpstr>Output</vt:lpstr>
      <vt:lpstr>TESLA</vt:lpstr>
      <vt:lpstr>FERRARI N.V.</vt:lpstr>
      <vt:lpstr>FORD MOTOR COMPANY</vt:lpstr>
      <vt:lpstr>STELLANTIS N.V.</vt:lpstr>
      <vt:lpstr>TOYOTA MOTOR CORP.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Panda</dc:creator>
  <cp:lastModifiedBy>Chinmay Panda</cp:lastModifiedBy>
  <cp:lastPrinted>2025-02-04T07:41:00Z</cp:lastPrinted>
  <dcterms:created xsi:type="dcterms:W3CDTF">2015-06-05T18:17:20Z</dcterms:created>
  <dcterms:modified xsi:type="dcterms:W3CDTF">2025-03-03T11:15:34Z</dcterms:modified>
</cp:coreProperties>
</file>