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IMARTICUS\"/>
    </mc:Choice>
  </mc:AlternateContent>
  <xr:revisionPtr revIDLastSave="0" documentId="13_ncr:1_{BADD1DB4-0795-49CF-9219-D609C7A3C05A}" xr6:coauthVersionLast="47" xr6:coauthVersionMax="47" xr10:uidLastSave="{00000000-0000-0000-0000-000000000000}"/>
  <bookViews>
    <workbookView xWindow="-120" yWindow="-120" windowWidth="20730" windowHeight="11760" tabRatio="994" activeTab="1" xr2:uid="{00000000-000D-0000-FFFF-FFFF00000000}"/>
  </bookViews>
  <sheets>
    <sheet name="Charts" sheetId="10" r:id="rId1"/>
    <sheet name="Ratios Summary" sheetId="9" r:id="rId2"/>
    <sheet name="BS Summary" sheetId="8" r:id="rId3"/>
    <sheet name="P&amp;L Summary" sheetId="7" r:id="rId4"/>
    <sheet name="Data Sheet" sheetId="6" r:id="rId5"/>
    <sheet name="Profit &amp; Loss" sheetId="1" r:id="rId6"/>
    <sheet name="Quarters" sheetId="3" r:id="rId7"/>
    <sheet name="Balance Sheet" sheetId="2" r:id="rId8"/>
    <sheet name="Cash Flow" sheetId="4" r:id="rId9"/>
    <sheet name="Customization" sheetId="5" r:id="rId10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0" l="1"/>
  <c r="H19" i="10"/>
  <c r="H18" i="10"/>
  <c r="H17" i="10"/>
  <c r="H16" i="10"/>
  <c r="G20" i="10"/>
  <c r="F20" i="10"/>
  <c r="E20" i="10"/>
  <c r="D20" i="10"/>
  <c r="C20" i="10"/>
  <c r="G19" i="10"/>
  <c r="F19" i="10"/>
  <c r="E19" i="10"/>
  <c r="D19" i="10"/>
  <c r="C19" i="10"/>
  <c r="G18" i="10"/>
  <c r="F18" i="10"/>
  <c r="E18" i="10"/>
  <c r="D18" i="10"/>
  <c r="C18" i="10"/>
  <c r="G17" i="10"/>
  <c r="F17" i="10"/>
  <c r="E17" i="10"/>
  <c r="D17" i="10"/>
  <c r="C17" i="10"/>
  <c r="G16" i="10"/>
  <c r="F16" i="10"/>
  <c r="E16" i="10"/>
  <c r="D16" i="10"/>
  <c r="C16" i="10"/>
  <c r="B20" i="10"/>
  <c r="B19" i="10"/>
  <c r="B18" i="10"/>
  <c r="B17" i="10"/>
  <c r="B16" i="10"/>
  <c r="B15" i="10"/>
  <c r="H13" i="10"/>
  <c r="H12" i="10"/>
  <c r="H11" i="10"/>
  <c r="H10" i="10"/>
  <c r="G13" i="10"/>
  <c r="F13" i="10"/>
  <c r="E13" i="10"/>
  <c r="D13" i="10"/>
  <c r="C13" i="10"/>
  <c r="G12" i="10"/>
  <c r="F12" i="10"/>
  <c r="E12" i="10"/>
  <c r="D12" i="10"/>
  <c r="C12" i="10"/>
  <c r="G11" i="10"/>
  <c r="F11" i="10"/>
  <c r="E11" i="10"/>
  <c r="D11" i="10"/>
  <c r="C11" i="10"/>
  <c r="G10" i="10"/>
  <c r="F10" i="10"/>
  <c r="E10" i="10"/>
  <c r="D10" i="10"/>
  <c r="C10" i="10"/>
  <c r="B13" i="10"/>
  <c r="B12" i="10"/>
  <c r="B11" i="10"/>
  <c r="B10" i="10"/>
  <c r="B9" i="10"/>
  <c r="H6" i="10"/>
  <c r="H7" i="10"/>
  <c r="H5" i="10"/>
  <c r="G3" i="10"/>
  <c r="F3" i="10"/>
  <c r="E3" i="10"/>
  <c r="D3" i="10"/>
  <c r="C3" i="10"/>
  <c r="G7" i="10"/>
  <c r="F7" i="10"/>
  <c r="E7" i="10"/>
  <c r="D7" i="10"/>
  <c r="C7" i="10"/>
  <c r="G6" i="10"/>
  <c r="F6" i="10"/>
  <c r="E6" i="10"/>
  <c r="D6" i="10"/>
  <c r="C6" i="10"/>
  <c r="G5" i="10"/>
  <c r="F5" i="10"/>
  <c r="E5" i="10"/>
  <c r="D5" i="10"/>
  <c r="C5" i="10"/>
  <c r="B7" i="10"/>
  <c r="B6" i="10"/>
  <c r="B5" i="10"/>
  <c r="B4" i="10"/>
  <c r="O90" i="9" l="1"/>
  <c r="O89" i="9"/>
  <c r="O88" i="9"/>
  <c r="O87" i="9"/>
  <c r="O86" i="9"/>
  <c r="O62" i="9"/>
  <c r="O61" i="9"/>
  <c r="O60" i="9"/>
  <c r="O59" i="9"/>
  <c r="O50" i="9"/>
  <c r="O49" i="9"/>
  <c r="O48" i="9"/>
  <c r="O47" i="9"/>
  <c r="O46" i="9"/>
  <c r="O43" i="9"/>
  <c r="O42" i="9"/>
  <c r="O41" i="9"/>
  <c r="O40" i="9"/>
  <c r="O39" i="9"/>
  <c r="O38" i="9"/>
  <c r="O37" i="9"/>
  <c r="O36" i="9"/>
  <c r="O35" i="9"/>
  <c r="O34" i="9"/>
  <c r="O33" i="9"/>
  <c r="O27" i="9"/>
  <c r="O26" i="9"/>
  <c r="O23" i="9"/>
  <c r="O22" i="9"/>
  <c r="O21" i="9"/>
  <c r="O20" i="9"/>
  <c r="O19" i="9"/>
  <c r="O18" i="9"/>
  <c r="O17" i="9"/>
  <c r="O16" i="9"/>
  <c r="O15" i="9"/>
  <c r="O14" i="9"/>
  <c r="O9" i="9"/>
  <c r="O8" i="9"/>
  <c r="O7" i="9"/>
  <c r="C81" i="9"/>
  <c r="D81" i="9"/>
  <c r="E81" i="9"/>
  <c r="F81" i="9"/>
  <c r="G81" i="9"/>
  <c r="H81" i="9"/>
  <c r="I81" i="9"/>
  <c r="J81" i="9"/>
  <c r="K81" i="9"/>
  <c r="L81" i="9"/>
  <c r="L30" i="9"/>
  <c r="K30" i="9"/>
  <c r="J30" i="9"/>
  <c r="I30" i="9"/>
  <c r="H30" i="9"/>
  <c r="G30" i="9"/>
  <c r="F30" i="9"/>
  <c r="E30" i="9"/>
  <c r="D30" i="9"/>
  <c r="C30" i="9"/>
  <c r="C94" i="9" a="1"/>
  <c r="C94" i="9" s="1"/>
  <c r="C98" i="9" a="1"/>
  <c r="C98" i="9" s="1"/>
  <c r="C99" i="9" a="1"/>
  <c r="C99" i="9" s="1"/>
  <c r="Q90" i="9"/>
  <c r="Q89" i="9"/>
  <c r="Q88" i="9"/>
  <c r="Q86" i="9"/>
  <c r="Q62" i="9"/>
  <c r="Q61" i="9"/>
  <c r="Q60" i="9"/>
  <c r="Q59" i="9"/>
  <c r="Q9" i="9"/>
  <c r="Q8" i="9"/>
  <c r="Q7" i="9"/>
  <c r="N90" i="9"/>
  <c r="M90" i="9"/>
  <c r="N89" i="9"/>
  <c r="M89" i="9"/>
  <c r="N88" i="9"/>
  <c r="M88" i="9"/>
  <c r="N86" i="9"/>
  <c r="M86" i="9"/>
  <c r="N62" i="9"/>
  <c r="M62" i="9"/>
  <c r="N61" i="9"/>
  <c r="M61" i="9"/>
  <c r="N60" i="9"/>
  <c r="M60" i="9"/>
  <c r="N59" i="9"/>
  <c r="M59" i="9"/>
  <c r="N50" i="9"/>
  <c r="M50" i="9"/>
  <c r="N49" i="9"/>
  <c r="M49" i="9"/>
  <c r="N48" i="9"/>
  <c r="M48" i="9"/>
  <c r="N47" i="9"/>
  <c r="M47" i="9"/>
  <c r="N46" i="9"/>
  <c r="M46" i="9"/>
  <c r="N43" i="9"/>
  <c r="M43" i="9"/>
  <c r="N42" i="9"/>
  <c r="M42" i="9"/>
  <c r="N41" i="9"/>
  <c r="M41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27" i="9"/>
  <c r="M27" i="9"/>
  <c r="N26" i="9"/>
  <c r="M26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9" i="9"/>
  <c r="M9" i="9"/>
  <c r="N8" i="9"/>
  <c r="M8" i="9"/>
  <c r="N7" i="9"/>
  <c r="M7" i="9"/>
  <c r="A34" i="8" l="1"/>
  <c r="A33" i="8"/>
  <c r="A15" i="8"/>
  <c r="A14" i="8"/>
  <c r="A13" i="8"/>
  <c r="A10" i="8"/>
  <c r="A9" i="8"/>
  <c r="A8" i="8"/>
  <c r="A100" i="9"/>
  <c r="A99" i="9"/>
  <c r="A98" i="9"/>
  <c r="A97" i="9"/>
  <c r="A96" i="9"/>
  <c r="A95" i="9"/>
  <c r="A94" i="9"/>
  <c r="C97" i="9" a="1"/>
  <c r="C97" i="9" s="1"/>
  <c r="C96" i="9" a="1"/>
  <c r="C96" i="9" s="1"/>
  <c r="C95" i="9" a="1"/>
  <c r="C95" i="9" s="1"/>
  <c r="C21" i="9"/>
  <c r="L59" i="9"/>
  <c r="K59" i="9"/>
  <c r="J59" i="9"/>
  <c r="I59" i="9"/>
  <c r="H59" i="9"/>
  <c r="E59" i="9"/>
  <c r="D59" i="9"/>
  <c r="C59" i="9"/>
  <c r="L46" i="9"/>
  <c r="K46" i="9"/>
  <c r="J46" i="9"/>
  <c r="E46" i="9"/>
  <c r="D46" i="9"/>
  <c r="C46" i="9"/>
  <c r="L48" i="9"/>
  <c r="E48" i="9"/>
  <c r="D48" i="9"/>
  <c r="L53" i="9"/>
  <c r="L74" i="9" s="1"/>
  <c r="K53" i="9"/>
  <c r="K48" i="9" s="1"/>
  <c r="J53" i="9"/>
  <c r="J48" i="9" s="1"/>
  <c r="I53" i="9"/>
  <c r="I48" i="9" s="1"/>
  <c r="H53" i="9"/>
  <c r="H48" i="9" s="1"/>
  <c r="G53" i="9"/>
  <c r="G59" i="9" s="1"/>
  <c r="F53" i="9"/>
  <c r="F59" i="9" s="1"/>
  <c r="E53" i="9"/>
  <c r="E74" i="9" s="1"/>
  <c r="D53" i="9"/>
  <c r="D74" i="9" s="1"/>
  <c r="C53" i="9"/>
  <c r="C48" i="9" s="1"/>
  <c r="L54" i="9"/>
  <c r="L47" i="9" s="1"/>
  <c r="K54" i="9"/>
  <c r="K47" i="9" s="1"/>
  <c r="J54" i="9"/>
  <c r="J47" i="9" s="1"/>
  <c r="I54" i="9"/>
  <c r="I47" i="9" s="1"/>
  <c r="H54" i="9"/>
  <c r="H55" i="9" s="1"/>
  <c r="H61" i="9" s="1"/>
  <c r="G54" i="9"/>
  <c r="G55" i="9" s="1"/>
  <c r="G61" i="9" s="1"/>
  <c r="F54" i="9"/>
  <c r="F55" i="9" s="1"/>
  <c r="F61" i="9" s="1"/>
  <c r="E54" i="9"/>
  <c r="E55" i="9" s="1"/>
  <c r="E61" i="9" s="1"/>
  <c r="D54" i="9"/>
  <c r="D47" i="9" s="1"/>
  <c r="C54" i="9"/>
  <c r="C47" i="9" s="1"/>
  <c r="I55" i="9" l="1"/>
  <c r="I61" i="9" s="1"/>
  <c r="E47" i="9"/>
  <c r="J55" i="9"/>
  <c r="J61" i="9" s="1"/>
  <c r="F47" i="9"/>
  <c r="F74" i="9"/>
  <c r="G74" i="9"/>
  <c r="F48" i="9"/>
  <c r="H74" i="9"/>
  <c r="G48" i="9"/>
  <c r="I74" i="9"/>
  <c r="F46" i="9"/>
  <c r="J74" i="9"/>
  <c r="G46" i="9"/>
  <c r="C74" i="9"/>
  <c r="K74" i="9"/>
  <c r="H46" i="9"/>
  <c r="I46" i="9"/>
  <c r="C55" i="9"/>
  <c r="C61" i="9" s="1"/>
  <c r="K55" i="9"/>
  <c r="K61" i="9" s="1"/>
  <c r="G47" i="9"/>
  <c r="D55" i="9"/>
  <c r="D61" i="9" s="1"/>
  <c r="L55" i="9"/>
  <c r="L61" i="9" s="1"/>
  <c r="H47" i="9"/>
  <c r="C83" i="9"/>
  <c r="L86" i="9"/>
  <c r="K86" i="9"/>
  <c r="J86" i="9"/>
  <c r="I86" i="9"/>
  <c r="H86" i="9"/>
  <c r="G86" i="9"/>
  <c r="F86" i="9"/>
  <c r="E86" i="9"/>
  <c r="D86" i="9"/>
  <c r="C86" i="9"/>
  <c r="L82" i="9"/>
  <c r="K82" i="9"/>
  <c r="J82" i="9"/>
  <c r="I82" i="9"/>
  <c r="I83" i="9" s="1"/>
  <c r="H82" i="9"/>
  <c r="G82" i="9"/>
  <c r="G83" i="9" s="1"/>
  <c r="F82" i="9"/>
  <c r="E82" i="9"/>
  <c r="E83" i="9" s="1"/>
  <c r="D82" i="9"/>
  <c r="D83" i="9" s="1"/>
  <c r="C82" i="9"/>
  <c r="L83" i="9"/>
  <c r="L89" i="9" s="1"/>
  <c r="F83" i="9"/>
  <c r="F90" i="9" s="1"/>
  <c r="L80" i="9"/>
  <c r="L87" i="9" s="1"/>
  <c r="Q87" i="9" s="1"/>
  <c r="K80" i="9"/>
  <c r="K87" i="9" s="1"/>
  <c r="J80" i="9"/>
  <c r="J87" i="9" s="1"/>
  <c r="I80" i="9"/>
  <c r="I87" i="9" s="1"/>
  <c r="H80" i="9"/>
  <c r="H87" i="9" s="1"/>
  <c r="G80" i="9"/>
  <c r="F80" i="9"/>
  <c r="F87" i="9" s="1"/>
  <c r="E80" i="9"/>
  <c r="E87" i="9" s="1"/>
  <c r="D80" i="9"/>
  <c r="D87" i="9" s="1"/>
  <c r="C80" i="9"/>
  <c r="C87" i="9" s="1"/>
  <c r="L49" i="9"/>
  <c r="K49" i="9"/>
  <c r="J49" i="9"/>
  <c r="I49" i="9"/>
  <c r="H49" i="9"/>
  <c r="G49" i="9"/>
  <c r="F49" i="9"/>
  <c r="E49" i="9"/>
  <c r="D49" i="9"/>
  <c r="F56" i="9"/>
  <c r="E56" i="9"/>
  <c r="D56" i="9"/>
  <c r="C56" i="9"/>
  <c r="N87" i="9" l="1"/>
  <c r="M87" i="9"/>
  <c r="L56" i="9"/>
  <c r="F88" i="9"/>
  <c r="F89" i="9"/>
  <c r="L90" i="9"/>
  <c r="I90" i="9"/>
  <c r="I89" i="9"/>
  <c r="I88" i="9"/>
  <c r="G90" i="9"/>
  <c r="G89" i="9"/>
  <c r="G88" i="9"/>
  <c r="G87" i="9"/>
  <c r="E88" i="9"/>
  <c r="E90" i="9"/>
  <c r="E89" i="9"/>
  <c r="D89" i="9"/>
  <c r="D88" i="9"/>
  <c r="D90" i="9"/>
  <c r="J83" i="9"/>
  <c r="H83" i="9"/>
  <c r="L88" i="9"/>
  <c r="K83" i="9"/>
  <c r="H56" i="9"/>
  <c r="G56" i="9"/>
  <c r="I56" i="9"/>
  <c r="J56" i="9"/>
  <c r="K56" i="9"/>
  <c r="P86" i="9" l="1"/>
  <c r="P87" i="9"/>
  <c r="J90" i="9"/>
  <c r="J89" i="9"/>
  <c r="J88" i="9"/>
  <c r="H90" i="9"/>
  <c r="H89" i="9"/>
  <c r="H88" i="9"/>
  <c r="K90" i="9"/>
  <c r="K89" i="9"/>
  <c r="K88" i="9"/>
  <c r="C90" i="9"/>
  <c r="C88" i="9"/>
  <c r="C89" i="9"/>
  <c r="P88" i="9" l="1"/>
  <c r="P89" i="9"/>
  <c r="P90" i="9"/>
  <c r="L70" i="9"/>
  <c r="L73" i="9" s="1"/>
  <c r="L75" i="9" s="1"/>
  <c r="K70" i="9"/>
  <c r="K73" i="9" s="1"/>
  <c r="K75" i="9" s="1"/>
  <c r="J70" i="9"/>
  <c r="J73" i="9" s="1"/>
  <c r="J75" i="9" s="1"/>
  <c r="I70" i="9"/>
  <c r="I73" i="9" s="1"/>
  <c r="I75" i="9" s="1"/>
  <c r="H70" i="9"/>
  <c r="H73" i="9" s="1"/>
  <c r="H75" i="9" s="1"/>
  <c r="G70" i="9"/>
  <c r="G73" i="9" s="1"/>
  <c r="G75" i="9" s="1"/>
  <c r="F70" i="9"/>
  <c r="F73" i="9" s="1"/>
  <c r="F75" i="9" s="1"/>
  <c r="E70" i="9"/>
  <c r="E73" i="9" s="1"/>
  <c r="E75" i="9" s="1"/>
  <c r="D70" i="9"/>
  <c r="D73" i="9" s="1"/>
  <c r="D75" i="9" s="1"/>
  <c r="L27" i="9"/>
  <c r="K27" i="9"/>
  <c r="J27" i="9"/>
  <c r="I27" i="9"/>
  <c r="H27" i="9"/>
  <c r="G27" i="9"/>
  <c r="F27" i="9"/>
  <c r="E27" i="9"/>
  <c r="D27" i="9"/>
  <c r="L26" i="9"/>
  <c r="K26" i="9"/>
  <c r="J26" i="9"/>
  <c r="I26" i="9"/>
  <c r="H26" i="9"/>
  <c r="G26" i="9"/>
  <c r="F26" i="9"/>
  <c r="E26" i="9"/>
  <c r="D26" i="9"/>
  <c r="C70" i="9"/>
  <c r="C73" i="9" s="1"/>
  <c r="C27" i="9"/>
  <c r="C26" i="9"/>
  <c r="A23" i="9"/>
  <c r="A22" i="9"/>
  <c r="A21" i="9"/>
  <c r="A20" i="9"/>
  <c r="A19" i="9"/>
  <c r="A18" i="9"/>
  <c r="A17" i="9"/>
  <c r="E41" i="8"/>
  <c r="E39" i="8"/>
  <c r="K30" i="8"/>
  <c r="A16" i="9"/>
  <c r="A15" i="9"/>
  <c r="A14" i="9"/>
  <c r="A77" i="9"/>
  <c r="A75" i="9"/>
  <c r="A73" i="9"/>
  <c r="A71" i="9"/>
  <c r="A67" i="9"/>
  <c r="C100" i="9" l="1" a="1"/>
  <c r="C100" i="9" s="1"/>
  <c r="D76" i="9"/>
  <c r="L76" i="9"/>
  <c r="K76" i="9"/>
  <c r="G76" i="9"/>
  <c r="J76" i="9"/>
  <c r="E76" i="9"/>
  <c r="H76" i="9"/>
  <c r="F76" i="9"/>
  <c r="I76" i="9"/>
  <c r="C75" i="9"/>
  <c r="C76" i="9" s="1"/>
  <c r="P46" i="9" l="1"/>
  <c r="P26" i="9"/>
  <c r="P47" i="9"/>
  <c r="P27" i="9"/>
  <c r="P48" i="9"/>
  <c r="G42" i="8"/>
  <c r="I41" i="8"/>
  <c r="K24" i="8"/>
  <c r="I24" i="8"/>
  <c r="H24" i="8"/>
  <c r="C24" i="8"/>
  <c r="B24" i="8"/>
  <c r="K28" i="8"/>
  <c r="K29" i="8" s="1"/>
  <c r="J28" i="8"/>
  <c r="J29" i="8" s="1"/>
  <c r="I28" i="8"/>
  <c r="H28" i="8"/>
  <c r="D28" i="8"/>
  <c r="D29" i="8" s="1"/>
  <c r="C28" i="8"/>
  <c r="C29" i="8" s="1"/>
  <c r="B28" i="8"/>
  <c r="K35" i="8"/>
  <c r="J35" i="8"/>
  <c r="I35" i="8"/>
  <c r="H35" i="8"/>
  <c r="G35" i="8"/>
  <c r="G28" i="8" s="1"/>
  <c r="G29" i="8" s="1"/>
  <c r="F35" i="8"/>
  <c r="F28" i="8" s="1"/>
  <c r="F29" i="8" s="1"/>
  <c r="E35" i="8"/>
  <c r="E28" i="8" s="1"/>
  <c r="E29" i="8" s="1"/>
  <c r="D35" i="8"/>
  <c r="C35" i="8"/>
  <c r="B35" i="8"/>
  <c r="I29" i="8"/>
  <c r="H29" i="8"/>
  <c r="K23" i="8"/>
  <c r="J23" i="8"/>
  <c r="J24" i="8" s="1"/>
  <c r="I23" i="8"/>
  <c r="H23" i="8"/>
  <c r="G23" i="8"/>
  <c r="G24" i="8" s="1"/>
  <c r="F23" i="8"/>
  <c r="F24" i="8" s="1"/>
  <c r="E23" i="8"/>
  <c r="D23" i="8"/>
  <c r="D24" i="8" s="1"/>
  <c r="C23" i="8"/>
  <c r="B23" i="8"/>
  <c r="I30" i="8"/>
  <c r="A28" i="8"/>
  <c r="A23" i="8"/>
  <c r="K34" i="8"/>
  <c r="J34" i="8"/>
  <c r="I34" i="8"/>
  <c r="H34" i="8"/>
  <c r="G34" i="8"/>
  <c r="F34" i="8"/>
  <c r="E34" i="8"/>
  <c r="D34" i="8"/>
  <c r="C34" i="8"/>
  <c r="K33" i="8"/>
  <c r="J33" i="8"/>
  <c r="I33" i="8"/>
  <c r="H33" i="8"/>
  <c r="H37" i="8" s="1"/>
  <c r="G33" i="8"/>
  <c r="G37" i="8" s="1"/>
  <c r="F33" i="8"/>
  <c r="E33" i="8"/>
  <c r="D33" i="8"/>
  <c r="C33" i="8"/>
  <c r="K15" i="8"/>
  <c r="J15" i="8"/>
  <c r="I15" i="8"/>
  <c r="H15" i="8"/>
  <c r="G15" i="8"/>
  <c r="F15" i="8"/>
  <c r="E15" i="8"/>
  <c r="D15" i="8"/>
  <c r="C15" i="8"/>
  <c r="K14" i="8"/>
  <c r="J14" i="8"/>
  <c r="I14" i="8"/>
  <c r="H14" i="8"/>
  <c r="G14" i="8"/>
  <c r="F14" i="8"/>
  <c r="E14" i="8"/>
  <c r="D14" i="8"/>
  <c r="C14" i="8"/>
  <c r="K13" i="8"/>
  <c r="J13" i="8"/>
  <c r="I13" i="8"/>
  <c r="H13" i="8"/>
  <c r="G13" i="8"/>
  <c r="F13" i="8"/>
  <c r="E13" i="8"/>
  <c r="D13" i="8"/>
  <c r="C13" i="8"/>
  <c r="K11" i="8"/>
  <c r="J11" i="8"/>
  <c r="I11" i="8"/>
  <c r="H11" i="8"/>
  <c r="G11" i="8"/>
  <c r="F11" i="8"/>
  <c r="E11" i="8"/>
  <c r="D11" i="8"/>
  <c r="C11" i="8"/>
  <c r="K10" i="8"/>
  <c r="J10" i="8"/>
  <c r="I10" i="8"/>
  <c r="H10" i="8"/>
  <c r="G10" i="8"/>
  <c r="F10" i="8"/>
  <c r="E10" i="8"/>
  <c r="D10" i="8"/>
  <c r="C10" i="8"/>
  <c r="K9" i="8"/>
  <c r="J9" i="8"/>
  <c r="I9" i="8"/>
  <c r="H9" i="8"/>
  <c r="G9" i="8"/>
  <c r="F9" i="8"/>
  <c r="E9" i="8"/>
  <c r="D9" i="8"/>
  <c r="C9" i="8"/>
  <c r="K8" i="8"/>
  <c r="J8" i="8"/>
  <c r="I8" i="8"/>
  <c r="H8" i="8"/>
  <c r="G8" i="8"/>
  <c r="F8" i="8"/>
  <c r="E8" i="8"/>
  <c r="D8" i="8"/>
  <c r="C8" i="8"/>
  <c r="B34" i="8"/>
  <c r="B33" i="8"/>
  <c r="B15" i="8"/>
  <c r="B14" i="8"/>
  <c r="B13" i="8"/>
  <c r="B11" i="8"/>
  <c r="B10" i="8"/>
  <c r="B9" i="8"/>
  <c r="B8" i="8"/>
  <c r="N27" i="7"/>
  <c r="M27" i="7"/>
  <c r="L27" i="7"/>
  <c r="K27" i="7"/>
  <c r="J27" i="7"/>
  <c r="I27" i="7"/>
  <c r="I30" i="7" s="1"/>
  <c r="I32" i="7" s="1"/>
  <c r="I34" i="7" s="1"/>
  <c r="H27" i="7"/>
  <c r="G27" i="7"/>
  <c r="F27" i="7"/>
  <c r="E27" i="7"/>
  <c r="N26" i="7"/>
  <c r="N28" i="7" s="1"/>
  <c r="M26" i="7"/>
  <c r="M28" i="7" s="1"/>
  <c r="L26" i="7"/>
  <c r="K26" i="7"/>
  <c r="K28" i="7" s="1"/>
  <c r="J26" i="7"/>
  <c r="J28" i="7" s="1"/>
  <c r="I26" i="7"/>
  <c r="I28" i="7" s="1"/>
  <c r="H26" i="7"/>
  <c r="G26" i="7"/>
  <c r="F26" i="7"/>
  <c r="F28" i="7" s="1"/>
  <c r="E26" i="7"/>
  <c r="E28" i="7" s="1"/>
  <c r="N24" i="7"/>
  <c r="M24" i="7"/>
  <c r="L24" i="7"/>
  <c r="K24" i="7"/>
  <c r="J24" i="7"/>
  <c r="I24" i="7"/>
  <c r="H24" i="7"/>
  <c r="G24" i="7"/>
  <c r="F24" i="7"/>
  <c r="E24" i="7"/>
  <c r="N20" i="7"/>
  <c r="M20" i="7"/>
  <c r="L20" i="7"/>
  <c r="K20" i="7"/>
  <c r="J20" i="7"/>
  <c r="I20" i="7"/>
  <c r="H20" i="7"/>
  <c r="G20" i="7"/>
  <c r="F20" i="7"/>
  <c r="E20" i="7"/>
  <c r="N17" i="7"/>
  <c r="M17" i="7"/>
  <c r="L17" i="7"/>
  <c r="K17" i="7"/>
  <c r="J17" i="7"/>
  <c r="I17" i="7"/>
  <c r="H17" i="7"/>
  <c r="G17" i="7"/>
  <c r="F17" i="7"/>
  <c r="E17" i="7"/>
  <c r="N16" i="7"/>
  <c r="M16" i="7"/>
  <c r="L16" i="7"/>
  <c r="K16" i="7"/>
  <c r="J16" i="7"/>
  <c r="I16" i="7"/>
  <c r="H16" i="7"/>
  <c r="G16" i="7"/>
  <c r="F16" i="7"/>
  <c r="E16" i="7"/>
  <c r="N13" i="7"/>
  <c r="M13" i="7"/>
  <c r="L13" i="7"/>
  <c r="K13" i="7"/>
  <c r="J13" i="7"/>
  <c r="I13" i="7"/>
  <c r="H13" i="7"/>
  <c r="G13" i="7"/>
  <c r="F13" i="7"/>
  <c r="E13" i="7"/>
  <c r="N10" i="7"/>
  <c r="M10" i="7"/>
  <c r="L10" i="7"/>
  <c r="K10" i="7"/>
  <c r="J10" i="7"/>
  <c r="I10" i="7"/>
  <c r="H10" i="7"/>
  <c r="G10" i="7"/>
  <c r="F10" i="7"/>
  <c r="E10" i="7"/>
  <c r="N6" i="7"/>
  <c r="M6" i="7"/>
  <c r="L6" i="7"/>
  <c r="K6" i="7"/>
  <c r="J6" i="7"/>
  <c r="I6" i="7"/>
  <c r="H6" i="7"/>
  <c r="G6" i="7"/>
  <c r="F6" i="7"/>
  <c r="N7" i="7"/>
  <c r="M7" i="7"/>
  <c r="L7" i="7"/>
  <c r="K7" i="7"/>
  <c r="J7" i="7"/>
  <c r="I7" i="7"/>
  <c r="H7" i="7"/>
  <c r="G7" i="7"/>
  <c r="F7" i="7"/>
  <c r="E7" i="7"/>
  <c r="E6" i="7"/>
  <c r="O19" i="6"/>
  <c r="N19" i="6"/>
  <c r="M19" i="6"/>
  <c r="H30" i="7" l="1"/>
  <c r="L30" i="7"/>
  <c r="J65" i="9"/>
  <c r="J60" i="9"/>
  <c r="J9" i="9"/>
  <c r="J37" i="9"/>
  <c r="J38" i="9" s="1"/>
  <c r="J33" i="9"/>
  <c r="J34" i="9" s="1"/>
  <c r="C33" i="9"/>
  <c r="C37" i="9"/>
  <c r="F30" i="7"/>
  <c r="D60" i="9"/>
  <c r="D9" i="9"/>
  <c r="D65" i="9"/>
  <c r="N30" i="7"/>
  <c r="N32" i="7" s="1"/>
  <c r="N34" i="7" s="1"/>
  <c r="L60" i="9"/>
  <c r="L9" i="9"/>
  <c r="L65" i="9"/>
  <c r="C65" i="9"/>
  <c r="C60" i="9"/>
  <c r="C9" i="9"/>
  <c r="G30" i="7"/>
  <c r="E60" i="9"/>
  <c r="E9" i="9"/>
  <c r="E65" i="9"/>
  <c r="I37" i="9"/>
  <c r="I38" i="9" s="1"/>
  <c r="I33" i="9"/>
  <c r="I34" i="9" s="1"/>
  <c r="E8" i="7"/>
  <c r="C7" i="9" s="1"/>
  <c r="C39" i="9"/>
  <c r="C18" i="9"/>
  <c r="C19" i="9"/>
  <c r="C17" i="9"/>
  <c r="C66" i="9"/>
  <c r="C69" i="9" s="1"/>
  <c r="C71" i="9" s="1"/>
  <c r="C16" i="9"/>
  <c r="C23" i="9"/>
  <c r="C14" i="9"/>
  <c r="C22" i="9"/>
  <c r="C15" i="9"/>
  <c r="C40" i="9"/>
  <c r="C41" i="9"/>
  <c r="C35" i="9"/>
  <c r="C20" i="9"/>
  <c r="K37" i="9"/>
  <c r="K38" i="9" s="1"/>
  <c r="K33" i="9"/>
  <c r="K34" i="9" s="1"/>
  <c r="F8" i="7"/>
  <c r="D7" i="9" s="1"/>
  <c r="D37" i="9"/>
  <c r="D38" i="9" s="1"/>
  <c r="D33" i="9"/>
  <c r="D34" i="9" s="1"/>
  <c r="E37" i="9"/>
  <c r="E38" i="9" s="1"/>
  <c r="E33" i="9"/>
  <c r="E34" i="9" s="1"/>
  <c r="D22" i="9"/>
  <c r="D14" i="9"/>
  <c r="D17" i="9"/>
  <c r="D21" i="9"/>
  <c r="D23" i="9"/>
  <c r="D41" i="9"/>
  <c r="D20" i="9"/>
  <c r="D15" i="9"/>
  <c r="D39" i="9"/>
  <c r="D19" i="9"/>
  <c r="D18" i="9"/>
  <c r="D66" i="9"/>
  <c r="D69" i="9" s="1"/>
  <c r="D71" i="9" s="1"/>
  <c r="D35" i="9"/>
  <c r="D36" i="9" s="1"/>
  <c r="D16" i="9"/>
  <c r="D40" i="9"/>
  <c r="L22" i="9"/>
  <c r="L14" i="9"/>
  <c r="S14" i="9" s="1"/>
  <c r="L21" i="9"/>
  <c r="L41" i="9"/>
  <c r="L20" i="9"/>
  <c r="L39" i="9"/>
  <c r="L19" i="9"/>
  <c r="L18" i="9"/>
  <c r="L17" i="9"/>
  <c r="L23" i="9"/>
  <c r="L15" i="9"/>
  <c r="L66" i="9"/>
  <c r="L69" i="9" s="1"/>
  <c r="L71" i="9" s="1"/>
  <c r="L72" i="9" s="1"/>
  <c r="L35" i="9"/>
  <c r="L36" i="9" s="1"/>
  <c r="L16" i="9"/>
  <c r="L40" i="9"/>
  <c r="F9" i="9"/>
  <c r="F60" i="9"/>
  <c r="F65" i="9"/>
  <c r="L28" i="7"/>
  <c r="L32" i="7" s="1"/>
  <c r="L34" i="7" s="1"/>
  <c r="E30" i="7"/>
  <c r="E32" i="7" s="1"/>
  <c r="E34" i="7" s="1"/>
  <c r="H33" i="9"/>
  <c r="H34" i="9" s="1"/>
  <c r="H37" i="9"/>
  <c r="H38" i="9" s="1"/>
  <c r="I8" i="7"/>
  <c r="G39" i="9"/>
  <c r="G19" i="9"/>
  <c r="G18" i="9"/>
  <c r="G22" i="9"/>
  <c r="G14" i="9"/>
  <c r="G17" i="9"/>
  <c r="G41" i="9"/>
  <c r="G20" i="9"/>
  <c r="G66" i="9"/>
  <c r="G69" i="9" s="1"/>
  <c r="G71" i="9" s="1"/>
  <c r="G35" i="9"/>
  <c r="G36" i="9" s="1"/>
  <c r="G16" i="9"/>
  <c r="G23" i="9"/>
  <c r="G15" i="9"/>
  <c r="G21" i="9"/>
  <c r="G40" i="9"/>
  <c r="K30" i="7"/>
  <c r="K32" i="7" s="1"/>
  <c r="K34" i="7" s="1"/>
  <c r="I65" i="9"/>
  <c r="I9" i="9"/>
  <c r="I60" i="9"/>
  <c r="J8" i="7"/>
  <c r="H7" i="9" s="1"/>
  <c r="H18" i="9"/>
  <c r="H17" i="9"/>
  <c r="H66" i="9"/>
  <c r="H69" i="9" s="1"/>
  <c r="H71" i="9" s="1"/>
  <c r="H35" i="9"/>
  <c r="H36" i="9" s="1"/>
  <c r="H16" i="9"/>
  <c r="H23" i="9"/>
  <c r="H15" i="9"/>
  <c r="H22" i="9"/>
  <c r="H14" i="9"/>
  <c r="H21" i="9"/>
  <c r="H39" i="9"/>
  <c r="H41" i="9"/>
  <c r="H20" i="9"/>
  <c r="H19" i="9"/>
  <c r="H40" i="9"/>
  <c r="L8" i="7"/>
  <c r="J66" i="9"/>
  <c r="J69" i="9" s="1"/>
  <c r="J71" i="9" s="1"/>
  <c r="J35" i="9"/>
  <c r="J36" i="9" s="1"/>
  <c r="J16" i="9"/>
  <c r="J23" i="9"/>
  <c r="J15" i="9"/>
  <c r="J17" i="9"/>
  <c r="J22" i="9"/>
  <c r="J14" i="9"/>
  <c r="J21" i="9"/>
  <c r="J41" i="9"/>
  <c r="J20" i="9"/>
  <c r="J39" i="9"/>
  <c r="J19" i="9"/>
  <c r="J18" i="9"/>
  <c r="J40" i="9"/>
  <c r="M8" i="7"/>
  <c r="K7" i="9" s="1"/>
  <c r="K23" i="9"/>
  <c r="K15" i="9"/>
  <c r="K22" i="9"/>
  <c r="K14" i="9"/>
  <c r="K18" i="9"/>
  <c r="K21" i="9"/>
  <c r="K41" i="9"/>
  <c r="K20" i="9"/>
  <c r="K16" i="9"/>
  <c r="K39" i="9"/>
  <c r="K19" i="9"/>
  <c r="K35" i="9"/>
  <c r="K36" i="9" s="1"/>
  <c r="K66" i="9"/>
  <c r="K69" i="9" s="1"/>
  <c r="K71" i="9" s="1"/>
  <c r="K17" i="9"/>
  <c r="K40" i="9"/>
  <c r="F33" i="9"/>
  <c r="F34" i="9" s="1"/>
  <c r="F37" i="9"/>
  <c r="F38" i="9" s="1"/>
  <c r="E21" i="9"/>
  <c r="E14" i="9"/>
  <c r="E41" i="9"/>
  <c r="E20" i="9"/>
  <c r="E39" i="9"/>
  <c r="E19" i="9"/>
  <c r="E35" i="9"/>
  <c r="E36" i="9" s="1"/>
  <c r="E18" i="9"/>
  <c r="E16" i="9"/>
  <c r="E17" i="9"/>
  <c r="E22" i="9"/>
  <c r="E66" i="9"/>
  <c r="E69" i="9" s="1"/>
  <c r="E71" i="9" s="1"/>
  <c r="E23" i="9"/>
  <c r="E15" i="9"/>
  <c r="E40" i="9"/>
  <c r="G8" i="7"/>
  <c r="E7" i="9" s="1"/>
  <c r="G9" i="9"/>
  <c r="G65" i="9"/>
  <c r="G67" i="9" s="1"/>
  <c r="G60" i="9"/>
  <c r="G28" i="7"/>
  <c r="G32" i="7" s="1"/>
  <c r="G34" i="7" s="1"/>
  <c r="K8" i="7"/>
  <c r="I7" i="9" s="1"/>
  <c r="I17" i="9"/>
  <c r="I66" i="9"/>
  <c r="I69" i="9" s="1"/>
  <c r="I71" i="9" s="1"/>
  <c r="I35" i="9"/>
  <c r="I36" i="9" s="1"/>
  <c r="I16" i="9"/>
  <c r="I23" i="9"/>
  <c r="I15" i="9"/>
  <c r="I22" i="9"/>
  <c r="I14" i="9"/>
  <c r="I20" i="9"/>
  <c r="I21" i="9"/>
  <c r="I18" i="9"/>
  <c r="I41" i="9"/>
  <c r="I39" i="9"/>
  <c r="I19" i="9"/>
  <c r="I40" i="9"/>
  <c r="M30" i="7"/>
  <c r="M32" i="7" s="1"/>
  <c r="M34" i="7" s="1"/>
  <c r="K65" i="9"/>
  <c r="K60" i="9"/>
  <c r="K9" i="9"/>
  <c r="N8" i="7"/>
  <c r="L37" i="9"/>
  <c r="L38" i="9" s="1"/>
  <c r="L33" i="9"/>
  <c r="L34" i="9" s="1"/>
  <c r="G33" i="9"/>
  <c r="G34" i="9" s="1"/>
  <c r="G37" i="9"/>
  <c r="G38" i="9" s="1"/>
  <c r="F41" i="9"/>
  <c r="F20" i="9"/>
  <c r="F21" i="9"/>
  <c r="F39" i="9"/>
  <c r="F19" i="9"/>
  <c r="F18" i="9"/>
  <c r="F17" i="9"/>
  <c r="F66" i="9"/>
  <c r="F69" i="9" s="1"/>
  <c r="F71" i="9" s="1"/>
  <c r="F35" i="9"/>
  <c r="F36" i="9" s="1"/>
  <c r="F16" i="9"/>
  <c r="F15" i="9"/>
  <c r="F23" i="9"/>
  <c r="F22" i="9"/>
  <c r="F14" i="9"/>
  <c r="F40" i="9"/>
  <c r="H8" i="7"/>
  <c r="F7" i="9" s="1"/>
  <c r="J30" i="7"/>
  <c r="H65" i="9"/>
  <c r="H60" i="9"/>
  <c r="H9" i="9"/>
  <c r="H28" i="7"/>
  <c r="H32" i="7" s="1"/>
  <c r="H34" i="7" s="1"/>
  <c r="F32" i="7"/>
  <c r="F34" i="7" s="1"/>
  <c r="J32" i="7"/>
  <c r="J34" i="7" s="1"/>
  <c r="E30" i="8"/>
  <c r="H30" i="8"/>
  <c r="H39" i="8" s="1"/>
  <c r="J30" i="8"/>
  <c r="E24" i="8"/>
  <c r="J11" i="7"/>
  <c r="C30" i="8"/>
  <c r="C39" i="8" s="1"/>
  <c r="F11" i="7"/>
  <c r="D30" i="8"/>
  <c r="E11" i="7"/>
  <c r="F37" i="8"/>
  <c r="F30" i="8"/>
  <c r="F39" i="8" s="1"/>
  <c r="J37" i="8"/>
  <c r="J39" i="8" s="1"/>
  <c r="G30" i="8"/>
  <c r="G39" i="8" s="1"/>
  <c r="I37" i="8"/>
  <c r="I39" i="8" s="1"/>
  <c r="C37" i="8"/>
  <c r="K37" i="8"/>
  <c r="K39" i="8" s="1"/>
  <c r="D37" i="8"/>
  <c r="D39" i="8" s="1"/>
  <c r="E37" i="8"/>
  <c r="D16" i="8"/>
  <c r="H16" i="8"/>
  <c r="G16" i="8"/>
  <c r="E16" i="8"/>
  <c r="I16" i="8"/>
  <c r="J16" i="8"/>
  <c r="C16" i="8"/>
  <c r="K16" i="8"/>
  <c r="F16" i="8"/>
  <c r="B16" i="8"/>
  <c r="N40" i="9" l="1"/>
  <c r="M40" i="9"/>
  <c r="D43" i="9"/>
  <c r="H72" i="9"/>
  <c r="J43" i="9"/>
  <c r="F72" i="9"/>
  <c r="K67" i="9"/>
  <c r="K77" i="9" s="1"/>
  <c r="K78" i="9" s="1"/>
  <c r="D72" i="9"/>
  <c r="E72" i="9"/>
  <c r="K43" i="9"/>
  <c r="M11" i="7"/>
  <c r="M14" i="7" s="1"/>
  <c r="E67" i="9"/>
  <c r="E77" i="9" s="1"/>
  <c r="E78" i="9" s="1"/>
  <c r="J72" i="9"/>
  <c r="N11" i="7"/>
  <c r="L7" i="9"/>
  <c r="L43" i="9"/>
  <c r="G68" i="9"/>
  <c r="G77" i="9"/>
  <c r="G78" i="9" s="1"/>
  <c r="K72" i="9"/>
  <c r="F67" i="9"/>
  <c r="K42" i="9"/>
  <c r="L67" i="9"/>
  <c r="L77" i="9" s="1"/>
  <c r="L78" i="9" s="1"/>
  <c r="J14" i="7"/>
  <c r="H8" i="9"/>
  <c r="C67" i="9"/>
  <c r="C77" i="9" s="1"/>
  <c r="C78" i="9" s="1"/>
  <c r="G11" i="7"/>
  <c r="E14" i="7"/>
  <c r="C8" i="9"/>
  <c r="I43" i="9"/>
  <c r="G43" i="9"/>
  <c r="F14" i="7"/>
  <c r="D8" i="9"/>
  <c r="H67" i="9"/>
  <c r="F43" i="9"/>
  <c r="I72" i="9"/>
  <c r="H43" i="9"/>
  <c r="I67" i="9"/>
  <c r="G72" i="9"/>
  <c r="J67" i="9"/>
  <c r="J77" i="9" s="1"/>
  <c r="J78" i="9" s="1"/>
  <c r="I11" i="7"/>
  <c r="G7" i="9"/>
  <c r="E42" i="9"/>
  <c r="C36" i="9"/>
  <c r="I42" i="9"/>
  <c r="C38" i="9"/>
  <c r="G42" i="9"/>
  <c r="C72" i="9"/>
  <c r="C34" i="9"/>
  <c r="K11" i="7"/>
  <c r="H11" i="7"/>
  <c r="L42" i="9"/>
  <c r="E43" i="9"/>
  <c r="F42" i="9"/>
  <c r="L11" i="7"/>
  <c r="J7" i="9"/>
  <c r="H42" i="9"/>
  <c r="D42" i="9"/>
  <c r="D67" i="9"/>
  <c r="J42" i="9"/>
  <c r="D42" i="8"/>
  <c r="H41" i="8"/>
  <c r="H42" i="8"/>
  <c r="E42" i="8"/>
  <c r="F42" i="8"/>
  <c r="F41" i="8"/>
  <c r="D41" i="8"/>
  <c r="G41" i="8"/>
  <c r="I42" i="8"/>
  <c r="C42" i="8"/>
  <c r="C41" i="8"/>
  <c r="J41" i="8"/>
  <c r="J42" i="8"/>
  <c r="K42" i="8"/>
  <c r="K41" i="8"/>
  <c r="P17" i="9" l="1"/>
  <c r="P33" i="9"/>
  <c r="K68" i="9"/>
  <c r="P14" i="9"/>
  <c r="E68" i="9"/>
  <c r="P37" i="9"/>
  <c r="P16" i="9"/>
  <c r="K8" i="9"/>
  <c r="P20" i="9"/>
  <c r="P19" i="9"/>
  <c r="C68" i="9"/>
  <c r="P40" i="9"/>
  <c r="L68" i="9"/>
  <c r="P23" i="9"/>
  <c r="K14" i="7"/>
  <c r="I8" i="9"/>
  <c r="E18" i="7"/>
  <c r="C49" i="9"/>
  <c r="C50" i="9"/>
  <c r="P15" i="9"/>
  <c r="P35" i="9"/>
  <c r="G14" i="7"/>
  <c r="E8" i="9"/>
  <c r="P22" i="9"/>
  <c r="P21" i="9"/>
  <c r="P60" i="9"/>
  <c r="L14" i="7"/>
  <c r="J8" i="9"/>
  <c r="H68" i="9"/>
  <c r="H77" i="9"/>
  <c r="H78" i="9" s="1"/>
  <c r="D68" i="9"/>
  <c r="D77" i="9"/>
  <c r="D78" i="9" s="1"/>
  <c r="P9" i="9"/>
  <c r="I68" i="9"/>
  <c r="I77" i="9"/>
  <c r="I78" i="9" s="1"/>
  <c r="P59" i="9"/>
  <c r="C43" i="9"/>
  <c r="P39" i="9"/>
  <c r="J68" i="9"/>
  <c r="C42" i="9"/>
  <c r="P41" i="9"/>
  <c r="F18" i="7"/>
  <c r="D50" i="9"/>
  <c r="J18" i="7"/>
  <c r="H50" i="9"/>
  <c r="P18" i="9"/>
  <c r="N14" i="7"/>
  <c r="L8" i="9"/>
  <c r="I14" i="7"/>
  <c r="G8" i="9"/>
  <c r="F68" i="9"/>
  <c r="F77" i="9"/>
  <c r="F78" i="9" s="1"/>
  <c r="H14" i="7"/>
  <c r="F8" i="9"/>
  <c r="M18" i="7"/>
  <c r="K50" i="9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D16" i="2" s="1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H21" i="2" s="1"/>
  <c r="I4" i="1"/>
  <c r="I21" i="2" s="1"/>
  <c r="J4" i="1"/>
  <c r="J6" i="1" s="1"/>
  <c r="J19" i="1" s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D23" i="2" s="1"/>
  <c r="E12" i="1"/>
  <c r="F12" i="1"/>
  <c r="F13" i="1" s="1"/>
  <c r="G12" i="1"/>
  <c r="G13" i="1" s="1"/>
  <c r="H12" i="1"/>
  <c r="H23" i="2" s="1"/>
  <c r="I12" i="1"/>
  <c r="I13" i="1" s="1"/>
  <c r="J12" i="1"/>
  <c r="J13" i="1" s="1"/>
  <c r="K12" i="1"/>
  <c r="K13" i="1" s="1"/>
  <c r="C15" i="1"/>
  <c r="D15" i="1"/>
  <c r="E15" i="1"/>
  <c r="F15" i="1"/>
  <c r="F14" i="1" s="1"/>
  <c r="G15" i="1"/>
  <c r="H15" i="1"/>
  <c r="I15" i="1"/>
  <c r="J15" i="1"/>
  <c r="K15" i="1"/>
  <c r="K14" i="1" s="1"/>
  <c r="B15" i="1"/>
  <c r="B7" i="1"/>
  <c r="B4" i="1"/>
  <c r="B20" i="2" s="1"/>
  <c r="A1" i="1"/>
  <c r="E1" i="6"/>
  <c r="H1" i="1" s="1"/>
  <c r="E1" i="3"/>
  <c r="H16" i="2"/>
  <c r="F23" i="2"/>
  <c r="K16" i="2"/>
  <c r="C16" i="2"/>
  <c r="G23" i="2"/>
  <c r="F16" i="2"/>
  <c r="E6" i="1"/>
  <c r="E19" i="1" s="1"/>
  <c r="K6" i="1"/>
  <c r="K19" i="1" s="1"/>
  <c r="G6" i="1"/>
  <c r="G19" i="1" s="1"/>
  <c r="C6" i="1"/>
  <c r="C19" i="1"/>
  <c r="D6" i="1"/>
  <c r="D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F2" i="7" s="1"/>
  <c r="C2" i="8" s="1"/>
  <c r="D2" i="9" s="1"/>
  <c r="D3" i="1"/>
  <c r="G2" i="7" s="1"/>
  <c r="D2" i="8" s="1"/>
  <c r="E2" i="9" s="1"/>
  <c r="E3" i="1"/>
  <c r="H2" i="7" s="1"/>
  <c r="E2" i="8" s="1"/>
  <c r="F2" i="9" s="1"/>
  <c r="F3" i="1"/>
  <c r="I2" i="7" s="1"/>
  <c r="F2" i="8" s="1"/>
  <c r="G2" i="9" s="1"/>
  <c r="G3" i="1"/>
  <c r="J2" i="7" s="1"/>
  <c r="G2" i="8" s="1"/>
  <c r="H2" i="9" s="1"/>
  <c r="H3" i="1"/>
  <c r="K2" i="7" s="1"/>
  <c r="H2" i="8" s="1"/>
  <c r="I2" i="9" s="1"/>
  <c r="I3" i="1"/>
  <c r="L2" i="7" s="1"/>
  <c r="I2" i="8" s="1"/>
  <c r="J2" i="9" s="1"/>
  <c r="J3" i="1"/>
  <c r="M2" i="7" s="1"/>
  <c r="J2" i="8" s="1"/>
  <c r="K2" i="9" s="1"/>
  <c r="K3" i="1"/>
  <c r="N2" i="7" s="1"/>
  <c r="K2" i="8" s="1"/>
  <c r="L2" i="9" s="1"/>
  <c r="B7" i="4"/>
  <c r="B6" i="4"/>
  <c r="B5" i="4"/>
  <c r="B4" i="4"/>
  <c r="B3" i="4"/>
  <c r="K21" i="2"/>
  <c r="J21" i="2"/>
  <c r="G21" i="2"/>
  <c r="F21" i="2"/>
  <c r="E21" i="2"/>
  <c r="D21" i="2"/>
  <c r="C21" i="2"/>
  <c r="B18" i="2"/>
  <c r="B21" i="2" s="1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2" i="7" s="1"/>
  <c r="B2" i="8" s="1"/>
  <c r="C2" i="9" s="1"/>
  <c r="E14" i="3"/>
  <c r="I14" i="3"/>
  <c r="G14" i="3"/>
  <c r="G20" i="2"/>
  <c r="K20" i="2"/>
  <c r="D20" i="2"/>
  <c r="J20" i="2"/>
  <c r="C20" i="2"/>
  <c r="E20" i="2"/>
  <c r="L12" i="1"/>
  <c r="L13" i="1" s="1"/>
  <c r="L14" i="1" s="1"/>
  <c r="L25" i="1" s="1"/>
  <c r="L11" i="1"/>
  <c r="L10" i="1"/>
  <c r="N11" i="1" s="1"/>
  <c r="L6" i="1"/>
  <c r="A1" i="3"/>
  <c r="A1" i="2"/>
  <c r="A1" i="4"/>
  <c r="H23" i="1"/>
  <c r="I23" i="1"/>
  <c r="J23" i="1"/>
  <c r="P7" i="9" l="1"/>
  <c r="P34" i="9"/>
  <c r="P38" i="9"/>
  <c r="F21" i="7"/>
  <c r="F23" i="7" s="1"/>
  <c r="D11" i="9"/>
  <c r="D52" i="9" s="1"/>
  <c r="D62" i="9" s="1"/>
  <c r="H18" i="7"/>
  <c r="F50" i="9"/>
  <c r="G18" i="7"/>
  <c r="E50" i="9"/>
  <c r="M21" i="7"/>
  <c r="M23" i="7" s="1"/>
  <c r="K11" i="9"/>
  <c r="K52" i="9" s="1"/>
  <c r="K62" i="9" s="1"/>
  <c r="N18" i="7"/>
  <c r="L50" i="9"/>
  <c r="P36" i="9"/>
  <c r="J21" i="7"/>
  <c r="J23" i="7" s="1"/>
  <c r="H11" i="9"/>
  <c r="H52" i="9" s="1"/>
  <c r="H62" i="9" s="1"/>
  <c r="L18" i="7"/>
  <c r="J50" i="9"/>
  <c r="E21" i="7"/>
  <c r="E23" i="7" s="1"/>
  <c r="C11" i="9"/>
  <c r="I18" i="7"/>
  <c r="G50" i="9"/>
  <c r="K18" i="7"/>
  <c r="I50" i="9"/>
  <c r="G14" i="1"/>
  <c r="H13" i="1"/>
  <c r="B23" i="2"/>
  <c r="E23" i="2"/>
  <c r="L5" i="1"/>
  <c r="K23" i="2"/>
  <c r="K24" i="2"/>
  <c r="C14" i="1"/>
  <c r="J14" i="1"/>
  <c r="G16" i="2"/>
  <c r="E24" i="2"/>
  <c r="B14" i="1"/>
  <c r="C23" i="2"/>
  <c r="J24" i="2"/>
  <c r="D24" i="2"/>
  <c r="M11" i="1"/>
  <c r="I24" i="2"/>
  <c r="L4" i="1"/>
  <c r="L23" i="1" s="1"/>
  <c r="I14" i="1"/>
  <c r="K25" i="1" s="1"/>
  <c r="M25" i="1" s="1"/>
  <c r="M14" i="1" s="1"/>
  <c r="C24" i="2"/>
  <c r="H24" i="2"/>
  <c r="H14" i="1"/>
  <c r="G24" i="2"/>
  <c r="D13" i="1"/>
  <c r="E13" i="1" s="1"/>
  <c r="E14" i="1" s="1"/>
  <c r="I25" i="1" s="1"/>
  <c r="J23" i="2"/>
  <c r="H24" i="1"/>
  <c r="I6" i="1"/>
  <c r="I19" i="1" s="1"/>
  <c r="K24" i="1" s="1"/>
  <c r="E1" i="2"/>
  <c r="I23" i="2"/>
  <c r="F24" i="2"/>
  <c r="J25" i="1"/>
  <c r="M9" i="1"/>
  <c r="N9" i="1"/>
  <c r="N8" i="1"/>
  <c r="M8" i="1"/>
  <c r="I20" i="2"/>
  <c r="H20" i="2"/>
  <c r="K23" i="1"/>
  <c r="H6" i="1"/>
  <c r="H19" i="1" s="1"/>
  <c r="J24" i="1" s="1"/>
  <c r="F6" i="1"/>
  <c r="F19" i="1" s="1"/>
  <c r="E1" i="4"/>
  <c r="P8" i="9" l="1"/>
  <c r="P49" i="9"/>
  <c r="G21" i="7"/>
  <c r="G23" i="7" s="1"/>
  <c r="E11" i="9"/>
  <c r="E52" i="9" s="1"/>
  <c r="E62" i="9" s="1"/>
  <c r="K21" i="7"/>
  <c r="K23" i="7" s="1"/>
  <c r="I11" i="9"/>
  <c r="I52" i="9" s="1"/>
  <c r="I62" i="9" s="1"/>
  <c r="N21" i="7"/>
  <c r="N23" i="7" s="1"/>
  <c r="L11" i="9"/>
  <c r="L52" i="9" s="1"/>
  <c r="L62" i="9" s="1"/>
  <c r="L21" i="7"/>
  <c r="L23" i="7" s="1"/>
  <c r="J11" i="9"/>
  <c r="J52" i="9" s="1"/>
  <c r="J62" i="9" s="1"/>
  <c r="P43" i="9"/>
  <c r="I21" i="7"/>
  <c r="I23" i="7" s="1"/>
  <c r="G11" i="9"/>
  <c r="G52" i="9" s="1"/>
  <c r="G62" i="9" s="1"/>
  <c r="C52" i="9"/>
  <c r="C62" i="9" s="1"/>
  <c r="H21" i="7"/>
  <c r="H23" i="7" s="1"/>
  <c r="F11" i="9"/>
  <c r="F52" i="9" s="1"/>
  <c r="F62" i="9" s="1"/>
  <c r="P42" i="9"/>
  <c r="I24" i="1"/>
  <c r="N23" i="1"/>
  <c r="N4" i="1" s="1"/>
  <c r="D14" i="1"/>
  <c r="H25" i="1" s="1"/>
  <c r="N25" i="1" s="1"/>
  <c r="N14" i="1" s="1"/>
  <c r="M23" i="1"/>
  <c r="M4" i="1" s="1"/>
  <c r="M6" i="1" s="1"/>
  <c r="M10" i="1" s="1"/>
  <c r="M12" i="1" s="1"/>
  <c r="M13" i="1" s="1"/>
  <c r="M15" i="1" s="1"/>
  <c r="L19" i="1"/>
  <c r="L24" i="1" s="1"/>
  <c r="M24" i="1" s="1"/>
  <c r="P50" i="9" l="1"/>
  <c r="P61" i="9"/>
  <c r="N24" i="1"/>
  <c r="N6" i="1" s="1"/>
  <c r="M5" i="1"/>
  <c r="P62" i="9" l="1"/>
  <c r="N10" i="1"/>
  <c r="N12" i="1" s="1"/>
  <c r="N13" i="1" s="1"/>
  <c r="N15" i="1" s="1"/>
  <c r="N5" i="1"/>
  <c r="B30" i="8" l="1"/>
  <c r="B29" i="8"/>
  <c r="B37" i="8"/>
  <c r="B39" i="8" l="1"/>
  <c r="B41" i="8"/>
  <c r="B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<sst xmlns="http://schemas.openxmlformats.org/spreadsheetml/2006/main" count="402" uniqueCount="270">
  <si>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</si>
  <si>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</si>
  <si>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</si>
  <si>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</si>
  <si>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</si>
  <si>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</si>
  <si>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</si>
  <si>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</si>
  <si>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</si>
  <si>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</si>
  <si>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</si>
  <si>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</si>
  <si>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</si>
  <si>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</si>
  <si>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</si>
  <si>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</si>
  <si>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</si>
  <si>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</si>
  <si>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</si>
  <si>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</si>
  <si>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</si>
  <si>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</si>
  <si>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</si>
  <si>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</si>
  <si>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</si>
  <si>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</si>
  <si>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</si>
  <si>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</si>
  <si>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</si>
  <si>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</si>
  <si>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</si>
  <si>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</si>
  <si>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</si>
  <si>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</si>
  <si>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</si>
  <si>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</si>
  <si>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</si>
  <si>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</si>
  <si>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</si>
  <si>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</si>
  <si>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</si>
  <si>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</si>
  <si>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</si>
  <si>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</si>
  <si>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</si>
  <si>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</si>
  <si>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</si>
  <si>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</si>
  <si>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</si>
  <si>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</si>
  <si>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</si>
  <si>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</si>
  <si>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</si>
  <si>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</si>
  <si>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</si>
  <si>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</si>
  <si>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</si>
  <si>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</si>
  <si>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</si>
  <si>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</si>
  <si>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</si>
  <si>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</si>
  <si>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</si>
  <si>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MAHINDRA &amp; MAHINDRA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</si>
  <si>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</si>
  <si>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</si>
  <si>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</si>
  <si>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</si>
  <si>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</si>
  <si>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</si>
  <si>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</si>
  <si>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</si>
  <si>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</si>
  <si>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</si>
  <si>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</si>
  <si>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</si>
  <si>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</si>
  <si>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</si>
  <si>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</si>
  <si>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</si>
  <si>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</si>
  <si>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</si>
  <si>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</si>
  <si>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</si>
  <si>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</si>
  <si>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</si>
  <si>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</si>
  <si>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</si>
  <si>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</si>
  <si>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</si>
  <si>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</si>
  <si>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</si>
  <si>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</si>
  <si>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PROFIT &amp; LOSS SUMMARY</t>
  </si>
  <si>
    <t>Screener Gives us the values in CRORES</t>
  </si>
  <si>
    <t>All Nos. Here will be in Millions (*10)</t>
  </si>
  <si>
    <t>12M</t>
  </si>
  <si>
    <t>Period Ending 31st March</t>
  </si>
  <si>
    <t>Audited</t>
  </si>
  <si>
    <t>Gross Revenue</t>
  </si>
  <si>
    <t>(-)COGS</t>
  </si>
  <si>
    <t>Gross Profit</t>
  </si>
  <si>
    <t>(-)SG&amp;A</t>
  </si>
  <si>
    <t>EBITDA</t>
  </si>
  <si>
    <t>(-)D&amp;A</t>
  </si>
  <si>
    <t>EBIT</t>
  </si>
  <si>
    <t>(-)Interest Expense</t>
  </si>
  <si>
    <t>(+/-)Other Income</t>
  </si>
  <si>
    <t>EBT</t>
  </si>
  <si>
    <t>(-)Tax</t>
  </si>
  <si>
    <t>EAT (Before Minority Interest)</t>
  </si>
  <si>
    <t>(-)Minority Interest</t>
  </si>
  <si>
    <t>EAT (For Shareholders)</t>
  </si>
  <si>
    <t>Total Dividend</t>
  </si>
  <si>
    <t>O/S Shares</t>
  </si>
  <si>
    <t>Dividend Per Share (DPS) (Appx.)</t>
  </si>
  <si>
    <t>Earning Per Share (EPS) (Appx.)</t>
  </si>
  <si>
    <t>Dividend Payout Ratio (Appx.)</t>
  </si>
  <si>
    <r>
      <t xml:space="preserve">If I am Earning 100 rs then I am paying 38 rs as a dividend. </t>
    </r>
    <r>
      <rPr>
        <b/>
        <sz val="11"/>
        <color theme="1"/>
        <rFont val="Calibri"/>
        <family val="2"/>
        <scheme val="minor"/>
      </rPr>
      <t>The observation:</t>
    </r>
    <r>
      <rPr>
        <sz val="11"/>
        <color theme="1"/>
        <rFont val="Calibri"/>
        <family val="2"/>
        <scheme val="minor"/>
      </rPr>
      <t xml:space="preserve"> Here the company is decreasing the DPR which means the company is retaining more for future growth.</t>
    </r>
  </si>
  <si>
    <t>Retention Ratio (Appx.)</t>
  </si>
  <si>
    <t>COGS (In Millions)</t>
  </si>
  <si>
    <t>COGS = Opening Cost + Production Cost -Closing Stock</t>
  </si>
  <si>
    <t>COGS = Production Cost + (Op. Stock-Closing Stock)</t>
  </si>
  <si>
    <t>COGS = Production Cost - (Closing Stock - Opening Cost)</t>
  </si>
  <si>
    <t>COGS = Production Cost - Change In Inventory</t>
  </si>
  <si>
    <t>BALANCE SHEET SUMMARY</t>
  </si>
  <si>
    <t>ASSETS</t>
  </si>
  <si>
    <t>Current Assets</t>
  </si>
  <si>
    <t>Short Term Loans and Others</t>
  </si>
  <si>
    <t>Non Current Assets</t>
  </si>
  <si>
    <t>TOTAL ASSETS</t>
  </si>
  <si>
    <t>LIABILITY</t>
  </si>
  <si>
    <t>TOTAL LIABILTY</t>
  </si>
  <si>
    <t>TOTAL LIABILITY + TOTAL EQUITY</t>
  </si>
  <si>
    <t>CHECKSUM</t>
  </si>
  <si>
    <t>Preference Capital</t>
  </si>
  <si>
    <t>Hardcoded Values are in Blue. Directly taken from Screener. Edit for every other company. Don't forget to multiply the values with 10.</t>
  </si>
  <si>
    <t>Minority Interest/Non-Controlling Interest</t>
  </si>
  <si>
    <t>Checksum</t>
  </si>
  <si>
    <r>
      <t xml:space="preserve">Borrowings = Long term Borrowings + Short Term Borrowings + Lease Liabilities + </t>
    </r>
    <r>
      <rPr>
        <b/>
        <sz val="11"/>
        <color theme="1"/>
        <rFont val="Calibri"/>
        <family val="2"/>
        <scheme val="minor"/>
      </rPr>
      <t>Prefernce Capital</t>
    </r>
    <r>
      <rPr>
        <sz val="11"/>
        <color theme="1"/>
        <rFont val="Calibri"/>
        <family val="2"/>
        <scheme val="minor"/>
      </rPr>
      <t xml:space="preserve"> + Other Borrowings</t>
    </r>
  </si>
  <si>
    <r>
      <t xml:space="preserve">Other Liabilities = </t>
    </r>
    <r>
      <rPr>
        <b/>
        <sz val="11"/>
        <color theme="1"/>
        <rFont val="Calibri"/>
        <family val="2"/>
        <scheme val="minor"/>
      </rPr>
      <t>Non Controlling Interest</t>
    </r>
    <r>
      <rPr>
        <sz val="11"/>
        <color theme="1"/>
        <rFont val="Calibri"/>
        <family val="2"/>
        <scheme val="minor"/>
      </rPr>
      <t xml:space="preserve"> + Trade Payables + Advance from Customers + Other Liability Items</t>
    </r>
  </si>
  <si>
    <t>Other Liabilities = Accounts payables + Advances From Customers + Other Liability Items + Minority Interest</t>
  </si>
  <si>
    <t>Net Block = Total Assets - Depreciation</t>
  </si>
  <si>
    <t>Short Term Loans And Other Assets = Other Assets - (Receivables + Inventory + Cash &amp; Bank)</t>
  </si>
  <si>
    <r>
      <t xml:space="preserve">Long Term Borrowings </t>
    </r>
    <r>
      <rPr>
        <b/>
        <sz val="11"/>
        <color theme="1"/>
        <rFont val="Calibri"/>
        <family val="2"/>
        <scheme val="minor"/>
      </rPr>
      <t>(NCL)</t>
    </r>
  </si>
  <si>
    <r>
      <t xml:space="preserve">Lease Liabilities </t>
    </r>
    <r>
      <rPr>
        <b/>
        <sz val="11"/>
        <color theme="1"/>
        <rFont val="Calibri"/>
        <family val="2"/>
        <scheme val="minor"/>
      </rPr>
      <t>(NCL)</t>
    </r>
  </si>
  <si>
    <r>
      <t xml:space="preserve">Short Term Borrowings </t>
    </r>
    <r>
      <rPr>
        <b/>
        <sz val="11"/>
        <color theme="1"/>
        <rFont val="Calibri"/>
        <family val="2"/>
        <scheme val="minor"/>
      </rPr>
      <t>(CL)</t>
    </r>
  </si>
  <si>
    <r>
      <t xml:space="preserve">Other Borrowings </t>
    </r>
    <r>
      <rPr>
        <b/>
        <sz val="11"/>
        <color theme="1"/>
        <rFont val="Calibri"/>
        <family val="2"/>
        <scheme val="minor"/>
      </rPr>
      <t>(CL)</t>
    </r>
  </si>
  <si>
    <r>
      <t xml:space="preserve">Trade Payables </t>
    </r>
    <r>
      <rPr>
        <b/>
        <sz val="11"/>
        <color theme="1"/>
        <rFont val="Calibri"/>
        <family val="2"/>
        <scheme val="minor"/>
      </rPr>
      <t>(CL)</t>
    </r>
  </si>
  <si>
    <r>
      <t xml:space="preserve">Advance from Customers </t>
    </r>
    <r>
      <rPr>
        <b/>
        <sz val="11"/>
        <color theme="1"/>
        <rFont val="Calibri"/>
        <family val="2"/>
        <scheme val="minor"/>
      </rPr>
      <t>(CL)</t>
    </r>
  </si>
  <si>
    <r>
      <t xml:space="preserve">Other Liability Items </t>
    </r>
    <r>
      <rPr>
        <b/>
        <sz val="11"/>
        <color theme="1"/>
        <rFont val="Calibri"/>
        <family val="2"/>
        <scheme val="minor"/>
      </rPr>
      <t>(CL)</t>
    </r>
  </si>
  <si>
    <t>RATIOS SUMMARY</t>
  </si>
  <si>
    <t>Ratios</t>
  </si>
  <si>
    <t>Formula</t>
  </si>
  <si>
    <t>Profitability Ratios</t>
  </si>
  <si>
    <t>Gross Profit Ratio</t>
  </si>
  <si>
    <t>as a % of Revenue</t>
  </si>
  <si>
    <t>Z-Score = (Value-Average)/Standard Deviation</t>
  </si>
  <si>
    <t>Operating Profit Ratio</t>
  </si>
  <si>
    <t>Z-Score tells us that how many times a value is away from the Average</t>
  </si>
  <si>
    <t>Net Profit Ratio (A)</t>
  </si>
  <si>
    <t xml:space="preserve">Variance = [(each data point in the data set - Mean of the data)^2] / Total Number of Datapoints </t>
  </si>
  <si>
    <t>Tax Rate</t>
  </si>
  <si>
    <t xml:space="preserve">Tax / Profit Before Tax </t>
  </si>
  <si>
    <t>Standard Deviation = Square root of Variance</t>
  </si>
  <si>
    <t>Other Ratios</t>
  </si>
  <si>
    <t>Liquid Ratios</t>
  </si>
  <si>
    <t>Current Ratio</t>
  </si>
  <si>
    <t>CA / CL</t>
  </si>
  <si>
    <t>Quick Ratio</t>
  </si>
  <si>
    <t>(CA - Prepaid Expenses - Inventory) / CL</t>
  </si>
  <si>
    <t>Days in Period</t>
  </si>
  <si>
    <t>(CA-CL)</t>
  </si>
  <si>
    <t>Efficiency Ratios</t>
  </si>
  <si>
    <t>Inventory Turnover Ratio</t>
  </si>
  <si>
    <t>365 / Inventory Turnover Ratio</t>
  </si>
  <si>
    <t>Accounts Receivable Ratio</t>
  </si>
  <si>
    <t>365 / Accounts Receivable Ratio</t>
  </si>
  <si>
    <t>Accounts Payable Ratio</t>
  </si>
  <si>
    <t>365 / Accounts Payable Ratio</t>
  </si>
  <si>
    <t>PP&amp;E Turnover Ratio</t>
  </si>
  <si>
    <t>Working Capital Turnover</t>
  </si>
  <si>
    <t>Total Asset Turnover Ratio (B)</t>
  </si>
  <si>
    <t>Cash Conversion Cycle</t>
  </si>
  <si>
    <t>Operating Cash Cycle</t>
  </si>
  <si>
    <t>Receivable Days - Payable Days</t>
  </si>
  <si>
    <t>Leverage Ratios (Solvency Ratios)</t>
  </si>
  <si>
    <t>Debt to Equity</t>
  </si>
  <si>
    <t>Debt to Capital</t>
  </si>
  <si>
    <t>Equity Multipleir / Financial Leverage (C)</t>
  </si>
  <si>
    <t>Interest Coverage Ratio</t>
  </si>
  <si>
    <t>EBIT / Interest Expense</t>
  </si>
  <si>
    <t>Debt Service Coverage Ratio</t>
  </si>
  <si>
    <t>Net Operating Profit After Tax (NOPAT)</t>
  </si>
  <si>
    <t>EBIT * (1-Tax)</t>
  </si>
  <si>
    <t>Rates of Return (Profitability Ratios)</t>
  </si>
  <si>
    <t>Return on Equity (A*B*C)</t>
  </si>
  <si>
    <t>Return on Assets</t>
  </si>
  <si>
    <t>Net Profit / Total Assets</t>
  </si>
  <si>
    <t>Return on Invested Capital (ROIC)</t>
  </si>
  <si>
    <t>Net Profit</t>
  </si>
  <si>
    <t>Revenue</t>
  </si>
  <si>
    <t>Total Asset</t>
  </si>
  <si>
    <t>COGS / Inventory</t>
  </si>
  <si>
    <t>Revenue / Receivables</t>
  </si>
  <si>
    <t>Revenue / Total Assets</t>
  </si>
  <si>
    <t>Inventory Days (DIO)</t>
  </si>
  <si>
    <t>Accounts Receivable Days (DSO)</t>
  </si>
  <si>
    <t>Accounts Payable Days (DPO)</t>
  </si>
  <si>
    <t>DIO + DSO - DPO</t>
  </si>
  <si>
    <t>COGS / Accounts Payables</t>
  </si>
  <si>
    <t>Revenue / Working Capital</t>
  </si>
  <si>
    <t>Z-Score for the Last Year (2024)</t>
  </si>
  <si>
    <t>Price to Earning Ratio</t>
  </si>
  <si>
    <t>Price to Book Value Ratio</t>
  </si>
  <si>
    <t>EV / Revenue</t>
  </si>
  <si>
    <t>EV / EBITDA</t>
  </si>
  <si>
    <t>EV / EBIT</t>
  </si>
  <si>
    <t>EBIT / Capital Employed</t>
  </si>
  <si>
    <t>Capital Employed</t>
  </si>
  <si>
    <t>NOPAT / Invested Capital</t>
  </si>
  <si>
    <t>Invested Capital</t>
  </si>
  <si>
    <t>Total Debt</t>
  </si>
  <si>
    <t>Net Profit / Shareholder's Equity</t>
  </si>
  <si>
    <t>EQUITY</t>
  </si>
  <si>
    <t>TOTAL EQUITY</t>
  </si>
  <si>
    <t>Tangible Book Value</t>
  </si>
  <si>
    <t>Total Assets - Total Liabilities - Intangible Assets</t>
  </si>
  <si>
    <t>Tangible Book Value Per Share</t>
  </si>
  <si>
    <t>Valuataion Ratios</t>
  </si>
  <si>
    <t>Enterprise Value</t>
  </si>
  <si>
    <t>Market Value + Debt + Minority Interest  - Cash</t>
  </si>
  <si>
    <t xml:space="preserve">Market Value </t>
  </si>
  <si>
    <t>Market Price * O/S Share</t>
  </si>
  <si>
    <t>Short Term Brrwngs + Long Term Brrwngs + Lease Liabilities + Other Brrwngs</t>
  </si>
  <si>
    <t>Total Debt / Shareholder's Equity</t>
  </si>
  <si>
    <t>Capital Employed - Cash &amp; Bank - Short Term Loans &amp; Others</t>
  </si>
  <si>
    <t>Shareholder's Equity</t>
  </si>
  <si>
    <t>Equity Share Capital + Reserves</t>
  </si>
  <si>
    <t>Total Assets / Shareholder's Equity</t>
  </si>
  <si>
    <t>EBIT / Principal (Short Term and Long Term Brrwngs) + Interest</t>
  </si>
  <si>
    <t>Revenue / PP&amp;E or Net Block</t>
  </si>
  <si>
    <t>LOOKUP RATIOS 🎯</t>
  </si>
  <si>
    <t>DROPDOWN LIST (Alt + ⬇️)</t>
  </si>
  <si>
    <t>Enterprise Value to Revenue</t>
  </si>
  <si>
    <t>Enterprise Value to EBITDA</t>
  </si>
  <si>
    <t>Enterprise Value to EBIT</t>
  </si>
  <si>
    <t>Return on Capital Employed (ROCE)</t>
  </si>
  <si>
    <t>ROE Dupont Analysis</t>
  </si>
  <si>
    <t>Total Debt + Shareholder's Equity - Short Term Brrwngs - Other Brrwngs</t>
  </si>
  <si>
    <t>Notes</t>
  </si>
  <si>
    <t>In some cases Short term Loans and Others are not included like in this one (M&amp;M)</t>
  </si>
  <si>
    <t>Total Debt / Total Debt + Shareholder's Equity</t>
  </si>
  <si>
    <t>Current Market Price Per Share / Earnings Per Share</t>
  </si>
  <si>
    <t>Current Market Price Per Share / Book Value Per Share</t>
  </si>
  <si>
    <t xml:space="preserve"> </t>
  </si>
  <si>
    <t>Working Capital is actually in the business point of view is calculated as a CA (Net of Cash and ST Investments) - CL (Net of ST Borrowings)</t>
  </si>
  <si>
    <t>5 years average / median can be a better indicator rather than a 10year span to do Trend Analysis</t>
  </si>
  <si>
    <t xml:space="preserve">CAGR = </t>
  </si>
  <si>
    <t>CAGR = ((end value / initial value)^(1/n))-1</t>
  </si>
  <si>
    <t>Book Value Per Share = Book Value / O/S Shares</t>
  </si>
  <si>
    <t>Compound Annual Growth Rate</t>
  </si>
  <si>
    <t>CAGR (Compound Annual Growth Rate) is typically used to measure the growth rate of various financial metrics over a specific period</t>
  </si>
  <si>
    <t>Tangible BV / O/S Share</t>
  </si>
  <si>
    <t>Median (Last 5Yrs)</t>
  </si>
  <si>
    <t>Average (Last 5Yrs)</t>
  </si>
  <si>
    <t>Standard Deviation (Last 5Yrs)</t>
  </si>
  <si>
    <t>CAGR (Last 5Yrs)</t>
  </si>
  <si>
    <t>CAGR = ((FV/PV)^(1/n))-1</t>
  </si>
  <si>
    <t>CAGR - Last 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</si>
</sst>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mmm\-yyyy"/>
    <numFmt numFmtId="167" formatCode="[$₹-4009]\ #,##0.00;[Red][$₹-4009]\ \-#,##0.00"/>
    <numFmt numFmtId="168" formatCode="0.00_);[Red]\(0.00\)"/>
    <numFmt numFmtId="169" formatCode="0.000000000000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medium">
        <color auto="1"/>
      </top>
      <bottom style="medium">
        <color auto="1"/>
      </bottom>
      <diagonal style="thin">
        <color auto="1"/>
      </diagonal>
    </border>
    <border diagonalUp="1" diagonalDown="1">
      <left style="thin">
        <color auto="1"/>
      </left>
      <right style="medium">
        <color indexed="64"/>
      </right>
      <top style="medium">
        <color auto="1"/>
      </top>
      <bottom/>
      <diagonal style="thin">
        <color auto="1"/>
      </diagonal>
    </border>
    <border diagonalUp="1" diagonalDown="1">
      <left style="thin">
        <color auto="1"/>
      </left>
      <right style="medium">
        <color indexed="64"/>
      </right>
      <top/>
      <bottom/>
      <diagonal style="thin">
        <color auto="1"/>
      </diagonal>
    </border>
    <border diagonalUp="1" diagonalDown="1">
      <left style="thin">
        <color auto="1"/>
      </left>
      <right style="medium">
        <color indexed="64"/>
      </right>
      <top/>
      <bottom style="medium">
        <color auto="1"/>
      </bottom>
      <diagonal style="thin">
        <color auto="1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5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2" xfId="0" applyFont="1" applyBorder="1"/>
    <xf numFmtId="0" fontId="0" fillId="0" borderId="2" xfId="0" applyBorder="1"/>
    <xf numFmtId="167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0" fontId="0" fillId="0" borderId="0" xfId="0" applyNumberFormat="1" applyAlignment="1">
      <alignment horizontal="center"/>
    </xf>
    <xf numFmtId="0" fontId="1" fillId="0" borderId="0" xfId="7" applyNumberFormat="1" applyFont="1" applyBorder="1"/>
    <xf numFmtId="164" fontId="1" fillId="0" borderId="0" xfId="7" applyFont="1" applyBorder="1"/>
    <xf numFmtId="164" fontId="3" fillId="0" borderId="0" xfId="7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7" fontId="10" fillId="0" borderId="0" xfId="0" applyNumberFormat="1" applyFont="1" applyAlignment="1">
      <alignment horizontal="center"/>
    </xf>
    <xf numFmtId="9" fontId="0" fillId="0" borderId="0" xfId="6" applyFont="1"/>
    <xf numFmtId="167" fontId="9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0" xfId="7" applyFont="1" applyBorder="1"/>
    <xf numFmtId="0" fontId="0" fillId="6" borderId="0" xfId="0" applyFont="1" applyFill="1" applyAlignment="1">
      <alignment horizontal="right"/>
    </xf>
    <xf numFmtId="167" fontId="9" fillId="6" borderId="0" xfId="0" applyNumberFormat="1" applyFont="1" applyFill="1" applyAlignment="1">
      <alignment horizontal="center"/>
    </xf>
    <xf numFmtId="167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Font="1"/>
    <xf numFmtId="0" fontId="7" fillId="12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0" fontId="7" fillId="13" borderId="0" xfId="0" applyFont="1" applyFill="1"/>
    <xf numFmtId="0" fontId="0" fillId="13" borderId="0" xfId="0" applyFill="1" applyAlignment="1">
      <alignment horizontal="center"/>
    </xf>
    <xf numFmtId="0" fontId="0" fillId="13" borderId="0" xfId="0" applyFill="1"/>
    <xf numFmtId="0" fontId="7" fillId="14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168" fontId="0" fillId="6" borderId="0" xfId="0" applyNumberFormat="1" applyFill="1" applyAlignment="1">
      <alignment horizontal="center"/>
    </xf>
    <xf numFmtId="10" fontId="0" fillId="15" borderId="0" xfId="0" applyNumberFormat="1" applyFill="1" applyAlignment="1">
      <alignment horizontal="center"/>
    </xf>
    <xf numFmtId="0" fontId="13" fillId="15" borderId="0" xfId="0" applyFont="1" applyFill="1"/>
    <xf numFmtId="0" fontId="10" fillId="15" borderId="0" xfId="0" applyFont="1" applyFill="1" applyAlignment="1">
      <alignment horizontal="center"/>
    </xf>
    <xf numFmtId="167" fontId="0" fillId="15" borderId="0" xfId="0" applyNumberFormat="1" applyFill="1" applyAlignment="1">
      <alignment horizontal="center"/>
    </xf>
    <xf numFmtId="0" fontId="0" fillId="15" borderId="0" xfId="0" applyFont="1" applyFill="1"/>
    <xf numFmtId="0" fontId="1" fillId="15" borderId="0" xfId="0" applyFont="1" applyFill="1"/>
    <xf numFmtId="0" fontId="0" fillId="15" borderId="0" xfId="0" applyFill="1"/>
    <xf numFmtId="0" fontId="12" fillId="16" borderId="0" xfId="0" applyFont="1" applyFill="1"/>
    <xf numFmtId="0" fontId="13" fillId="16" borderId="0" xfId="0" applyFont="1" applyFill="1"/>
    <xf numFmtId="0" fontId="12" fillId="17" borderId="0" xfId="0" applyFont="1" applyFill="1"/>
    <xf numFmtId="0" fontId="0" fillId="16" borderId="0" xfId="0" applyFont="1" applyFill="1"/>
    <xf numFmtId="0" fontId="13" fillId="0" borderId="1" xfId="0" applyFont="1" applyBorder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68" fontId="0" fillId="0" borderId="8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168" fontId="0" fillId="0" borderId="18" xfId="0" applyNumberFormat="1" applyBorder="1" applyAlignment="1">
      <alignment horizontal="center"/>
    </xf>
    <xf numFmtId="168" fontId="0" fillId="0" borderId="19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13" fillId="18" borderId="0" xfId="0" applyFont="1" applyFill="1"/>
    <xf numFmtId="167" fontId="0" fillId="18" borderId="0" xfId="0" applyNumberFormat="1" applyFill="1" applyAlignment="1">
      <alignment horizontal="center"/>
    </xf>
    <xf numFmtId="0" fontId="0" fillId="18" borderId="0" xfId="0" applyFont="1" applyFill="1"/>
    <xf numFmtId="0" fontId="0" fillId="0" borderId="20" xfId="0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24" xfId="0" applyNumberFormat="1" applyBorder="1" applyAlignment="1">
      <alignment horizontal="center"/>
    </xf>
    <xf numFmtId="10" fontId="0" fillId="0" borderId="20" xfId="6" applyNumberFormat="1" applyFont="1" applyBorder="1" applyAlignment="1">
      <alignment horizontal="center"/>
    </xf>
    <xf numFmtId="10" fontId="0" fillId="0" borderId="0" xfId="6" applyNumberFormat="1" applyFont="1" applyBorder="1" applyAlignment="1">
      <alignment horizontal="center"/>
    </xf>
    <xf numFmtId="10" fontId="0" fillId="0" borderId="24" xfId="6" applyNumberFormat="1" applyFon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0" fillId="0" borderId="27" xfId="0" applyNumberFormat="1" applyBorder="1" applyAlignment="1">
      <alignment horizontal="center"/>
    </xf>
    <xf numFmtId="0" fontId="1" fillId="0" borderId="28" xfId="0" applyFont="1" applyBorder="1"/>
    <xf numFmtId="0" fontId="0" fillId="0" borderId="21" xfId="0" applyBorder="1"/>
    <xf numFmtId="0" fontId="0" fillId="0" borderId="27" xfId="0" applyBorder="1"/>
    <xf numFmtId="0" fontId="1" fillId="0" borderId="11" xfId="0" applyFont="1" applyBorder="1"/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8">
    <cellStyle name="60% - Accent1" xfId="3" builtinId="32"/>
    <cellStyle name="60% - Accent3" xfId="4" builtinId="40"/>
    <cellStyle name="Accent6" xfId="5" builtinId="49"/>
    <cellStyle name="Comma" xfId="1" builtinId="3"/>
    <cellStyle name="Comma 10 2" xfId="7" xr:uid="{D0DBFCF8-E3A8-47E4-BB3F-57D153ED5802}"/>
    <cellStyle name="Hyperlink" xfId="2" builtinId="8"/>
    <cellStyle name="Normal" xfId="0" builtinId="0"/>
    <cellStyle name="Percent" xfId="6" builtinId="5"/>
  </cellStyles>
  <dxfs count="39">
    <dxf>
      <font>
        <b/>
        <i val="0"/>
        <color theme="0"/>
      </font>
      <fill>
        <patternFill>
          <bgColor theme="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Profitability Ratios Over the Last 5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dk1">
              <a:lumMod val="50000"/>
              <a:lumOff val="50000"/>
            </a:schemeClr>
          </a:solidFill>
          <a:round/>
        </a:ln>
        <a:effectLst/>
        <a:sp3d contourW="9525">
          <a:contourClr>
            <a:schemeClr val="dk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Charts!$C$3:$C$4</c:f>
              <c:strCache>
                <c:ptCount val="2"/>
                <c:pt idx="0">
                  <c:v>Mar-2020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brightRoom" dir="tl">
                <a:rot lat="0" lon="0" rev="1800000"/>
              </a:lightRig>
            </a:scene3d>
            <a:sp3d prstMaterial="dkEdge">
              <a:bevelT w="38100" h="50800" prst="angle"/>
              <a:contourClr>
                <a:scrgbClr r="0" g="0" b="0">
                  <a:shade val="40000"/>
                  <a:satMod val="150000"/>
                </a:scrgbClr>
              </a:contourClr>
            </a:sp3d>
          </c:spPr>
          <c:cat>
            <c:strRef>
              <c:f>Charts!$B$5:$B$7</c:f>
              <c:strCache>
                <c:ptCount val="3"/>
                <c:pt idx="0">
                  <c:v>Gross Profit Ratio</c:v>
                </c:pt>
                <c:pt idx="1">
                  <c:v>Operating Profit Ratio</c:v>
                </c:pt>
                <c:pt idx="2">
                  <c:v>Net Profit Ratio (A)</c:v>
                </c:pt>
              </c:strCache>
            </c:strRef>
          </c:cat>
          <c:val>
            <c:numRef>
              <c:f>Charts!$C$5:$C$7</c:f>
              <c:numCache>
                <c:formatCode>0.00%</c:formatCode>
                <c:ptCount val="3"/>
                <c:pt idx="0">
                  <c:v>0.4397778088196998</c:v>
                </c:pt>
                <c:pt idx="1">
                  <c:v>0.13475046340681365</c:v>
                </c:pt>
                <c:pt idx="2">
                  <c:v>1.6852845237578823E-3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E-4E09-A4B3-0F213353641D}"/>
            </c:ext>
          </c:extLst>
        </c:ser>
        <c:ser>
          <c:idx val="1"/>
          <c:order val="1"/>
          <c:tx>
            <c:strRef>
              <c:f>Charts!$D$3:$D$4</c:f>
              <c:strCache>
                <c:ptCount val="2"/>
                <c:pt idx="0">
                  <c:v>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brightRoom" dir="tl">
                <a:rot lat="0" lon="0" rev="1800000"/>
              </a:lightRig>
            </a:scene3d>
            <a:sp3d prstMaterial="dkEdge">
              <a:bevelT w="38100" h="50800" prst="angle"/>
              <a:contourClr>
                <a:scrgbClr r="0" g="0" b="0">
                  <a:shade val="40000"/>
                  <a:satMod val="150000"/>
                </a:scrgbClr>
              </a:contourClr>
            </a:sp3d>
          </c:spPr>
          <c:cat>
            <c:strRef>
              <c:f>Charts!$B$5:$B$7</c:f>
              <c:strCache>
                <c:ptCount val="3"/>
                <c:pt idx="0">
                  <c:v>Gross Profit Ratio</c:v>
                </c:pt>
                <c:pt idx="1">
                  <c:v>Operating Profit Ratio</c:v>
                </c:pt>
                <c:pt idx="2">
                  <c:v>Net Profit Ratio (A)</c:v>
                </c:pt>
              </c:strCache>
            </c:strRef>
          </c:cat>
          <c:val>
            <c:numRef>
              <c:f>Charts!$D$5:$D$7</c:f>
              <c:numCache>
                <c:formatCode>0.00%</c:formatCode>
                <c:ptCount val="3"/>
                <c:pt idx="0">
                  <c:v>0.44317466138594891</c:v>
                </c:pt>
                <c:pt idx="1">
                  <c:v>0.15464947929246145</c:v>
                </c:pt>
                <c:pt idx="2">
                  <c:v>2.4401510115138067E-2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E-4E09-A4B3-0F213353641D}"/>
            </c:ext>
          </c:extLst>
        </c:ser>
        <c:ser>
          <c:idx val="2"/>
          <c:order val="2"/>
          <c:tx>
            <c:strRef>
              <c:f>Charts!$E$3:$E$4</c:f>
              <c:strCache>
                <c:ptCount val="2"/>
                <c:pt idx="0">
                  <c:v>Mar-2022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brightRoom" dir="tl">
                <a:rot lat="0" lon="0" rev="1800000"/>
              </a:lightRig>
            </a:scene3d>
            <a:sp3d prstMaterial="dkEdge">
              <a:bevelT w="38100" h="50800" prst="angle"/>
              <a:contourClr>
                <a:scrgbClr r="0" g="0" b="0">
                  <a:shade val="40000"/>
                  <a:satMod val="150000"/>
                </a:scrgbClr>
              </a:contourClr>
            </a:sp3d>
          </c:spPr>
          <c:cat>
            <c:strRef>
              <c:f>Charts!$B$5:$B$7</c:f>
              <c:strCache>
                <c:ptCount val="3"/>
                <c:pt idx="0">
                  <c:v>Gross Profit Ratio</c:v>
                </c:pt>
                <c:pt idx="1">
                  <c:v>Operating Profit Ratio</c:v>
                </c:pt>
                <c:pt idx="2">
                  <c:v>Net Profit Ratio (A)</c:v>
                </c:pt>
              </c:strCache>
            </c:strRef>
          </c:cat>
          <c:val>
            <c:numRef>
              <c:f>Charts!$E$5:$E$7</c:f>
              <c:numCache>
                <c:formatCode>0.00%</c:formatCode>
                <c:ptCount val="3"/>
                <c:pt idx="0">
                  <c:v>0.38484663011445985</c:v>
                </c:pt>
                <c:pt idx="1">
                  <c:v>0.16283417083866739</c:v>
                </c:pt>
                <c:pt idx="2">
                  <c:v>7.2943089968267913E-2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7E-4E09-A4B3-0F213353641D}"/>
            </c:ext>
          </c:extLst>
        </c:ser>
        <c:ser>
          <c:idx val="3"/>
          <c:order val="3"/>
          <c:tx>
            <c:strRef>
              <c:f>Charts!$F$3:$F$4</c:f>
              <c:strCache>
                <c:ptCount val="2"/>
                <c:pt idx="0">
                  <c:v>Mar-2023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brightRoom" dir="tl">
                <a:rot lat="0" lon="0" rev="1800000"/>
              </a:lightRig>
            </a:scene3d>
            <a:sp3d prstMaterial="dkEdge">
              <a:bevelT w="38100" h="50800" prst="angle"/>
              <a:contourClr>
                <a:scrgbClr r="0" g="0" b="0">
                  <a:shade val="40000"/>
                  <a:satMod val="150000"/>
                </a:scrgbClr>
              </a:contourClr>
            </a:sp3d>
          </c:spPr>
          <c:cat>
            <c:strRef>
              <c:f>Charts!$B$5:$B$7</c:f>
              <c:strCache>
                <c:ptCount val="3"/>
                <c:pt idx="0">
                  <c:v>Gross Profit Ratio</c:v>
                </c:pt>
                <c:pt idx="1">
                  <c:v>Operating Profit Ratio</c:v>
                </c:pt>
                <c:pt idx="2">
                  <c:v>Net Profit Ratio (A)</c:v>
                </c:pt>
              </c:strCache>
            </c:strRef>
          </c:cat>
          <c:val>
            <c:numRef>
              <c:f>Charts!$F$5:$F$7</c:f>
              <c:numCache>
                <c:formatCode>0.00%</c:formatCode>
                <c:ptCount val="3"/>
                <c:pt idx="0">
                  <c:v>0.35138615906597392</c:v>
                </c:pt>
                <c:pt idx="1">
                  <c:v>0.1672757693565233</c:v>
                </c:pt>
                <c:pt idx="2">
                  <c:v>8.4782905378187501E-2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7E-4E09-A4B3-0F213353641D}"/>
            </c:ext>
          </c:extLst>
        </c:ser>
        <c:ser>
          <c:idx val="4"/>
          <c:order val="4"/>
          <c:tx>
            <c:strRef>
              <c:f>Charts!$G$3:$G$4</c:f>
              <c:strCache>
                <c:ptCount val="2"/>
                <c:pt idx="0">
                  <c:v>Mar-2024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cene3d>
              <a:camera prst="orthographicFront">
                <a:rot lat="0" lon="0" rev="0"/>
              </a:camera>
              <a:lightRig rig="brightRoom" dir="tl">
                <a:rot lat="0" lon="0" rev="1800000"/>
              </a:lightRig>
            </a:scene3d>
            <a:sp3d prstMaterial="dkEdge">
              <a:bevelT w="38100" h="50800" prst="angle"/>
              <a:contourClr>
                <a:scrgbClr r="0" g="0" b="0">
                  <a:shade val="40000"/>
                  <a:satMod val="150000"/>
                </a:scrgbClr>
              </a:contourClr>
            </a:sp3d>
          </c:spPr>
          <c:cat>
            <c:strRef>
              <c:f>Charts!$B$5:$B$7</c:f>
              <c:strCache>
                <c:ptCount val="3"/>
                <c:pt idx="0">
                  <c:v>Gross Profit Ratio</c:v>
                </c:pt>
                <c:pt idx="1">
                  <c:v>Operating Profit Ratio</c:v>
                </c:pt>
                <c:pt idx="2">
                  <c:v>Net Profit Ratio (A)</c:v>
                </c:pt>
              </c:strCache>
            </c:strRef>
          </c:cat>
          <c:val>
            <c:numRef>
              <c:f>Charts!$G$5:$G$7</c:f>
              <c:numCache>
                <c:formatCode>0.00%</c:formatCode>
                <c:ptCount val="3"/>
                <c:pt idx="0">
                  <c:v>0.36611787017483038</c:v>
                </c:pt>
                <c:pt idx="1">
                  <c:v>0.17897785182401249</c:v>
                </c:pt>
                <c:pt idx="2">
                  <c:v>8.1023728581035695E-2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7E-4E09-A4B3-0F2133536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910608"/>
        <c:axId val="1904890928"/>
        <c:axId val="1923180864"/>
      </c:area3DChart>
      <c:catAx>
        <c:axId val="190491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890928"/>
        <c:crosses val="autoZero"/>
        <c:auto val="1"/>
        <c:lblAlgn val="ctr"/>
        <c:lblOffset val="100"/>
        <c:noMultiLvlLbl val="0"/>
      </c:catAx>
      <c:valAx>
        <c:axId val="19048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10608"/>
        <c:crosses val="autoZero"/>
        <c:crossBetween val="midCat"/>
      </c:valAx>
      <c:serAx>
        <c:axId val="1923180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890928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</xdr:row>
      <xdr:rowOff>171450</xdr:rowOff>
    </xdr:from>
    <xdr:to>
      <xdr:col>17</xdr:col>
      <xdr:colOff>595312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D6A18C-4559-0641-7C9F-48CA85E2E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8">
  <tableColumns count="14">
    <tableColumn id="1" xr3:uid="{00000000-0010-0000-0000-000001000000}" name="Column1" headerRowDxfId="37" dataDxfId="36"/>
    <tableColumn id="2" xr3:uid="{00000000-0010-0000-0000-000002000000}" name="Column2" headerRowDxfId="35"/>
    <tableColumn id="3" xr3:uid="{00000000-0010-0000-0000-000003000000}" name="Column3" headerRowDxfId="34"/>
    <tableColumn id="4" xr3:uid="{00000000-0010-0000-0000-000004000000}" name="Column4" headerRowDxfId="33"/>
    <tableColumn id="5" xr3:uid="{00000000-0010-0000-0000-000005000000}" name="Column5" headerRowDxfId="32"/>
    <tableColumn id="6" xr3:uid="{00000000-0010-0000-0000-000006000000}" name="Column6" headerRowDxfId="31"/>
    <tableColumn id="7" xr3:uid="{00000000-0010-0000-0000-000007000000}" name="Column7" headerRowDxfId="30"/>
    <tableColumn id="8" xr3:uid="{00000000-0010-0000-0000-000008000000}" name="Column8" headerRowDxfId="29"/>
    <tableColumn id="9" xr3:uid="{00000000-0010-0000-0000-000009000000}" name="Column9" headerRowDxfId="28"/>
    <tableColumn id="10" xr3:uid="{00000000-0010-0000-0000-00000A000000}" name="Column10" headerRowDxfId="27"/>
    <tableColumn id="11" xr3:uid="{00000000-0010-0000-0000-00000B000000}" name="Column11" headerRowDxfId="26"/>
    <tableColumn id="12" xr3:uid="{00000000-0010-0000-0000-00000C000000}" name="Column12" headerRowDxfId="25"/>
    <tableColumn id="13" xr3:uid="{00000000-0010-0000-0000-00000D000000}" name="Column13" headerRowDxfId="24" dataDxfId="23"/>
    <tableColumn id="14" xr3:uid="{00000000-0010-0000-0000-00000E000000}" name="Column14" headerRowDxfId="22" dataDxfId="2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20">
  <tableColumns count="11">
    <tableColumn id="1" xr3:uid="{00000000-0010-0000-0100-000001000000}" name="Column1" headerRowDxfId="19"/>
    <tableColumn id="2" xr3:uid="{00000000-0010-0000-0100-000002000000}" name="Column2" headerRowDxfId="18"/>
    <tableColumn id="3" xr3:uid="{00000000-0010-0000-0100-000003000000}" name="Column3" headerRowDxfId="17"/>
    <tableColumn id="4" xr3:uid="{00000000-0010-0000-0100-000004000000}" name="Column4" headerRowDxfId="16"/>
    <tableColumn id="5" xr3:uid="{00000000-0010-0000-0100-000005000000}" name="Column5" headerRowDxfId="15"/>
    <tableColumn id="6" xr3:uid="{00000000-0010-0000-0100-000006000000}" name="Column6" headerRowDxfId="14"/>
    <tableColumn id="7" xr3:uid="{00000000-0010-0000-0100-000007000000}" name="Column7" headerRowDxfId="13"/>
    <tableColumn id="8" xr3:uid="{00000000-0010-0000-0100-000008000000}" name="Column8" headerRowDxfId="12"/>
    <tableColumn id="9" xr3:uid="{00000000-0010-0000-0100-000009000000}" name="Column9" headerRowDxfId="11"/>
    <tableColumn id="10" xr3:uid="{00000000-0010-0000-0100-00000A000000}" name="Column10" headerRowDxfId="10"/>
    <tableColumn id="11" xr3:uid="{00000000-0010-0000-0100-00000B000000}" name="Column11" headerRowDxfId="9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E459-C3EA-4C6F-B6B0-D11672A8DA84}">
  <dimension ref="B3:H20"/>
  <sheetViews>
    <sheetView showGridLines="0" zoomScale="80" zoomScaleNormal="80" workbookViewId="0">
      <selection activeCell="B3" sqref="B3"/>
    </sheetView>
  </sheetViews>
  <sheetFormatPr defaultRowHeight="15" x14ac:dyDescent="0.25"/>
  <cols>
    <col min="2" max="2" width="35.85546875" bestFit="1" customWidth="1"/>
    <col min="3" max="7" width="9.85546875" bestFit="1" customWidth="1"/>
    <col min="8" max="8" width="16" bestFit="1" customWidth="1"/>
    <col min="9" max="12" width="9.28515625" bestFit="1" customWidth="1"/>
    <col min="13" max="13" width="15.140625" bestFit="1" customWidth="1"/>
  </cols>
  <sheetData>
    <row r="3" spans="2:8" ht="15.75" thickBot="1" x14ac:dyDescent="0.3">
      <c r="B3" s="145"/>
      <c r="C3" s="120">
        <f>'Ratios Summary'!H2</f>
        <v>43921</v>
      </c>
      <c r="D3" s="121">
        <f>'Ratios Summary'!I2</f>
        <v>44286</v>
      </c>
      <c r="E3" s="121">
        <f>'Ratios Summary'!J2</f>
        <v>44651</v>
      </c>
      <c r="F3" s="121">
        <f>'Ratios Summary'!K2</f>
        <v>45016</v>
      </c>
      <c r="G3" s="122">
        <f>'Ratios Summary'!L2</f>
        <v>45382</v>
      </c>
      <c r="H3" s="136" t="s">
        <v>269</v>
      </c>
    </row>
    <row r="4" spans="2:8" x14ac:dyDescent="0.25">
      <c r="B4" s="138" t="str">
        <f>'Ratios Summary'!A6</f>
        <v>Profitability Ratios</v>
      </c>
      <c r="C4" s="116"/>
      <c r="D4" s="123"/>
      <c r="E4" s="123"/>
      <c r="F4" s="123"/>
      <c r="G4" s="124"/>
      <c r="H4" s="118"/>
    </row>
    <row r="5" spans="2:8" x14ac:dyDescent="0.25">
      <c r="B5" s="139" t="str">
        <f>'Ratios Summary'!A7</f>
        <v>Gross Profit Ratio</v>
      </c>
      <c r="C5" s="117">
        <f>'Ratios Summary'!H7</f>
        <v>0.4397778088196998</v>
      </c>
      <c r="D5" s="125">
        <f>'Ratios Summary'!I7</f>
        <v>0.44317466138594891</v>
      </c>
      <c r="E5" s="125">
        <f>'Ratios Summary'!J7</f>
        <v>0.38484663011445985</v>
      </c>
      <c r="F5" s="125">
        <f>'Ratios Summary'!K7</f>
        <v>0.35138615906597392</v>
      </c>
      <c r="G5" s="126">
        <f>'Ratios Summary'!L7</f>
        <v>0.36611787017483038</v>
      </c>
      <c r="H5" s="119">
        <f>'Ratios Summary'!Q7</f>
        <v>-3.5998913829988988E-2</v>
      </c>
    </row>
    <row r="6" spans="2:8" x14ac:dyDescent="0.25">
      <c r="B6" s="139" t="str">
        <f>'Ratios Summary'!A8</f>
        <v>Operating Profit Ratio</v>
      </c>
      <c r="C6" s="117">
        <f>'Ratios Summary'!H8</f>
        <v>0.13475046340681365</v>
      </c>
      <c r="D6" s="125">
        <f>'Ratios Summary'!I8</f>
        <v>0.15464947929246145</v>
      </c>
      <c r="E6" s="125">
        <f>'Ratios Summary'!J8</f>
        <v>0.16283417083866739</v>
      </c>
      <c r="F6" s="125">
        <f>'Ratios Summary'!K8</f>
        <v>0.1672757693565233</v>
      </c>
      <c r="G6" s="126">
        <f>'Ratios Summary'!L8</f>
        <v>0.17897785182401249</v>
      </c>
      <c r="H6" s="119">
        <f>'Ratios Summary'!Q8</f>
        <v>5.8409683868884121E-2</v>
      </c>
    </row>
    <row r="7" spans="2:8" x14ac:dyDescent="0.25">
      <c r="B7" s="139" t="str">
        <f>'Ratios Summary'!A9</f>
        <v>Net Profit Ratio (A)</v>
      </c>
      <c r="C7" s="117">
        <f>'Ratios Summary'!H9</f>
        <v>1.6852845237578823E-3</v>
      </c>
      <c r="D7" s="125">
        <f>'Ratios Summary'!I9</f>
        <v>2.4401510115138067E-2</v>
      </c>
      <c r="E7" s="125">
        <f>'Ratios Summary'!J9</f>
        <v>7.2943089968267913E-2</v>
      </c>
      <c r="F7" s="125">
        <f>'Ratios Summary'!K9</f>
        <v>8.4782905378187501E-2</v>
      </c>
      <c r="G7" s="126">
        <f>'Ratios Summary'!L9</f>
        <v>8.1023728581035695E-2</v>
      </c>
      <c r="H7" s="119">
        <f>'Ratios Summary'!Q9</f>
        <v>1.1696405966411763</v>
      </c>
    </row>
    <row r="8" spans="2:8" x14ac:dyDescent="0.25">
      <c r="B8" s="139"/>
      <c r="C8" s="116"/>
      <c r="D8" s="123"/>
      <c r="E8" s="123"/>
      <c r="F8" s="123"/>
      <c r="G8" s="124"/>
      <c r="H8" s="118"/>
    </row>
    <row r="9" spans="2:8" x14ac:dyDescent="0.25">
      <c r="B9" s="141" t="str">
        <f>'Ratios Summary'!A58</f>
        <v>Rates of Return (Profitability Ratios)</v>
      </c>
      <c r="C9" s="142"/>
      <c r="D9" s="35"/>
      <c r="E9" s="35"/>
      <c r="F9" s="35"/>
      <c r="G9" s="143"/>
      <c r="H9" s="144"/>
    </row>
    <row r="10" spans="2:8" x14ac:dyDescent="0.25">
      <c r="B10" s="139" t="str">
        <f>'Ratios Summary'!A59</f>
        <v>Return on Equity (A*B*C)</v>
      </c>
      <c r="C10" s="127">
        <f>'Ratios Summary'!H59</f>
        <v>3.1784386570596294E-3</v>
      </c>
      <c r="D10" s="128">
        <f>'Ratios Summary'!I59</f>
        <v>4.3588415349748166E-2</v>
      </c>
      <c r="E10" s="128">
        <f>'Ratios Summary'!J59</f>
        <v>0.13957876723375429</v>
      </c>
      <c r="F10" s="128">
        <f>'Ratios Summary'!K59</f>
        <v>0.18240673997472584</v>
      </c>
      <c r="G10" s="129">
        <f>'Ratios Summary'!L59</f>
        <v>0.17024545044572073</v>
      </c>
      <c r="H10" s="119">
        <f>'Ratios Summary'!Q59</f>
        <v>1.2170339118656335</v>
      </c>
    </row>
    <row r="11" spans="2:8" x14ac:dyDescent="0.25">
      <c r="B11" s="139" t="str">
        <f>'Ratios Summary'!A60</f>
        <v>Return on Assets</v>
      </c>
      <c r="C11" s="127">
        <f>'Ratios Summary'!H60</f>
        <v>7.6661215779055434E-4</v>
      </c>
      <c r="D11" s="128">
        <f>'Ratios Summary'!I60</f>
        <v>1.0986896697081193E-2</v>
      </c>
      <c r="E11" s="128">
        <f>'Ratios Summary'!J60</f>
        <v>3.8154055412864277E-2</v>
      </c>
      <c r="F11" s="128">
        <f>'Ratios Summary'!K60</f>
        <v>5.0329657666788243E-2</v>
      </c>
      <c r="G11" s="129">
        <f>'Ratios Summary'!L60</f>
        <v>4.8008505731083964E-2</v>
      </c>
      <c r="H11" s="119">
        <f>'Ratios Summary'!Q60</f>
        <v>1.2874336057715485</v>
      </c>
    </row>
    <row r="12" spans="2:8" x14ac:dyDescent="0.25">
      <c r="B12" s="139" t="str">
        <f>'Ratios Summary'!A61</f>
        <v>Return on Capital Employed (ROCE)</v>
      </c>
      <c r="C12" s="127">
        <f>'Ratios Summary'!H61</f>
        <v>7.3602698441548459E-2</v>
      </c>
      <c r="D12" s="128">
        <f>'Ratios Summary'!I61</f>
        <v>8.35739628504511E-2</v>
      </c>
      <c r="E12" s="128">
        <f>'Ratios Summary'!J61</f>
        <v>0.11324166534513325</v>
      </c>
      <c r="F12" s="128">
        <f>'Ratios Summary'!K61</f>
        <v>0.13866208698607443</v>
      </c>
      <c r="G12" s="129">
        <f>'Ratios Summary'!L61</f>
        <v>0.14685710083170833</v>
      </c>
      <c r="H12" s="119">
        <f>'Ratios Summary'!Q61</f>
        <v>0.14815426313706448</v>
      </c>
    </row>
    <row r="13" spans="2:8" x14ac:dyDescent="0.25">
      <c r="B13" s="139" t="str">
        <f>'Ratios Summary'!A62</f>
        <v>Return on Invested Capital (ROIC)</v>
      </c>
      <c r="C13" s="127">
        <f>'Ratios Summary'!H62</f>
        <v>-1.5618280290557444E-2</v>
      </c>
      <c r="D13" s="128">
        <f>'Ratios Summary'!I62</f>
        <v>4.6132263223248725E-2</v>
      </c>
      <c r="E13" s="128">
        <f>'Ratios Summary'!J62</f>
        <v>9.8872342041707612E-2</v>
      </c>
      <c r="F13" s="128">
        <f>'Ratios Summary'!K62</f>
        <v>0.12438185149773189</v>
      </c>
      <c r="G13" s="129">
        <f>'Ratios Summary'!L62</f>
        <v>0.12358633450948238</v>
      </c>
      <c r="H13" s="119">
        <f>'Ratios Summary'!Q62</f>
        <v>-2.5124027131880533</v>
      </c>
    </row>
    <row r="14" spans="2:8" x14ac:dyDescent="0.25">
      <c r="B14" s="139"/>
      <c r="C14" s="116"/>
      <c r="D14" s="123"/>
      <c r="E14" s="123"/>
      <c r="F14" s="123"/>
      <c r="G14" s="124"/>
      <c r="H14" s="118"/>
    </row>
    <row r="15" spans="2:8" x14ac:dyDescent="0.25">
      <c r="B15" s="141" t="str">
        <f>'Ratios Summary'!A85</f>
        <v>Valuataion Ratios</v>
      </c>
      <c r="C15" s="142"/>
      <c r="D15" s="35"/>
      <c r="E15" s="35"/>
      <c r="F15" s="35"/>
      <c r="G15" s="143"/>
      <c r="H15" s="144"/>
    </row>
    <row r="16" spans="2:8" x14ac:dyDescent="0.25">
      <c r="B16" s="139" t="str">
        <f>'Ratios Summary'!A86</f>
        <v>Price to Earning Ratio</v>
      </c>
      <c r="C16" s="130">
        <f>'Ratios Summary'!H86</f>
        <v>278.84738303904277</v>
      </c>
      <c r="D16" s="131">
        <f>'Ratios Summary'!I86</f>
        <v>48.715548616723403</v>
      </c>
      <c r="E16" s="131">
        <f>'Ratios Summary'!J86</f>
        <v>13.637607853019922</v>
      </c>
      <c r="F16" s="131">
        <f>'Ratios Summary'!K86</f>
        <v>13.502500473168313</v>
      </c>
      <c r="G16" s="132">
        <f>'Ratios Summary'!L86</f>
        <v>19.007390683633517</v>
      </c>
      <c r="H16" s="119">
        <f>'Ratios Summary'!Q86</f>
        <v>-0.4155986834094153</v>
      </c>
    </row>
    <row r="17" spans="2:8" x14ac:dyDescent="0.25">
      <c r="B17" s="139" t="str">
        <f>'Ratios Summary'!A87</f>
        <v>Price to Book Value Ratio</v>
      </c>
      <c r="C17" s="130">
        <f>'Ratios Summary'!H87</f>
        <v>0.17035952758862702</v>
      </c>
      <c r="D17" s="131">
        <f>'Ratios Summary'!I87</f>
        <v>1.2485515275652737</v>
      </c>
      <c r="E17" s="131">
        <f>'Ratios Summary'!J87</f>
        <v>1.1447772936622571</v>
      </c>
      <c r="F17" s="131">
        <f>'Ratios Summary'!K87</f>
        <v>2.0014312338703135</v>
      </c>
      <c r="G17" s="132">
        <f>'Ratios Summary'!L87</f>
        <v>4.6417239759242026</v>
      </c>
      <c r="H17" s="119">
        <f>'Ratios Summary'!Q87</f>
        <v>0.93670100009610602</v>
      </c>
    </row>
    <row r="18" spans="2:8" x14ac:dyDescent="0.25">
      <c r="B18" s="139" t="str">
        <f>'Ratios Summary'!A88</f>
        <v>Enterprise Value to Revenue</v>
      </c>
      <c r="C18" s="130">
        <f>'Ratios Summary'!H88</f>
        <v>1.5560584816716685</v>
      </c>
      <c r="D18" s="131">
        <f>'Ratios Summary'!I88</f>
        <v>2.2232741031345444</v>
      </c>
      <c r="E18" s="131">
        <f>'Ratios Summary'!J88</f>
        <v>1.8397260978146748</v>
      </c>
      <c r="F18" s="131">
        <f>'Ratios Summary'!K88</f>
        <v>1.9008627431834555</v>
      </c>
      <c r="G18" s="132">
        <f>'Ratios Summary'!L88</f>
        <v>2.301710274029293</v>
      </c>
      <c r="H18" s="119">
        <f>'Ratios Summary'!Q88</f>
        <v>8.1446272907934159E-2</v>
      </c>
    </row>
    <row r="19" spans="2:8" x14ac:dyDescent="0.25">
      <c r="B19" s="139" t="str">
        <f>'Ratios Summary'!A89</f>
        <v>Enterprise Value to EBITDA</v>
      </c>
      <c r="C19" s="130">
        <f>'Ratios Summary'!H89</f>
        <v>11.547704121609621</v>
      </c>
      <c r="D19" s="131">
        <f>'Ratios Summary'!I89</f>
        <v>14.376214606775727</v>
      </c>
      <c r="E19" s="131">
        <f>'Ratios Summary'!J89</f>
        <v>11.298157434273644</v>
      </c>
      <c r="F19" s="131">
        <f>'Ratios Summary'!K89</f>
        <v>11.363646692498845</v>
      </c>
      <c r="G19" s="132">
        <f>'Ratios Summary'!L89</f>
        <v>12.860307856932748</v>
      </c>
      <c r="H19" s="119">
        <f>'Ratios Summary'!Q89</f>
        <v>2.1765285588509098E-2</v>
      </c>
    </row>
    <row r="20" spans="2:8" x14ac:dyDescent="0.25">
      <c r="B20" s="140" t="str">
        <f>'Ratios Summary'!A90</f>
        <v>Enterprise Value to EBIT</v>
      </c>
      <c r="C20" s="133">
        <f>'Ratios Summary'!H90</f>
        <v>17.27249042364166</v>
      </c>
      <c r="D20" s="134">
        <f>'Ratios Summary'!I90</f>
        <v>20.365235859360247</v>
      </c>
      <c r="E20" s="134">
        <f>'Ratios Summary'!J90</f>
        <v>14.844201826683255</v>
      </c>
      <c r="F20" s="134">
        <f>'Ratios Summary'!K90</f>
        <v>14.471868540807399</v>
      </c>
      <c r="G20" s="135">
        <f>'Ratios Summary'!L90</f>
        <v>15.872446553264426</v>
      </c>
      <c r="H20" s="137">
        <f>'Ratios Summary'!Q90</f>
        <v>-1.6763974596667119E-2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D1A7-385F-42A7-963B-860991F79453}">
  <sheetPr>
    <tabColor rgb="FFFF0000"/>
  </sheetPr>
  <dimension ref="A1:AA104"/>
  <sheetViews>
    <sheetView showGridLine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5" sqref="G5"/>
    </sheetView>
  </sheetViews>
  <sheetFormatPr defaultRowHeight="15" x14ac:dyDescent="0.25"/>
  <cols>
    <col min="1" max="1" width="40.28515625" bestFit="1" customWidth="1"/>
    <col min="2" max="2" width="64" bestFit="1" customWidth="1"/>
    <col min="3" max="3" width="14.5703125" style="40" bestFit="1" customWidth="1"/>
    <col min="4" max="4" width="13.140625" style="40" bestFit="1" customWidth="1"/>
    <col min="5" max="12" width="14.28515625" style="40" bestFit="1" customWidth="1"/>
    <col min="13" max="13" width="17.85546875" style="40" bestFit="1" customWidth="1"/>
    <col min="14" max="14" width="18.7109375" style="40" bestFit="1" customWidth="1"/>
    <col min="15" max="15" width="28.7109375" style="40" bestFit="1" customWidth="1"/>
    <col min="16" max="16" width="29.85546875" style="40" bestFit="1" customWidth="1"/>
    <col min="17" max="17" width="16.28515625" style="40" bestFit="1" customWidth="1"/>
    <col min="18" max="18" width="140.140625" bestFit="1" customWidth="1"/>
    <col min="19" max="19" width="6.5703125" bestFit="1" customWidth="1"/>
    <col min="20" max="20" width="32.42578125" bestFit="1" customWidth="1"/>
  </cols>
  <sheetData>
    <row r="1" spans="1:27" s="84" customFormat="1" ht="21" x14ac:dyDescent="0.35">
      <c r="A1" s="82" t="s">
        <v>151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</row>
    <row r="2" spans="1:27" x14ac:dyDescent="0.25">
      <c r="A2" t="s">
        <v>94</v>
      </c>
      <c r="C2" s="32">
        <f>'BS Summary'!B2</f>
        <v>42094</v>
      </c>
      <c r="D2" s="32">
        <f>'BS Summary'!C2</f>
        <v>42460</v>
      </c>
      <c r="E2" s="32">
        <f>'BS Summary'!D2</f>
        <v>42825</v>
      </c>
      <c r="F2" s="32">
        <f>'BS Summary'!E2</f>
        <v>43190</v>
      </c>
      <c r="G2" s="32">
        <f>'BS Summary'!F2</f>
        <v>43555</v>
      </c>
      <c r="H2" s="32">
        <f>'BS Summary'!G2</f>
        <v>43921</v>
      </c>
      <c r="I2" s="32">
        <f>'BS Summary'!H2</f>
        <v>44286</v>
      </c>
      <c r="J2" s="32">
        <f>'BS Summary'!I2</f>
        <v>44651</v>
      </c>
      <c r="K2" s="32">
        <f>'BS Summary'!J2</f>
        <v>45016</v>
      </c>
      <c r="L2" s="32">
        <f>'BS Summary'!K2</f>
        <v>45382</v>
      </c>
      <c r="M2" s="146" t="s">
        <v>264</v>
      </c>
      <c r="N2" s="146" t="s">
        <v>265</v>
      </c>
      <c r="O2" s="146" t="s">
        <v>266</v>
      </c>
      <c r="P2" s="146" t="s">
        <v>212</v>
      </c>
      <c r="Q2" s="146" t="s">
        <v>267</v>
      </c>
      <c r="R2" s="148" t="s">
        <v>250</v>
      </c>
    </row>
    <row r="3" spans="1:27" x14ac:dyDescent="0.25">
      <c r="A3" t="s">
        <v>95</v>
      </c>
      <c r="C3" s="33" t="s">
        <v>96</v>
      </c>
      <c r="D3" s="33" t="s">
        <v>96</v>
      </c>
      <c r="E3" s="33" t="s">
        <v>96</v>
      </c>
      <c r="F3" s="33" t="s">
        <v>96</v>
      </c>
      <c r="G3" s="33" t="s">
        <v>96</v>
      </c>
      <c r="H3" s="33" t="s">
        <v>96</v>
      </c>
      <c r="I3" s="33" t="s">
        <v>96</v>
      </c>
      <c r="J3" s="33" t="s">
        <v>96</v>
      </c>
      <c r="K3" s="33" t="s">
        <v>96</v>
      </c>
      <c r="L3" s="33" t="s">
        <v>96</v>
      </c>
      <c r="M3" s="146"/>
      <c r="N3" s="146"/>
      <c r="O3" s="146"/>
      <c r="P3" s="146"/>
      <c r="Q3" s="146"/>
      <c r="R3" s="148"/>
    </row>
    <row r="4" spans="1:27" x14ac:dyDescent="0.25">
      <c r="A4" t="s">
        <v>97</v>
      </c>
      <c r="C4" s="33" t="s">
        <v>98</v>
      </c>
      <c r="D4" s="33" t="s">
        <v>98</v>
      </c>
      <c r="E4" s="33" t="s">
        <v>98</v>
      </c>
      <c r="F4" s="33" t="s">
        <v>98</v>
      </c>
      <c r="G4" s="33" t="s">
        <v>98</v>
      </c>
      <c r="H4" s="33" t="s">
        <v>98</v>
      </c>
      <c r="I4" s="33" t="s">
        <v>98</v>
      </c>
      <c r="J4" s="33" t="s">
        <v>98</v>
      </c>
      <c r="K4" s="33" t="s">
        <v>98</v>
      </c>
      <c r="L4" s="33" t="s">
        <v>98</v>
      </c>
      <c r="M4" s="147"/>
      <c r="N4" s="147"/>
      <c r="O4" s="147"/>
      <c r="P4" s="147"/>
      <c r="Q4" s="147"/>
      <c r="R4" s="149"/>
    </row>
    <row r="5" spans="1:27" ht="17.25" x14ac:dyDescent="0.25">
      <c r="A5" s="79" t="s">
        <v>152</v>
      </c>
      <c r="B5" s="79" t="s">
        <v>153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16.5" x14ac:dyDescent="0.3">
      <c r="A6" s="99" t="s">
        <v>154</v>
      </c>
      <c r="B6" s="99"/>
    </row>
    <row r="7" spans="1:27" ht="16.5" x14ac:dyDescent="0.3">
      <c r="A7" s="80" t="s">
        <v>155</v>
      </c>
      <c r="B7" s="80" t="s">
        <v>156</v>
      </c>
      <c r="C7" s="42">
        <f>'P&amp;L Summary'!E$8/'P&amp;L Summary'!E$6</f>
        <v>0.3535152838427949</v>
      </c>
      <c r="D7" s="42">
        <f>'P&amp;L Summary'!F$8/'P&amp;L Summary'!F$6</f>
        <v>0.36203053687549624</v>
      </c>
      <c r="E7" s="42">
        <f>'P&amp;L Summary'!G$8/'P&amp;L Summary'!G$6</f>
        <v>0.3487914072604496</v>
      </c>
      <c r="F7" s="42">
        <f>'P&amp;L Summary'!H$8/'P&amp;L Summary'!H$6</f>
        <v>0.37167664108228604</v>
      </c>
      <c r="G7" s="42">
        <f>'P&amp;L Summary'!I$8/'P&amp;L Summary'!I$6</f>
        <v>0.37719254687803783</v>
      </c>
      <c r="H7" s="42">
        <f>'P&amp;L Summary'!J$8/'P&amp;L Summary'!J$6</f>
        <v>0.4397778088196998</v>
      </c>
      <c r="I7" s="42">
        <f>'P&amp;L Summary'!K$8/'P&amp;L Summary'!K$6</f>
        <v>0.44317466138594891</v>
      </c>
      <c r="J7" s="42">
        <f>'P&amp;L Summary'!L$8/'P&amp;L Summary'!L$6</f>
        <v>0.38484663011445985</v>
      </c>
      <c r="K7" s="42">
        <f>'P&amp;L Summary'!M$8/'P&amp;L Summary'!M$6</f>
        <v>0.35138615906597392</v>
      </c>
      <c r="L7" s="42">
        <f>'P&amp;L Summary'!N$8/'P&amp;L Summary'!N$6</f>
        <v>0.36611787017483038</v>
      </c>
      <c r="M7" s="42">
        <f>MEDIAN($H7:$L7)</f>
        <v>0.38484663011445985</v>
      </c>
      <c r="N7" s="42">
        <f>AVERAGE($H7:$L7)</f>
        <v>0.39706062591218261</v>
      </c>
      <c r="O7" s="42">
        <f>_xlfn.STDEV.P($H7:$L7)</f>
        <v>3.779961568821489E-2</v>
      </c>
      <c r="P7" s="59">
        <f>($L7-$N7)/$O7</f>
        <v>-0.81859974430902782</v>
      </c>
      <c r="Q7" s="42">
        <f t="shared" ref="Q7:Q9" si="0">(($L7/$H7)^(1/5))-1</f>
        <v>-3.5998913829988988E-2</v>
      </c>
      <c r="R7" t="s">
        <v>157</v>
      </c>
    </row>
    <row r="8" spans="1:27" ht="16.5" x14ac:dyDescent="0.3">
      <c r="A8" s="80" t="s">
        <v>158</v>
      </c>
      <c r="B8" s="80" t="s">
        <v>156</v>
      </c>
      <c r="C8" s="42">
        <f>'P&amp;L Summary'!E$11/'P&amp;L Summary'!E$6</f>
        <v>0.12307258425708219</v>
      </c>
      <c r="D8" s="42">
        <f>'P&amp;L Summary'!F$11/'P&amp;L Summary'!F$6</f>
        <v>0.13294107626149404</v>
      </c>
      <c r="E8" s="42">
        <f>'P&amp;L Summary'!G$11/'P&amp;L Summary'!G$6</f>
        <v>0.12814180694149258</v>
      </c>
      <c r="F8" s="42">
        <f>'P&amp;L Summary'!H$11/'P&amp;L Summary'!H$6</f>
        <v>0.14361529720464802</v>
      </c>
      <c r="G8" s="42">
        <f>'P&amp;L Summary'!I$11/'P&amp;L Summary'!I$6</f>
        <v>0.14521019153045989</v>
      </c>
      <c r="H8" s="42">
        <f>'P&amp;L Summary'!J$11/'P&amp;L Summary'!J$6</f>
        <v>0.13475046340681365</v>
      </c>
      <c r="I8" s="42">
        <f>'P&amp;L Summary'!K$11/'P&amp;L Summary'!K$6</f>
        <v>0.15464947929246145</v>
      </c>
      <c r="J8" s="42">
        <f>'P&amp;L Summary'!L$11/'P&amp;L Summary'!L$6</f>
        <v>0.16283417083866739</v>
      </c>
      <c r="K8" s="42">
        <f>'P&amp;L Summary'!M$11/'P&amp;L Summary'!M$6</f>
        <v>0.1672757693565233</v>
      </c>
      <c r="L8" s="42">
        <f>'P&amp;L Summary'!N$11/'P&amp;L Summary'!N$6</f>
        <v>0.17897785182401249</v>
      </c>
      <c r="M8" s="42">
        <f t="shared" ref="M8:M62" si="1">MEDIAN($H8:$L8)</f>
        <v>0.16283417083866739</v>
      </c>
      <c r="N8" s="42">
        <f t="shared" ref="N8:N62" si="2">AVERAGE($H8:$L8)</f>
        <v>0.15969754694369567</v>
      </c>
      <c r="O8" s="42">
        <f t="shared" ref="O8:O62" si="3">_xlfn.STDEV.P($H8:$L8)</f>
        <v>1.4743391636135604E-2</v>
      </c>
      <c r="P8" s="59">
        <f t="shared" ref="P8:P62" si="4">($L8-$N8)/$O8</f>
        <v>1.3077252070725285</v>
      </c>
      <c r="Q8" s="42">
        <f t="shared" si="0"/>
        <v>5.8409683868884121E-2</v>
      </c>
      <c r="R8" t="s">
        <v>159</v>
      </c>
    </row>
    <row r="9" spans="1:27" ht="16.5" x14ac:dyDescent="0.3">
      <c r="A9" s="80" t="s">
        <v>160</v>
      </c>
      <c r="B9" s="80" t="s">
        <v>156</v>
      </c>
      <c r="C9" s="42">
        <f>'P&amp;L Summary'!E$24/'P&amp;L Summary'!E$6</f>
        <v>4.3912635763072437E-2</v>
      </c>
      <c r="D9" s="42">
        <f>'P&amp;L Summary'!F$24/'P&amp;L Summary'!F$6</f>
        <v>4.1513331369586702E-2</v>
      </c>
      <c r="E9" s="42">
        <f>'P&amp;L Summary'!G$24/'P&amp;L Summary'!G$6</f>
        <v>4.4143552132815983E-2</v>
      </c>
      <c r="F9" s="42">
        <f>'P&amp;L Summary'!H$24/'P&amp;L Summary'!H$6</f>
        <v>8.1551393984078221E-2</v>
      </c>
      <c r="G9" s="42">
        <f>'P&amp;L Summary'!I$24/'P&amp;L Summary'!I$6</f>
        <v>5.0758455731952853E-2</v>
      </c>
      <c r="H9" s="42">
        <f>'P&amp;L Summary'!J$24/'P&amp;L Summary'!J$6</f>
        <v>1.6852845237578823E-3</v>
      </c>
      <c r="I9" s="42">
        <f>'P&amp;L Summary'!K$24/'P&amp;L Summary'!K$6</f>
        <v>2.4401510115138067E-2</v>
      </c>
      <c r="J9" s="42">
        <f>'P&amp;L Summary'!L$24/'P&amp;L Summary'!L$6</f>
        <v>7.2943089968267913E-2</v>
      </c>
      <c r="K9" s="42">
        <f>'P&amp;L Summary'!M$24/'P&amp;L Summary'!M$6</f>
        <v>8.4782905378187501E-2</v>
      </c>
      <c r="L9" s="42">
        <f>'P&amp;L Summary'!N$24/'P&amp;L Summary'!N$6</f>
        <v>8.1023728581035695E-2</v>
      </c>
      <c r="M9" s="42">
        <f t="shared" si="1"/>
        <v>7.2943089968267913E-2</v>
      </c>
      <c r="N9" s="42">
        <f t="shared" si="2"/>
        <v>5.2967303713277417E-2</v>
      </c>
      <c r="O9" s="42">
        <f t="shared" si="3"/>
        <v>3.3598445137271483E-2</v>
      </c>
      <c r="P9" s="59">
        <f t="shared" si="4"/>
        <v>0.83505128743694979</v>
      </c>
      <c r="Q9" s="42">
        <f t="shared" si="0"/>
        <v>1.1696405966411763</v>
      </c>
    </row>
    <row r="10" spans="1:27" x14ac:dyDescent="0.25">
      <c r="A10" s="81"/>
      <c r="B10" s="81"/>
      <c r="M10" s="42"/>
      <c r="N10" s="42"/>
      <c r="P10" s="60"/>
      <c r="Q10" s="60"/>
      <c r="R10" t="s">
        <v>161</v>
      </c>
    </row>
    <row r="11" spans="1:27" ht="16.5" x14ac:dyDescent="0.3">
      <c r="A11" s="93" t="s">
        <v>162</v>
      </c>
      <c r="B11" s="93" t="s">
        <v>163</v>
      </c>
      <c r="C11" s="92">
        <f>'P&amp;L Summary'!E$20/'P&amp;L Summary'!E$18</f>
        <v>0.39882672107960143</v>
      </c>
      <c r="D11" s="92">
        <f>'P&amp;L Summary'!F$20/'P&amp;L Summary'!F$18</f>
        <v>0.37332842033628183</v>
      </c>
      <c r="E11" s="92">
        <f>'P&amp;L Summary'!G$20/'P&amp;L Summary'!G$18</f>
        <v>0.36214737664284585</v>
      </c>
      <c r="F11" s="92">
        <f>'P&amp;L Summary'!H$20/'P&amp;L Summary'!H$18</f>
        <v>0.229308548140917</v>
      </c>
      <c r="G11" s="92">
        <f>'P&amp;L Summary'!I$20/'P&amp;L Summary'!I$18</f>
        <v>0.32172714196175339</v>
      </c>
      <c r="H11" s="92">
        <f>'P&amp;L Summary'!J$20/'P&amp;L Summary'!J$18</f>
        <v>1.1940034207456816</v>
      </c>
      <c r="I11" s="92">
        <f>'P&amp;L Summary'!K$20/'P&amp;L Summary'!K$18</f>
        <v>0.52112279146349083</v>
      </c>
      <c r="J11" s="92">
        <f>'P&amp;L Summary'!L$20/'P&amp;L Summary'!L$18</f>
        <v>0.22525227601190762</v>
      </c>
      <c r="K11" s="92">
        <f>'P&amp;L Summary'!M$20/'P&amp;L Summary'!M$18</f>
        <v>0.19101750113618321</v>
      </c>
      <c r="L11" s="92">
        <f>'P&amp;L Summary'!N$20/'P&amp;L Summary'!N$18</f>
        <v>0.23207026754012908</v>
      </c>
      <c r="M11" s="42"/>
      <c r="N11" s="42"/>
      <c r="O11" s="42"/>
      <c r="P11" s="59"/>
      <c r="Q11" s="59"/>
      <c r="R11" t="s">
        <v>164</v>
      </c>
    </row>
    <row r="12" spans="1:27" ht="16.5" x14ac:dyDescent="0.3">
      <c r="A12" s="80"/>
      <c r="B12" s="80"/>
      <c r="M12" s="42"/>
      <c r="N12" s="42"/>
      <c r="P12" s="60"/>
      <c r="Q12" s="60"/>
    </row>
    <row r="13" spans="1:27" ht="16.5" x14ac:dyDescent="0.3">
      <c r="A13" s="99" t="s">
        <v>165</v>
      </c>
      <c r="B13" s="100"/>
      <c r="M13" s="42"/>
      <c r="N13" s="42"/>
      <c r="P13" s="60"/>
      <c r="Q13" s="60"/>
      <c r="R13" t="s">
        <v>262</v>
      </c>
    </row>
    <row r="14" spans="1:27" ht="16.5" x14ac:dyDescent="0.3">
      <c r="A14" s="80" t="str">
        <f>'Data Sheet'!$A$18</f>
        <v>Raw Material Cost</v>
      </c>
      <c r="B14" s="80" t="s">
        <v>156</v>
      </c>
      <c r="C14" s="42">
        <f>('Data Sheet'!B$18*10)/'P&amp;L Summary'!E$6</f>
        <v>0.59589575635427161</v>
      </c>
      <c r="D14" s="42">
        <f>('Data Sheet'!C$18*10)/'P&amp;L Summary'!F$6</f>
        <v>0.60104821349600257</v>
      </c>
      <c r="E14" s="42">
        <f>('Data Sheet'!D$18*10)/'P&amp;L Summary'!G$6</f>
        <v>0.60467178883901207</v>
      </c>
      <c r="F14" s="42">
        <f>('Data Sheet'!E$18*10)/'P&amp;L Summary'!H$6</f>
        <v>0.5804647319395031</v>
      </c>
      <c r="G14" s="42">
        <f>('Data Sheet'!F$18*10)/'P&amp;L Summary'!I$6</f>
        <v>0.59091661742456225</v>
      </c>
      <c r="H14" s="42">
        <f>('Data Sheet'!G$18*10)/'P&amp;L Summary'!J$6</f>
        <v>0.4987309292823891</v>
      </c>
      <c r="I14" s="42">
        <f>('Data Sheet'!H$18*10)/'P&amp;L Summary'!K$6</f>
        <v>0.51524426281991731</v>
      </c>
      <c r="J14" s="42">
        <f>('Data Sheet'!I$18*10)/'P&amp;L Summary'!L$6</f>
        <v>0.5840580801474361</v>
      </c>
      <c r="K14" s="42">
        <f>('Data Sheet'!J$18*10)/'P&amp;L Summary'!M$6</f>
        <v>0.62687209503205898</v>
      </c>
      <c r="L14" s="42">
        <f>('Data Sheet'!K$18*10)/'P&amp;L Summary'!N$6</f>
        <v>0.61167046440827899</v>
      </c>
      <c r="M14" s="42">
        <f t="shared" si="1"/>
        <v>0.5840580801474361</v>
      </c>
      <c r="N14" s="42">
        <f t="shared" si="2"/>
        <v>0.56731516633801604</v>
      </c>
      <c r="O14" s="42">
        <f t="shared" si="3"/>
        <v>5.140023725799802E-2</v>
      </c>
      <c r="P14" s="59">
        <f t="shared" si="4"/>
        <v>0.86293955896791397</v>
      </c>
      <c r="Q14" s="105"/>
      <c r="R14" s="104" t="s">
        <v>258</v>
      </c>
      <c r="S14" s="105">
        <f>(($L$14/$H$14)^(1/5))-1</f>
        <v>4.1670203671974937E-2</v>
      </c>
      <c r="T14" t="s">
        <v>261</v>
      </c>
    </row>
    <row r="15" spans="1:27" ht="16.5" x14ac:dyDescent="0.3">
      <c r="A15" s="80" t="str">
        <f>'Data Sheet'!$A$19</f>
        <v>Change in Inventory</v>
      </c>
      <c r="B15" s="80" t="s">
        <v>156</v>
      </c>
      <c r="C15" s="42">
        <f>('Data Sheet'!B$19*10)/'P&amp;L Summary'!E$6</f>
        <v>-3.8367763968200652E-3</v>
      </c>
      <c r="D15" s="42">
        <f>('Data Sheet'!C$19*10)/'P&amp;L Summary'!F$6</f>
        <v>6.0456410230715629E-3</v>
      </c>
      <c r="E15" s="42">
        <f>('Data Sheet'!D$19*10)/'P&amp;L Summary'!G$6</f>
        <v>1.6508889195272227E-4</v>
      </c>
      <c r="F15" s="42">
        <f>('Data Sheet'!E$19*10)/'P&amp;L Summary'!H$6</f>
        <v>-9.0483685410387975E-4</v>
      </c>
      <c r="G15" s="42">
        <f>('Data Sheet'!F$19*10)/'P&amp;L Summary'!I$6</f>
        <v>1.6524720809681526E-2</v>
      </c>
      <c r="H15" s="42">
        <f>('Data Sheet'!G$19*10)/'P&amp;L Summary'!J$6</f>
        <v>-1.0965757974092731E-2</v>
      </c>
      <c r="I15" s="42">
        <f>('Data Sheet'!H$19*10)/'P&amp;L Summary'!K$6</f>
        <v>-1.8254449715648475E-3</v>
      </c>
      <c r="J15" s="42">
        <f>('Data Sheet'!I$19*10)/'P&amp;L Summary'!L$6</f>
        <v>9.5558894659310677E-3</v>
      </c>
      <c r="K15" s="42">
        <f>('Data Sheet'!J$19*10)/'P&amp;L Summary'!M$6</f>
        <v>1.6758755670781913E-2</v>
      </c>
      <c r="L15" s="42">
        <f>('Data Sheet'!K$19*10)/'P&amp;L Summary'!N$6</f>
        <v>1.0464035826732674E-2</v>
      </c>
      <c r="M15" s="42">
        <f t="shared" si="1"/>
        <v>9.5558894659310677E-3</v>
      </c>
      <c r="N15" s="42">
        <f t="shared" si="2"/>
        <v>4.7974956035576151E-3</v>
      </c>
      <c r="O15" s="42">
        <f t="shared" si="3"/>
        <v>9.9011841499996225E-3</v>
      </c>
      <c r="P15" s="59">
        <f t="shared" si="4"/>
        <v>0.57230934576398873</v>
      </c>
      <c r="Q15" s="105"/>
      <c r="R15" s="104" t="s">
        <v>259</v>
      </c>
    </row>
    <row r="16" spans="1:27" ht="16.5" x14ac:dyDescent="0.3">
      <c r="A16" s="80" t="str">
        <f>'Data Sheet'!$A$20</f>
        <v>Power and Fuel</v>
      </c>
      <c r="B16" s="80" t="s">
        <v>156</v>
      </c>
      <c r="C16" s="42">
        <f>('Data Sheet'!B$20*10)/'P&amp;L Summary'!E$6</f>
        <v>1.1014444071212631E-2</v>
      </c>
      <c r="D16" s="42">
        <f>('Data Sheet'!C$20*10)/'P&amp;L Summary'!F$6</f>
        <v>8.4382650008399118E-3</v>
      </c>
      <c r="E16" s="42">
        <f>('Data Sheet'!D$20*10)/'P&amp;L Summary'!G$6</f>
        <v>7.8433338645304187E-3</v>
      </c>
      <c r="F16" s="42">
        <f>('Data Sheet'!E$20*10)/'P&amp;L Summary'!H$6</f>
        <v>7.9690359681607748E-3</v>
      </c>
      <c r="G16" s="42">
        <f>('Data Sheet'!F$20*10)/'P&amp;L Summary'!I$6</f>
        <v>7.8027568193789433E-3</v>
      </c>
      <c r="H16" s="42">
        <f>('Data Sheet'!G$20*10)/'P&amp;L Summary'!J$6</f>
        <v>7.0430672178332394E-3</v>
      </c>
      <c r="I16" s="42">
        <f>('Data Sheet'!H$20*10)/'P&amp;L Summary'!K$6</f>
        <v>5.7831561471007884E-3</v>
      </c>
      <c r="J16" s="42">
        <f>('Data Sheet'!I$20*10)/'P&amp;L Summary'!L$6</f>
        <v>6.0027345951123518E-3</v>
      </c>
      <c r="K16" s="42">
        <f>('Data Sheet'!J$20*10)/'P&amp;L Summary'!M$6</f>
        <v>6.8482718726330938E-3</v>
      </c>
      <c r="L16" s="42">
        <f>('Data Sheet'!K$20*10)/'P&amp;L Summary'!N$6</f>
        <v>5.4122761233656421E-3</v>
      </c>
      <c r="M16" s="42">
        <f t="shared" si="1"/>
        <v>6.0027345951123518E-3</v>
      </c>
      <c r="N16" s="42">
        <f t="shared" si="2"/>
        <v>6.2179011912090231E-3</v>
      </c>
      <c r="O16" s="42">
        <f t="shared" si="3"/>
        <v>6.265138202600156E-4</v>
      </c>
      <c r="P16" s="59">
        <f t="shared" si="4"/>
        <v>-1.2858855491951171</v>
      </c>
      <c r="Q16" s="105"/>
      <c r="R16" s="104" t="s">
        <v>257</v>
      </c>
    </row>
    <row r="17" spans="1:18" ht="16.5" x14ac:dyDescent="0.3">
      <c r="A17" s="80" t="str">
        <f>'Data Sheet'!$A$21</f>
        <v>Other Mfr. Exp</v>
      </c>
      <c r="B17" s="80" t="s">
        <v>156</v>
      </c>
      <c r="C17" s="42">
        <f>('Data Sheet'!B$21*10)/'P&amp;L Summary'!E$6</f>
        <v>3.5737739334900903E-2</v>
      </c>
      <c r="D17" s="42">
        <f>('Data Sheet'!C$21*10)/'P&amp;L Summary'!F$6</f>
        <v>3.4528625650732808E-2</v>
      </c>
      <c r="E17" s="42">
        <f>('Data Sheet'!D$21*10)/'P&amp;L Summary'!G$6</f>
        <v>3.8858558927960724E-2</v>
      </c>
      <c r="F17" s="42">
        <f>('Data Sheet'!E$21*10)/'P&amp;L Summary'!H$6</f>
        <v>3.898475415594619E-2</v>
      </c>
      <c r="G17" s="42">
        <f>('Data Sheet'!F$21*10)/'P&amp;L Summary'!I$6</f>
        <v>4.0612799687702567E-2</v>
      </c>
      <c r="H17" s="42">
        <f>('Data Sheet'!G$21*10)/'P&amp;L Summary'!J$6</f>
        <v>4.3482436705985117E-2</v>
      </c>
      <c r="I17" s="42">
        <f>('Data Sheet'!H$21*10)/'P&amp;L Summary'!K$6</f>
        <v>3.3972474675468219E-2</v>
      </c>
      <c r="J17" s="42">
        <f>('Data Sheet'!I$21*10)/'P&amp;L Summary'!L$6</f>
        <v>3.4648444608922843E-2</v>
      </c>
      <c r="K17" s="42">
        <f>('Data Sheet'!J$21*10)/'P&amp;L Summary'!M$6</f>
        <v>3.1652229700115983E-2</v>
      </c>
      <c r="L17" s="42">
        <f>('Data Sheet'!K$21*10)/'P&amp;L Summary'!N$6</f>
        <v>2.7263425120257825E-2</v>
      </c>
      <c r="M17" s="42">
        <f t="shared" si="1"/>
        <v>3.3972474675468219E-2</v>
      </c>
      <c r="N17" s="42">
        <f t="shared" si="2"/>
        <v>3.420380216215E-2</v>
      </c>
      <c r="O17" s="42">
        <f t="shared" si="3"/>
        <v>5.3108122509132492E-3</v>
      </c>
      <c r="P17" s="59">
        <f t="shared" si="4"/>
        <v>-1.3068390886344561</v>
      </c>
      <c r="Q17" s="105"/>
      <c r="R17" s="104" t="s">
        <v>256</v>
      </c>
    </row>
    <row r="18" spans="1:18" ht="16.5" x14ac:dyDescent="0.3">
      <c r="A18" s="80" t="str">
        <f>'Data Sheet'!$A$22</f>
        <v>Employee Cost</v>
      </c>
      <c r="B18" s="80" t="s">
        <v>156</v>
      </c>
      <c r="C18" s="42">
        <f>('Data Sheet'!B$22*10)/'P&amp;L Summary'!E$6</f>
        <v>0.10080744037621767</v>
      </c>
      <c r="D18" s="42">
        <f>('Data Sheet'!C$22*10)/'P&amp;L Summary'!F$6</f>
        <v>0.1013878695836655</v>
      </c>
      <c r="E18" s="42">
        <f>('Data Sheet'!D$22*10)/'P&amp;L Summary'!G$6</f>
        <v>0.10636630754162585</v>
      </c>
      <c r="F18" s="42">
        <f>('Data Sheet'!E$22*10)/'P&amp;L Summary'!H$6</f>
        <v>0.1086349320449389</v>
      </c>
      <c r="G18" s="42">
        <f>('Data Sheet'!F$22*10)/'P&amp;L Summary'!I$6</f>
        <v>0.10735300802095633</v>
      </c>
      <c r="H18" s="42">
        <f>('Data Sheet'!G$22*10)/'P&amp;L Summary'!J$6</f>
        <v>0.10897598403224752</v>
      </c>
      <c r="I18" s="42">
        <f>('Data Sheet'!H$22*10)/'P&amp;L Summary'!K$6</f>
        <v>0.10518973507285759</v>
      </c>
      <c r="J18" s="42">
        <f>('Data Sheet'!I$22*10)/'P&amp;L Summary'!L$6</f>
        <v>9.3009725900590395E-2</v>
      </c>
      <c r="K18" s="42">
        <f>('Data Sheet'!J$22*10)/'P&amp;L Summary'!M$6</f>
        <v>7.9805934844607282E-2</v>
      </c>
      <c r="L18" s="42">
        <f>('Data Sheet'!K$22*10)/'P&amp;L Summary'!N$6</f>
        <v>7.639101349189921E-2</v>
      </c>
      <c r="M18" s="42">
        <f t="shared" si="1"/>
        <v>9.3009725900590395E-2</v>
      </c>
      <c r="N18" s="42">
        <f t="shared" si="2"/>
        <v>9.2674478668440391E-2</v>
      </c>
      <c r="O18" s="42">
        <f t="shared" si="3"/>
        <v>1.3063183141966146E-2</v>
      </c>
      <c r="P18" s="59">
        <f t="shared" si="4"/>
        <v>-1.2465158759222867</v>
      </c>
      <c r="Q18" s="105"/>
      <c r="R18" s="104" t="s">
        <v>260</v>
      </c>
    </row>
    <row r="19" spans="1:18" ht="16.5" x14ac:dyDescent="0.3">
      <c r="A19" s="80" t="str">
        <f>'Data Sheet'!$A$23</f>
        <v>Selling and admin</v>
      </c>
      <c r="B19" s="80" t="s">
        <v>156</v>
      </c>
      <c r="C19" s="42">
        <f>('Data Sheet'!B$23*10)/'P&amp;L Summary'!E$6</f>
        <v>8.3845873922293132E-2</v>
      </c>
      <c r="D19" s="42">
        <f>('Data Sheet'!C$23*10)/'P&amp;L Summary'!F$6</f>
        <v>7.5932913703356295E-2</v>
      </c>
      <c r="E19" s="42">
        <f>('Data Sheet'!D$23*10)/'P&amp;L Summary'!G$6</f>
        <v>7.4649782955258287E-2</v>
      </c>
      <c r="F19" s="42">
        <f>('Data Sheet'!E$23*10)/'P&amp;L Summary'!H$6</f>
        <v>8.2428324553350141E-2</v>
      </c>
      <c r="G19" s="42">
        <f>('Data Sheet'!F$23*10)/'P&amp;L Summary'!I$6</f>
        <v>9.2235650112279632E-2</v>
      </c>
      <c r="H19" s="42">
        <f>('Data Sheet'!G$23*10)/'P&amp;L Summary'!J$6</f>
        <v>8.3793556360257704E-2</v>
      </c>
      <c r="I19" s="42">
        <f>('Data Sheet'!H$23*10)/'P&amp;L Summary'!K$6</f>
        <v>6.2316752062326036E-2</v>
      </c>
      <c r="J19" s="42">
        <f>('Data Sheet'!I$23*10)/'P&amp;L Summary'!L$6</f>
        <v>6.6292915748453168E-2</v>
      </c>
      <c r="K19" s="42">
        <f>('Data Sheet'!J$23*10)/'P&amp;L Summary'!M$6</f>
        <v>6.3345937590578924E-2</v>
      </c>
      <c r="L19" s="42">
        <f>('Data Sheet'!K$23*10)/'P&amp;L Summary'!N$6</f>
        <v>7.0695443651981008E-2</v>
      </c>
      <c r="M19" s="42">
        <f t="shared" si="1"/>
        <v>6.6292915748453168E-2</v>
      </c>
      <c r="N19" s="42">
        <f t="shared" si="2"/>
        <v>6.9288921082719362E-2</v>
      </c>
      <c r="O19" s="42">
        <f t="shared" si="3"/>
        <v>7.8136930048727897E-3</v>
      </c>
      <c r="P19" s="59">
        <f t="shared" si="4"/>
        <v>0.18000740090306938</v>
      </c>
      <c r="Q19" s="105"/>
      <c r="R19" s="104" t="s">
        <v>268</v>
      </c>
    </row>
    <row r="20" spans="1:18" ht="16.5" x14ac:dyDescent="0.3">
      <c r="A20" s="80" t="str">
        <f>'Data Sheet'!$A$24</f>
        <v>Other Expenses</v>
      </c>
      <c r="B20" s="80" t="s">
        <v>156</v>
      </c>
      <c r="C20" s="42">
        <f>('Data Sheet'!B$24*10)/'P&amp;L Summary'!E$6</f>
        <v>4.5789385287201882E-2</v>
      </c>
      <c r="D20" s="42">
        <f>('Data Sheet'!C$24*10)/'P&amp;L Summary'!F$6</f>
        <v>5.1768677326980428E-2</v>
      </c>
      <c r="E20" s="42">
        <f>('Data Sheet'!D$24*10)/'P&amp;L Summary'!G$6</f>
        <v>3.9633509822072845E-2</v>
      </c>
      <c r="F20" s="42">
        <f>('Data Sheet'!E$24*10)/'P&amp;L Summary'!H$6</f>
        <v>3.6998087279348967E-2</v>
      </c>
      <c r="G20" s="42">
        <f>('Data Sheet'!F$24*10)/'P&amp;L Summary'!I$6</f>
        <v>3.2393697214342002E-2</v>
      </c>
      <c r="H20" s="42">
        <f>('Data Sheet'!G$24*10)/'P&amp;L Summary'!J$6</f>
        <v>0.11225780502038088</v>
      </c>
      <c r="I20" s="42">
        <f>('Data Sheet'!H$24*10)/'P&amp;L Summary'!K$6</f>
        <v>0.12101869495830381</v>
      </c>
      <c r="J20" s="42">
        <f>('Data Sheet'!I$24*10)/'P&amp;L Summary'!L$6</f>
        <v>6.2709817626748945E-2</v>
      </c>
      <c r="K20" s="42">
        <f>('Data Sheet'!J$24*10)/'P&amp;L Summary'!M$6</f>
        <v>4.095851727426443E-2</v>
      </c>
      <c r="L20" s="42">
        <f>('Data Sheet'!K$24*10)/'P&amp;L Summary'!N$6</f>
        <v>4.0053561206937649E-2</v>
      </c>
      <c r="M20" s="42">
        <f t="shared" si="1"/>
        <v>6.2709817626748945E-2</v>
      </c>
      <c r="N20" s="42">
        <f t="shared" si="2"/>
        <v>7.539967921732714E-2</v>
      </c>
      <c r="O20" s="42">
        <f t="shared" si="3"/>
        <v>3.4745331532365302E-2</v>
      </c>
      <c r="P20" s="59">
        <f t="shared" si="4"/>
        <v>-1.0172911424795172</v>
      </c>
      <c r="Q20" s="105"/>
    </row>
    <row r="21" spans="1:18" ht="16.5" x14ac:dyDescent="0.3">
      <c r="A21" s="80" t="str">
        <f>'Data Sheet'!$A$25</f>
        <v>Other Income</v>
      </c>
      <c r="B21" s="80" t="s">
        <v>156</v>
      </c>
      <c r="C21" s="42">
        <f>('Data Sheet'!B$25*10)/'P&amp;L Summary'!E$6</f>
        <v>1.1195974694882991E-2</v>
      </c>
      <c r="D21" s="42">
        <f>('Data Sheet'!C$25*10)/'P&amp;L Summary'!F$6</f>
        <v>1.8444143055338362E-2</v>
      </c>
      <c r="E21" s="42">
        <f>('Data Sheet'!D$25*10)/'P&amp;L Summary'!G$6</f>
        <v>2.4788520890668301E-2</v>
      </c>
      <c r="F21" s="42">
        <f>('Data Sheet'!E$25*10)/'P&amp;L Summary'!H$6</f>
        <v>4.7412560759963057E-2</v>
      </c>
      <c r="G21" s="42">
        <f>('Data Sheet'!F$25*10)/'P&amp;L Summary'!I$6</f>
        <v>2.5557989119245599E-2</v>
      </c>
      <c r="H21" s="42">
        <f>('Data Sheet'!G$25*10)/'P&amp;L Summary'!J$6</f>
        <v>1.173610174215492E-2</v>
      </c>
      <c r="I21" s="42">
        <f>('Data Sheet'!H$25*10)/'P&amp;L Summary'!K$6</f>
        <v>1.5502751967008168E-2</v>
      </c>
      <c r="J21" s="42">
        <f>('Data Sheet'!I$25*10)/'P&amp;L Summary'!L$6</f>
        <v>3.5537870061151874E-2</v>
      </c>
      <c r="K21" s="42">
        <f>('Data Sheet'!J$25*10)/'P&amp;L Summary'!M$6</f>
        <v>3.2666754900590469E-2</v>
      </c>
      <c r="L21" s="42">
        <f>('Data Sheet'!K$25*10)/'P&amp;L Summary'!N$6</f>
        <v>2.3712187389158638E-2</v>
      </c>
      <c r="M21" s="42">
        <f t="shared" si="1"/>
        <v>2.3712187389158638E-2</v>
      </c>
      <c r="N21" s="42">
        <f t="shared" si="2"/>
        <v>2.3831133212012811E-2</v>
      </c>
      <c r="O21" s="42">
        <f t="shared" si="3"/>
        <v>9.2820446756781694E-3</v>
      </c>
      <c r="P21" s="59">
        <f t="shared" si="4"/>
        <v>-1.2814614345247373E-2</v>
      </c>
      <c r="Q21" s="105"/>
    </row>
    <row r="22" spans="1:18" ht="16.5" x14ac:dyDescent="0.3">
      <c r="A22" s="80" t="str">
        <f>'Data Sheet'!$A$26</f>
        <v>Depreciation</v>
      </c>
      <c r="B22" s="80" t="s">
        <v>156</v>
      </c>
      <c r="C22" s="42">
        <f>('Data Sheet'!B$26*10)/'P&amp;L Summary'!E$6</f>
        <v>2.9725534654573955E-2</v>
      </c>
      <c r="D22" s="42">
        <f>('Data Sheet'!C$26*10)/'P&amp;L Summary'!F$6</f>
        <v>3.2194149318406751E-2</v>
      </c>
      <c r="E22" s="42">
        <f>('Data Sheet'!D$26*10)/'P&amp;L Summary'!G$6</f>
        <v>3.3575475645210476E-2</v>
      </c>
      <c r="F22" s="42">
        <f>('Data Sheet'!E$26*10)/'P&amp;L Summary'!H$6</f>
        <v>3.5614717361998262E-2</v>
      </c>
      <c r="G22" s="42">
        <f>('Data Sheet'!F$26*10)/'P&amp;L Summary'!I$6</f>
        <v>3.8108709760097052E-2</v>
      </c>
      <c r="H22" s="42">
        <f>('Data Sheet'!G$26*10)/'P&amp;L Summary'!J$6</f>
        <v>4.4661631773025706E-2</v>
      </c>
      <c r="I22" s="42">
        <f>('Data Sheet'!H$26*10)/'P&amp;L Summary'!K$6</f>
        <v>4.547941524369737E-2</v>
      </c>
      <c r="J22" s="42">
        <f>('Data Sheet'!I$26*10)/'P&amp;L Summary'!L$6</f>
        <v>3.8898500918869643E-2</v>
      </c>
      <c r="K22" s="42">
        <f>('Data Sheet'!J$26*10)/'P&amp;L Summary'!M$6</f>
        <v>3.5926957154183842E-2</v>
      </c>
      <c r="L22" s="42">
        <f>('Data Sheet'!K$26*10)/'P&amp;L Summary'!N$6</f>
        <v>3.3964903359813142E-2</v>
      </c>
      <c r="M22" s="42">
        <f t="shared" si="1"/>
        <v>3.8898500918869643E-2</v>
      </c>
      <c r="N22" s="42">
        <f t="shared" si="2"/>
        <v>3.9786281689917942E-2</v>
      </c>
      <c r="O22" s="42">
        <f t="shared" si="3"/>
        <v>4.5989519311644073E-3</v>
      </c>
      <c r="P22" s="59">
        <f t="shared" si="4"/>
        <v>-1.2658054307236228</v>
      </c>
      <c r="Q22" s="105"/>
    </row>
    <row r="23" spans="1:18" ht="16.5" x14ac:dyDescent="0.3">
      <c r="A23" s="80" t="str">
        <f>'Data Sheet'!$A$27</f>
        <v>Interest</v>
      </c>
      <c r="B23" s="80" t="s">
        <v>156</v>
      </c>
      <c r="C23" s="42">
        <f>('Data Sheet'!B$27*10)/'P&amp;L Summary'!E$6</f>
        <v>4.4181642593214644E-2</v>
      </c>
      <c r="D23" s="42">
        <f>('Data Sheet'!C$27*10)/'P&amp;L Summary'!F$6</f>
        <v>4.4403045196147441E-2</v>
      </c>
      <c r="E23" s="42">
        <f>('Data Sheet'!D$27*10)/'P&amp;L Summary'!G$6</f>
        <v>4.3551715020522706E-2</v>
      </c>
      <c r="F23" s="42">
        <f>('Data Sheet'!E$27*10)/'P&amp;L Summary'!H$6</f>
        <v>4.3293723420485278E-2</v>
      </c>
      <c r="G23" s="42">
        <f>('Data Sheet'!F$27*10)/'P&amp;L Summary'!I$6</f>
        <v>4.7949936917903897E-2</v>
      </c>
      <c r="H23" s="42">
        <f>('Data Sheet'!G$27*10)/'P&amp;L Summary'!J$6</f>
        <v>7.9875243310963254E-2</v>
      </c>
      <c r="I23" s="42">
        <f>('Data Sheet'!H$27*10)/'P&amp;L Summary'!K$6</f>
        <v>8.2154043914613492E-2</v>
      </c>
      <c r="J23" s="42">
        <f>('Data Sheet'!I$27*10)/'P&amp;L Summary'!L$6</f>
        <v>5.5650640780023901E-2</v>
      </c>
      <c r="K23" s="42">
        <f>('Data Sheet'!J$27*10)/'P&amp;L Summary'!M$6</f>
        <v>4.8072645380851015E-2</v>
      </c>
      <c r="L23" s="42">
        <f>('Data Sheet'!K$27*10)/'P&amp;L Summary'!N$6</f>
        <v>5.3841696477817856E-2</v>
      </c>
      <c r="M23" s="42">
        <f t="shared" si="1"/>
        <v>5.5650640780023901E-2</v>
      </c>
      <c r="N23" s="42">
        <f t="shared" si="2"/>
        <v>6.3918853972853892E-2</v>
      </c>
      <c r="O23" s="42">
        <f t="shared" si="3"/>
        <v>1.4199600643993487E-2</v>
      </c>
      <c r="P23" s="59">
        <f t="shared" si="4"/>
        <v>-0.70967893729453102</v>
      </c>
      <c r="Q23" s="105"/>
    </row>
    <row r="24" spans="1:18" x14ac:dyDescent="0.25">
      <c r="A24" s="81"/>
      <c r="B24" s="81"/>
      <c r="M24" s="42"/>
      <c r="N24" s="42"/>
      <c r="P24" s="60"/>
      <c r="Q24" s="60"/>
    </row>
    <row r="25" spans="1:18" ht="16.5" x14ac:dyDescent="0.3">
      <c r="A25" s="99" t="s">
        <v>166</v>
      </c>
      <c r="B25" s="99"/>
      <c r="M25" s="42"/>
      <c r="N25" s="42"/>
      <c r="P25" s="60"/>
      <c r="Q25" s="60"/>
    </row>
    <row r="26" spans="1:18" ht="16.5" x14ac:dyDescent="0.3">
      <c r="A26" s="80" t="s">
        <v>167</v>
      </c>
      <c r="B26" s="80" t="s">
        <v>168</v>
      </c>
      <c r="C26" s="59">
        <f>SUM('BS Summary'!B$8:B$11)/SUM('BS Summary'!B$21,'BS Summary'!B$22,'BS Summary'!B$25,'BS Summary'!B$26,'BS Summary'!B$27)</f>
        <v>1.5451660049627791</v>
      </c>
      <c r="D26" s="59">
        <f>SUM('BS Summary'!C$8:C$11)/SUM('BS Summary'!C$21,'BS Summary'!C$22,'BS Summary'!C$25,'BS Summary'!C$26,'BS Summary'!C$27)</f>
        <v>1.4893517335766424</v>
      </c>
      <c r="E26" s="59">
        <f>SUM('BS Summary'!D$8:D$11)/SUM('BS Summary'!D$21,'BS Summary'!D$22,'BS Summary'!D$25,'BS Summary'!D$26,'BS Summary'!D$27)</f>
        <v>1.5533785232360171</v>
      </c>
      <c r="F26" s="59">
        <f>SUM('BS Summary'!E$8:E$11)/SUM('BS Summary'!E$21,'BS Summary'!E$22,'BS Summary'!E$25,'BS Summary'!E$26,'BS Summary'!E$27)</f>
        <v>1.5625600514478397</v>
      </c>
      <c r="G26" s="59">
        <f>SUM('BS Summary'!F$8:F$11)/SUM('BS Summary'!F$21,'BS Summary'!F$22,'BS Summary'!F$25,'BS Summary'!F$26,'BS Summary'!F$27)</f>
        <v>1.5692818989402721</v>
      </c>
      <c r="H26" s="59">
        <f>SUM('BS Summary'!G$8:G$11)/SUM('BS Summary'!G$21,'BS Summary'!G$22,'BS Summary'!G$25,'BS Summary'!G$26,'BS Summary'!G$27)</f>
        <v>1.6722180148121111</v>
      </c>
      <c r="I26" s="59">
        <f>SUM('BS Summary'!H$8:H$11)/SUM('BS Summary'!H$21,'BS Summary'!H$22,'BS Summary'!H$25,'BS Summary'!H$26,'BS Summary'!H$27)</f>
        <v>1.8164865553498324</v>
      </c>
      <c r="J26" s="59">
        <f>SUM('BS Summary'!I$8:I$11)/SUM('BS Summary'!I$21,'BS Summary'!I$22,'BS Summary'!I$25,'BS Summary'!I$26,'BS Summary'!I$27)</f>
        <v>1.7126056249999997</v>
      </c>
      <c r="K26" s="59">
        <f>SUM('BS Summary'!J$8:J$11)/SUM('BS Summary'!J$21,'BS Summary'!J$22,'BS Summary'!J$25,'BS Summary'!J$26,'BS Summary'!J$27)</f>
        <v>1.7523622847703157</v>
      </c>
      <c r="L26" s="59">
        <f>SUM('BS Summary'!K$8:K$11)/SUM('BS Summary'!K$21,'BS Summary'!K$22,'BS Summary'!K$25,'BS Summary'!K$26,'BS Summary'!K$27)</f>
        <v>1.9434256989886973</v>
      </c>
      <c r="M26" s="59">
        <f t="shared" si="1"/>
        <v>1.7523622847703157</v>
      </c>
      <c r="N26" s="59">
        <f t="shared" si="2"/>
        <v>1.7794196357841912</v>
      </c>
      <c r="O26" s="59">
        <f t="shared" si="3"/>
        <v>9.4826520672147224E-2</v>
      </c>
      <c r="P26" s="59">
        <f t="shared" si="4"/>
        <v>1.7295379187383662</v>
      </c>
      <c r="Q26" s="59"/>
    </row>
    <row r="27" spans="1:18" ht="16.5" x14ac:dyDescent="0.3">
      <c r="A27" s="80" t="s">
        <v>169</v>
      </c>
      <c r="B27" s="80" t="s">
        <v>170</v>
      </c>
      <c r="C27" s="59">
        <f>(SUM('BS Summary'!B$8:B$11)-'BS Summary'!B$8)/SUM('BS Summary'!B$21,'BS Summary'!B$22,'BS Summary'!B$25,'BS Summary'!B$26,'BS Summary'!B$27)</f>
        <v>1.3354044665012408</v>
      </c>
      <c r="D27" s="59">
        <f>(SUM('BS Summary'!C$8:C$11)-'BS Summary'!C$8)/SUM('BS Summary'!C$21,'BS Summary'!C$22,'BS Summary'!C$25,'BS Summary'!C$26,'BS Summary'!C$27)</f>
        <v>1.2814110401459857</v>
      </c>
      <c r="E27" s="59">
        <f>(SUM('BS Summary'!D$8:D$11)-'BS Summary'!D$8)/SUM('BS Summary'!D$21,'BS Summary'!D$22,'BS Summary'!D$25,'BS Summary'!D$26,'BS Summary'!D$27)</f>
        <v>1.3666073943291925</v>
      </c>
      <c r="F27" s="59">
        <f>(SUM('BS Summary'!E$8:E$11)-'BS Summary'!E$8)/SUM('BS Summary'!E$21,'BS Summary'!E$22,'BS Summary'!E$25,'BS Summary'!E$26,'BS Summary'!E$27)</f>
        <v>1.4002982584211077</v>
      </c>
      <c r="G27" s="59">
        <f>(SUM('BS Summary'!F$8:F$11)-'BS Summary'!F$8)/SUM('BS Summary'!F$21,'BS Summary'!F$22,'BS Summary'!F$25,'BS Summary'!F$26,'BS Summary'!F$27)</f>
        <v>1.3950387043331713</v>
      </c>
      <c r="H27" s="59">
        <f>(SUM('BS Summary'!G$8:G$11)-'BS Summary'!G$8)/SUM('BS Summary'!G$21,'BS Summary'!G$22,'BS Summary'!G$25,'BS Summary'!G$26,'BS Summary'!G$27)</f>
        <v>1.5032343324665054</v>
      </c>
      <c r="I27" s="59">
        <f>(SUM('BS Summary'!H$8:H$11)-'BS Summary'!H$8)/SUM('BS Summary'!H$21,'BS Summary'!H$22,'BS Summary'!H$25,'BS Summary'!H$26,'BS Summary'!H$27)</f>
        <v>1.6531563927910173</v>
      </c>
      <c r="J27" s="59">
        <f>(SUM('BS Summary'!I$8:I$11)-'BS Summary'!I$8)/SUM('BS Summary'!I$21,'BS Summary'!I$22,'BS Summary'!I$25,'BS Summary'!I$26,'BS Summary'!I$27)</f>
        <v>1.5314209374999999</v>
      </c>
      <c r="K27" s="59">
        <f>(SUM('BS Summary'!J$8:J$11)-'BS Summary'!J$8)/SUM('BS Summary'!J$21,'BS Summary'!J$22,'BS Summary'!J$25,'BS Summary'!J$26,'BS Summary'!J$27)</f>
        <v>1.5381813329944725</v>
      </c>
      <c r="L27" s="59">
        <f>(SUM('BS Summary'!K$8:K$11)-'BS Summary'!K$8)/SUM('BS Summary'!K$21,'BS Summary'!K$22,'BS Summary'!K$25,'BS Summary'!K$26,'BS Summary'!K$27)</f>
        <v>1.7222422367638313</v>
      </c>
      <c r="M27" s="59">
        <f t="shared" si="1"/>
        <v>1.5381813329944725</v>
      </c>
      <c r="N27" s="59">
        <f t="shared" si="2"/>
        <v>1.5896470465031654</v>
      </c>
      <c r="O27" s="59">
        <f t="shared" si="3"/>
        <v>8.3810593757545265E-2</v>
      </c>
      <c r="P27" s="59">
        <f t="shared" si="4"/>
        <v>1.5820815044485792</v>
      </c>
      <c r="Q27" s="59"/>
    </row>
    <row r="28" spans="1:18" x14ac:dyDescent="0.25">
      <c r="A28" s="81"/>
      <c r="B28" s="81"/>
      <c r="M28" s="42"/>
      <c r="N28" s="42"/>
      <c r="P28" s="60"/>
      <c r="Q28" s="60"/>
    </row>
    <row r="29" spans="1:18" ht="16.5" x14ac:dyDescent="0.3">
      <c r="A29" s="93" t="s">
        <v>171</v>
      </c>
      <c r="B29" s="93"/>
      <c r="C29" s="94">
        <v>365</v>
      </c>
      <c r="D29" s="94">
        <v>365</v>
      </c>
      <c r="E29" s="94">
        <v>365</v>
      </c>
      <c r="F29" s="94">
        <v>365</v>
      </c>
      <c r="G29" s="94">
        <v>365</v>
      </c>
      <c r="H29" s="94">
        <v>365</v>
      </c>
      <c r="I29" s="94">
        <v>365</v>
      </c>
      <c r="J29" s="94">
        <v>365</v>
      </c>
      <c r="K29" s="94">
        <v>365</v>
      </c>
      <c r="L29" s="94">
        <v>365</v>
      </c>
      <c r="M29" s="42"/>
      <c r="N29" s="42"/>
      <c r="P29" s="60"/>
      <c r="Q29" s="60"/>
    </row>
    <row r="30" spans="1:18" ht="16.5" x14ac:dyDescent="0.3">
      <c r="A30" s="113" t="s">
        <v>30</v>
      </c>
      <c r="B30" s="113" t="s">
        <v>172</v>
      </c>
      <c r="C30" s="114">
        <f>SUM('BS Summary'!B$9:B$10)-SUM('BS Summary'!B28,'BS Summary'!B22)</f>
        <v>-227350.1</v>
      </c>
      <c r="D30" s="114">
        <f>SUM('BS Summary'!C$9:C$10)-SUM('BS Summary'!C28,'BS Summary'!C22)</f>
        <v>-264178.5</v>
      </c>
      <c r="E30" s="114">
        <f>SUM('BS Summary'!D$9:D$10)-SUM('BS Summary'!D28,'BS Summary'!D22)</f>
        <v>-256017.1</v>
      </c>
      <c r="F30" s="114">
        <f>SUM('BS Summary'!E$9:E$10)-SUM('BS Summary'!E28,'BS Summary'!E22)</f>
        <v>-311705.8</v>
      </c>
      <c r="G30" s="114">
        <f>SUM('BS Summary'!F$9:F$10)-SUM('BS Summary'!F28,'BS Summary'!F22)</f>
        <v>-420642</v>
      </c>
      <c r="H30" s="114">
        <f>SUM('BS Summary'!G$9:G$10)-SUM('BS Summary'!G28,'BS Summary'!G22)</f>
        <v>-406998.2</v>
      </c>
      <c r="I30" s="114">
        <f>SUM('BS Summary'!H$9:H$10)-SUM('BS Summary'!H28,'BS Summary'!H22)</f>
        <v>-353642.5</v>
      </c>
      <c r="J30" s="114">
        <f>SUM('BS Summary'!I$9:I$10)-SUM('BS Summary'!I28,'BS Summary'!I22)</f>
        <v>-204664.4</v>
      </c>
      <c r="K30" s="114">
        <f>SUM('BS Summary'!J$9:J$10)-SUM('BS Summary'!J28,'BS Summary'!J22)</f>
        <v>-266535.5</v>
      </c>
      <c r="L30" s="114">
        <f>SUM('BS Summary'!K$9:K$10)-SUM('BS Summary'!K28,'BS Summary'!K22)</f>
        <v>-290938.5</v>
      </c>
      <c r="M30" s="42"/>
      <c r="N30" s="42"/>
      <c r="P30" s="60"/>
      <c r="Q30" s="60"/>
    </row>
    <row r="31" spans="1:18" x14ac:dyDescent="0.25">
      <c r="A31" s="81"/>
      <c r="B31" s="81"/>
      <c r="M31" s="42"/>
      <c r="N31" s="42"/>
      <c r="P31" s="60"/>
      <c r="Q31" s="60"/>
    </row>
    <row r="32" spans="1:18" ht="16.5" x14ac:dyDescent="0.3">
      <c r="A32" s="99" t="s">
        <v>173</v>
      </c>
      <c r="B32" s="99"/>
      <c r="M32" s="42"/>
      <c r="N32" s="42"/>
      <c r="P32" s="60"/>
      <c r="Q32" s="60"/>
    </row>
    <row r="33" spans="1:17" ht="16.5" x14ac:dyDescent="0.3">
      <c r="A33" s="80" t="s">
        <v>174</v>
      </c>
      <c r="B33" s="80" t="s">
        <v>203</v>
      </c>
      <c r="C33" s="59">
        <f>'P&amp;L Summary'!E$7/'BS Summary'!B$8</f>
        <v>5.4640848227752405</v>
      </c>
      <c r="D33" s="59">
        <f>'P&amp;L Summary'!F$7/'BS Summary'!C$8</f>
        <v>5.3075771271110943</v>
      </c>
      <c r="E33" s="59">
        <f>'P&amp;L Summary'!G$7/'BS Summary'!D$8</f>
        <v>6.1392829852768553</v>
      </c>
      <c r="F33" s="59">
        <f>'P&amp;L Summary'!H$7/'BS Summary'!E$8</f>
        <v>6.1983124758316857</v>
      </c>
      <c r="G33" s="59">
        <f>'P&amp;L Summary'!I$7/'BS Summary'!F$8</f>
        <v>5.3458987423115758</v>
      </c>
      <c r="H33" s="59">
        <f>'P&amp;L Summary'!J$7/'BS Summary'!G$8</f>
        <v>3.8005005462631822</v>
      </c>
      <c r="I33" s="59">
        <f>'P&amp;L Summary'!K$7/'BS Summary'!H$8</f>
        <v>4.3014026442970179</v>
      </c>
      <c r="J33" s="59">
        <f>'P&amp;L Summary'!L$7/'BS Summary'!I$8</f>
        <v>4.7835107823336331</v>
      </c>
      <c r="K33" s="59">
        <f>'P&amp;L Summary'!M$7/'BS Summary'!J$8</f>
        <v>4.6666627113545722</v>
      </c>
      <c r="L33" s="59">
        <f>'P&amp;L Summary'!N$7/'BS Summary'!K$8</f>
        <v>4.7421732748015506</v>
      </c>
      <c r="M33" s="59">
        <f t="shared" si="1"/>
        <v>4.6666627113545722</v>
      </c>
      <c r="N33" s="59">
        <f t="shared" si="2"/>
        <v>4.4588499918099913</v>
      </c>
      <c r="O33" s="59">
        <f t="shared" si="3"/>
        <v>0.37069569667956165</v>
      </c>
      <c r="P33" s="59">
        <f t="shared" si="4"/>
        <v>0.76430151612056829</v>
      </c>
      <c r="Q33" s="59"/>
    </row>
    <row r="34" spans="1:17" ht="16.5" x14ac:dyDescent="0.3">
      <c r="A34" s="80" t="s">
        <v>206</v>
      </c>
      <c r="B34" s="80" t="s">
        <v>175</v>
      </c>
      <c r="C34" s="91">
        <f>C$29/C$33</f>
        <v>66.799841480977292</v>
      </c>
      <c r="D34" s="91">
        <f t="shared" ref="D34:L34" si="5">D$29/D$33</f>
        <v>68.769608289925856</v>
      </c>
      <c r="E34" s="91">
        <f t="shared" si="5"/>
        <v>59.453196875814001</v>
      </c>
      <c r="F34" s="91">
        <f t="shared" si="5"/>
        <v>58.886995682002066</v>
      </c>
      <c r="G34" s="91">
        <f t="shared" si="5"/>
        <v>68.276639269484818</v>
      </c>
      <c r="H34" s="91">
        <f t="shared" si="5"/>
        <v>96.039980933270456</v>
      </c>
      <c r="I34" s="91">
        <f t="shared" si="5"/>
        <v>84.856041199475357</v>
      </c>
      <c r="J34" s="91">
        <f t="shared" si="5"/>
        <v>76.303789540521308</v>
      </c>
      <c r="K34" s="91">
        <f t="shared" si="5"/>
        <v>78.214352006179809</v>
      </c>
      <c r="L34" s="91">
        <f t="shared" si="5"/>
        <v>76.968929401946923</v>
      </c>
      <c r="M34" s="91">
        <f t="shared" si="1"/>
        <v>78.214352006179809</v>
      </c>
      <c r="N34" s="91">
        <f t="shared" si="2"/>
        <v>82.476618616278785</v>
      </c>
      <c r="O34" s="59">
        <f t="shared" si="3"/>
        <v>7.432789854518485</v>
      </c>
      <c r="P34" s="59">
        <f t="shared" si="4"/>
        <v>-0.74099891455745504</v>
      </c>
      <c r="Q34" s="59"/>
    </row>
    <row r="35" spans="1:17" ht="16.5" x14ac:dyDescent="0.3">
      <c r="A35" s="80" t="s">
        <v>176</v>
      </c>
      <c r="B35" s="80" t="s">
        <v>204</v>
      </c>
      <c r="C35" s="59">
        <f>'P&amp;L Summary'!E$6/'BS Summary'!B$10</f>
        <v>13.047098696897097</v>
      </c>
      <c r="D35" s="59">
        <f>'P&amp;L Summary'!F$6/'BS Summary'!C$10</f>
        <v>13.036547717271727</v>
      </c>
      <c r="E35" s="59">
        <f>'P&amp;L Summary'!G$6/'BS Summary'!D$10</f>
        <v>11.636341790684041</v>
      </c>
      <c r="F35" s="59">
        <f>'P&amp;L Summary'!H$6/'BS Summary'!E$10</f>
        <v>10.847573917939368</v>
      </c>
      <c r="G35" s="59">
        <f>'P&amp;L Summary'!I$6/'BS Summary'!F$10</f>
        <v>12.067527935938344</v>
      </c>
      <c r="H35" s="59">
        <f>'P&amp;L Summary'!J$6/'BS Summary'!G$10</f>
        <v>10.880323832177682</v>
      </c>
      <c r="I35" s="59">
        <f>'P&amp;L Summary'!K$6/'BS Summary'!H$10</f>
        <v>12.363639692664155</v>
      </c>
      <c r="J35" s="59">
        <f>'P&amp;L Summary'!L$6/'BS Summary'!I$10</f>
        <v>14.14673318742695</v>
      </c>
      <c r="K35" s="59">
        <f>'P&amp;L Summary'!M$6/'BS Summary'!J$10</f>
        <v>17.255009234464328</v>
      </c>
      <c r="L35" s="59">
        <f>'P&amp;L Summary'!N$6/'BS Summary'!K$10</f>
        <v>18.644699305574175</v>
      </c>
      <c r="M35" s="59">
        <f t="shared" si="1"/>
        <v>14.14673318742695</v>
      </c>
      <c r="N35" s="59">
        <f t="shared" si="2"/>
        <v>14.658081050461458</v>
      </c>
      <c r="O35" s="59">
        <f t="shared" si="3"/>
        <v>2.9132301140336314</v>
      </c>
      <c r="P35" s="59">
        <f t="shared" si="4"/>
        <v>1.3684529196332116</v>
      </c>
      <c r="Q35" s="59"/>
    </row>
    <row r="36" spans="1:17" ht="16.5" x14ac:dyDescent="0.3">
      <c r="A36" s="80" t="s">
        <v>207</v>
      </c>
      <c r="B36" s="80" t="s">
        <v>177</v>
      </c>
      <c r="C36" s="91">
        <f>C$29/C$35</f>
        <v>27.975568245437238</v>
      </c>
      <c r="D36" s="91">
        <f t="shared" ref="D36:L36" si="6">D$29/D$35</f>
        <v>27.998209949128064</v>
      </c>
      <c r="E36" s="91">
        <f t="shared" si="6"/>
        <v>31.367246387710612</v>
      </c>
      <c r="F36" s="91">
        <f t="shared" si="6"/>
        <v>33.648076773772871</v>
      </c>
      <c r="G36" s="91">
        <f t="shared" si="6"/>
        <v>30.24645991603569</v>
      </c>
      <c r="H36" s="91">
        <f t="shared" si="6"/>
        <v>33.546795631260707</v>
      </c>
      <c r="I36" s="91">
        <f t="shared" si="6"/>
        <v>29.522050874433781</v>
      </c>
      <c r="J36" s="91">
        <f t="shared" si="6"/>
        <v>25.801009686419857</v>
      </c>
      <c r="K36" s="91">
        <f t="shared" si="6"/>
        <v>21.153277581038118</v>
      </c>
      <c r="L36" s="91">
        <f t="shared" si="6"/>
        <v>19.576609631396767</v>
      </c>
      <c r="M36" s="91">
        <f t="shared" si="1"/>
        <v>25.801009686419857</v>
      </c>
      <c r="N36" s="91">
        <f t="shared" si="2"/>
        <v>25.919948680909847</v>
      </c>
      <c r="O36" s="59">
        <f t="shared" si="3"/>
        <v>5.1791347689069873</v>
      </c>
      <c r="P36" s="59">
        <f t="shared" si="4"/>
        <v>-1.2247874080426349</v>
      </c>
      <c r="Q36" s="59"/>
    </row>
    <row r="37" spans="1:17" ht="16.5" x14ac:dyDescent="0.3">
      <c r="A37" s="80" t="s">
        <v>178</v>
      </c>
      <c r="B37" s="80" t="s">
        <v>210</v>
      </c>
      <c r="C37" s="59">
        <f>'P&amp;L Summary'!E$7/'BS Summary'!B$25</f>
        <v>4.0443078539532431</v>
      </c>
      <c r="D37" s="59">
        <f>'P&amp;L Summary'!F$7/'BS Summary'!C$25</f>
        <v>3.6172630083732056</v>
      </c>
      <c r="E37" s="59">
        <f>'P&amp;L Summary'!G$7/'BS Summary'!D$25</f>
        <v>3.6868101642224769</v>
      </c>
      <c r="F37" s="59">
        <f>'P&amp;L Summary'!H$7/'BS Summary'!E$25</f>
        <v>3.1642576693826219</v>
      </c>
      <c r="G37" s="59">
        <f>'P&amp;L Summary'!I$7/'BS Summary'!F$25</f>
        <v>3.1069369283536585</v>
      </c>
      <c r="H37" s="59">
        <f>'P&amp;L Summary'!J$7/'BS Summary'!G$25</f>
        <v>2.8181935268601936</v>
      </c>
      <c r="I37" s="59">
        <f>'P&amp;L Summary'!K$7/'BS Summary'!H$25</f>
        <v>2.6673384496324002</v>
      </c>
      <c r="J37" s="59">
        <f>'P&amp;L Summary'!L$7/'BS Summary'!I$25</f>
        <v>2.9137327309975309</v>
      </c>
      <c r="K37" s="59">
        <f>'P&amp;L Summary'!M$7/'BS Summary'!J$25</f>
        <v>3.2999018291659667</v>
      </c>
      <c r="L37" s="59">
        <f>'P&amp;L Summary'!N$7/'BS Summary'!K$25</f>
        <v>3.4348644120626508</v>
      </c>
      <c r="M37" s="59">
        <f t="shared" si="1"/>
        <v>2.9137327309975309</v>
      </c>
      <c r="N37" s="59">
        <f t="shared" si="2"/>
        <v>3.0268061897437484</v>
      </c>
      <c r="O37" s="59">
        <f t="shared" si="3"/>
        <v>0.29210088922920213</v>
      </c>
      <c r="P37" s="59">
        <f t="shared" si="4"/>
        <v>1.3969769944750572</v>
      </c>
      <c r="Q37" s="59"/>
    </row>
    <row r="38" spans="1:17" ht="16.5" x14ac:dyDescent="0.3">
      <c r="A38" s="80" t="s">
        <v>208</v>
      </c>
      <c r="B38" s="80" t="s">
        <v>179</v>
      </c>
      <c r="C38" s="91">
        <f>C$29/C$37</f>
        <v>90.250300714179957</v>
      </c>
      <c r="D38" s="91">
        <f t="shared" ref="D38:L38" si="7">D$29/D$37</f>
        <v>100.90502104909196</v>
      </c>
      <c r="E38" s="91">
        <f t="shared" si="7"/>
        <v>99.001571478247243</v>
      </c>
      <c r="F38" s="91">
        <f t="shared" si="7"/>
        <v>115.35090948241745</v>
      </c>
      <c r="G38" s="91">
        <f t="shared" si="7"/>
        <v>117.47905040139023</v>
      </c>
      <c r="H38" s="91">
        <f t="shared" si="7"/>
        <v>129.51559093482621</v>
      </c>
      <c r="I38" s="91">
        <f t="shared" si="7"/>
        <v>136.8405273242706</v>
      </c>
      <c r="J38" s="91">
        <f t="shared" si="7"/>
        <v>125.26886770257765</v>
      </c>
      <c r="K38" s="91">
        <f t="shared" si="7"/>
        <v>110.60935109462086</v>
      </c>
      <c r="L38" s="91">
        <f t="shared" si="7"/>
        <v>106.26329200016833</v>
      </c>
      <c r="M38" s="91">
        <f t="shared" si="1"/>
        <v>125.26886770257765</v>
      </c>
      <c r="N38" s="91">
        <f t="shared" si="2"/>
        <v>121.69952581129273</v>
      </c>
      <c r="O38" s="59">
        <f t="shared" si="3"/>
        <v>11.526927534136785</v>
      </c>
      <c r="P38" s="59">
        <f t="shared" si="4"/>
        <v>-1.339145558554981</v>
      </c>
      <c r="Q38" s="59"/>
    </row>
    <row r="39" spans="1:17" ht="16.5" x14ac:dyDescent="0.3">
      <c r="A39" s="80" t="s">
        <v>180</v>
      </c>
      <c r="B39" s="80" t="s">
        <v>241</v>
      </c>
      <c r="C39" s="59">
        <f>'P&amp;L Summary'!E$6/'BS Summary'!B$13</f>
        <v>3.7511931175623752</v>
      </c>
      <c r="D39" s="59">
        <f>'P&amp;L Summary'!F$6/'BS Summary'!C$13</f>
        <v>3.6843569814682842</v>
      </c>
      <c r="E39" s="59">
        <f>'P&amp;L Summary'!G$6/'BS Summary'!D$13</f>
        <v>3.9912816278614383</v>
      </c>
      <c r="F39" s="59">
        <f>'P&amp;L Summary'!H$6/'BS Summary'!E$13</f>
        <v>3.5174662648623669</v>
      </c>
      <c r="G39" s="59">
        <f>'P&amp;L Summary'!I$6/'BS Summary'!F$13</f>
        <v>3.6132084130071891</v>
      </c>
      <c r="H39" s="59">
        <f>'P&amp;L Summary'!J$6/'BS Summary'!G$13</f>
        <v>2.5390294203932933</v>
      </c>
      <c r="I39" s="59">
        <f>'P&amp;L Summary'!K$6/'BS Summary'!H$13</f>
        <v>3.4742231876248852</v>
      </c>
      <c r="J39" s="59">
        <f>'P&amp;L Summary'!L$6/'BS Summary'!I$13</f>
        <v>3.4656342470297083</v>
      </c>
      <c r="K39" s="59">
        <f>'P&amp;L Summary'!M$6/'BS Summary'!J$13</f>
        <v>4.4682623200164482</v>
      </c>
      <c r="L39" s="59">
        <f>'P&amp;L Summary'!N$6/'BS Summary'!K$13</f>
        <v>4.9442299003071879</v>
      </c>
      <c r="M39" s="59">
        <f t="shared" si="1"/>
        <v>3.4742231876248852</v>
      </c>
      <c r="N39" s="59">
        <f t="shared" si="2"/>
        <v>3.7782758150743043</v>
      </c>
      <c r="O39" s="59">
        <f t="shared" si="3"/>
        <v>0.84397330324266728</v>
      </c>
      <c r="P39" s="59">
        <f t="shared" si="4"/>
        <v>1.3815058850239927</v>
      </c>
      <c r="Q39" s="59"/>
    </row>
    <row r="40" spans="1:17" ht="16.5" x14ac:dyDescent="0.3">
      <c r="A40" s="80" t="s">
        <v>181</v>
      </c>
      <c r="B40" s="80" t="s">
        <v>211</v>
      </c>
      <c r="C40" s="59">
        <f>'P&amp;L Summary'!E$6/'Ratios Summary'!C$30</f>
        <v>-3.1426421189170357</v>
      </c>
      <c r="D40" s="59">
        <f>'P&amp;L Summary'!F$6/'Ratios Summary'!D$30</f>
        <v>-2.8708399813005219</v>
      </c>
      <c r="E40" s="59">
        <f>'P&amp;L Summary'!G$6/'Ratios Summary'!E$30</f>
        <v>-3.2721661951486833</v>
      </c>
      <c r="F40" s="59">
        <f>'P&amp;L Summary'!H$6/'Ratios Summary'!F$30</f>
        <v>-2.9545151229139788</v>
      </c>
      <c r="G40" s="59">
        <f>'P&amp;L Summary'!I$6/'Ratios Summary'!G$30</f>
        <v>-2.4895440778619347</v>
      </c>
      <c r="H40" s="59">
        <f>'P&amp;L Summary'!J$6/'Ratios Summary'!H$30</f>
        <v>-1.8521440635363986</v>
      </c>
      <c r="I40" s="59">
        <f>'P&amp;L Summary'!K$6/'Ratios Summary'!I$30</f>
        <v>-2.1003635026898633</v>
      </c>
      <c r="J40" s="59">
        <f>'P&amp;L Summary'!L$6/'Ratios Summary'!J$30</f>
        <v>-4.4057769695169267</v>
      </c>
      <c r="K40" s="59">
        <f>'P&amp;L Summary'!M$6/'Ratios Summary'!K$30</f>
        <v>-4.5498085620864765</v>
      </c>
      <c r="L40" s="59">
        <f>'P&amp;L Summary'!N$6/'Ratios Summary'!L$30</f>
        <v>-4.7803322695346262</v>
      </c>
      <c r="M40" s="59">
        <f t="shared" si="1"/>
        <v>-4.4057769695169267</v>
      </c>
      <c r="N40" s="59">
        <f t="shared" si="2"/>
        <v>-3.5376850734728578</v>
      </c>
      <c r="O40" s="59">
        <f t="shared" si="3"/>
        <v>1.2828944885746985</v>
      </c>
      <c r="P40" s="59">
        <f t="shared" si="4"/>
        <v>-0.96862774540590246</v>
      </c>
      <c r="Q40" s="59"/>
    </row>
    <row r="41" spans="1:17" ht="16.5" x14ac:dyDescent="0.3">
      <c r="A41" s="80" t="s">
        <v>182</v>
      </c>
      <c r="B41" s="80" t="s">
        <v>205</v>
      </c>
      <c r="C41" s="59">
        <f>'P&amp;L Summary'!E$6/'BS Summary'!B$16</f>
        <v>0.75705519431221058</v>
      </c>
      <c r="D41" s="59">
        <f>'P&amp;L Summary'!F$6/'BS Summary'!C$16</f>
        <v>0.75953968590657628</v>
      </c>
      <c r="E41" s="59">
        <f>'P&amp;L Summary'!G$6/'BS Summary'!D$16</f>
        <v>0.73591335495752308</v>
      </c>
      <c r="F41" s="59">
        <f>'P&amp;L Summary'!H$6/'BS Summary'!E$16</f>
        <v>0.67532753520568511</v>
      </c>
      <c r="G41" s="59">
        <f>'P&amp;L Summary'!I$6/'BS Summary'!F$16</f>
        <v>0.64686853297815927</v>
      </c>
      <c r="H41" s="59">
        <f>'P&amp;L Summary'!J$6/'BS Summary'!G$16</f>
        <v>0.45488589433026227</v>
      </c>
      <c r="I41" s="59">
        <f>'P&amp;L Summary'!K$6/'BS Summary'!H$16</f>
        <v>0.45025478526696616</v>
      </c>
      <c r="J41" s="59">
        <f>'P&amp;L Summary'!L$6/'BS Summary'!I$16</f>
        <v>0.52306607013032014</v>
      </c>
      <c r="K41" s="59">
        <f>'P&amp;L Summary'!M$6/'BS Summary'!J$16</f>
        <v>0.59362978235158237</v>
      </c>
      <c r="L41" s="59">
        <f>'P&amp;L Summary'!N$6/'BS Summary'!K$16</f>
        <v>0.59252402440438623</v>
      </c>
      <c r="M41" s="59">
        <f t="shared" si="1"/>
        <v>0.52306607013032014</v>
      </c>
      <c r="N41" s="59">
        <f t="shared" si="2"/>
        <v>0.52287211129670341</v>
      </c>
      <c r="O41" s="59">
        <f t="shared" si="3"/>
        <v>6.2854556509162066E-2</v>
      </c>
      <c r="P41" s="59">
        <f t="shared" si="4"/>
        <v>1.1081442138173376</v>
      </c>
      <c r="Q41" s="59"/>
    </row>
    <row r="42" spans="1:17" ht="16.5" x14ac:dyDescent="0.3">
      <c r="A42" s="80" t="s">
        <v>183</v>
      </c>
      <c r="B42" s="80" t="s">
        <v>209</v>
      </c>
      <c r="C42" s="91">
        <f>C$34+C$36-C$38</f>
        <v>4.5251090122345659</v>
      </c>
      <c r="D42" s="91">
        <f t="shared" ref="D42:L42" si="8">D$34+D$36-D$38</f>
        <v>-4.1372028100380334</v>
      </c>
      <c r="E42" s="91">
        <f t="shared" si="8"/>
        <v>-8.1811282147226336</v>
      </c>
      <c r="F42" s="91">
        <f t="shared" si="8"/>
        <v>-22.815837026642512</v>
      </c>
      <c r="G42" s="91">
        <f t="shared" si="8"/>
        <v>-18.955951215869717</v>
      </c>
      <c r="H42" s="91">
        <f t="shared" si="8"/>
        <v>7.1185629704956455E-2</v>
      </c>
      <c r="I42" s="91">
        <f t="shared" si="8"/>
        <v>-22.462435250361466</v>
      </c>
      <c r="J42" s="91">
        <f t="shared" si="8"/>
        <v>-23.164068475636483</v>
      </c>
      <c r="K42" s="91">
        <f t="shared" si="8"/>
        <v>-11.241721507402943</v>
      </c>
      <c r="L42" s="91">
        <f t="shared" si="8"/>
        <v>-9.7177529668246478</v>
      </c>
      <c r="M42" s="91">
        <f t="shared" si="1"/>
        <v>-11.241721507402943</v>
      </c>
      <c r="N42" s="91">
        <f t="shared" si="2"/>
        <v>-13.302958514104116</v>
      </c>
      <c r="O42" s="59">
        <f t="shared" si="3"/>
        <v>8.6845567779696484</v>
      </c>
      <c r="P42" s="59">
        <f t="shared" si="4"/>
        <v>0.41282539097149512</v>
      </c>
      <c r="Q42" s="59"/>
    </row>
    <row r="43" spans="1:17" ht="16.5" x14ac:dyDescent="0.3">
      <c r="A43" s="80" t="s">
        <v>184</v>
      </c>
      <c r="B43" s="80" t="s">
        <v>185</v>
      </c>
      <c r="C43" s="59">
        <f>C$36-C$38</f>
        <v>-62.27473246874272</v>
      </c>
      <c r="D43" s="59">
        <f t="shared" ref="D43:L43" si="9">D$36-D$38</f>
        <v>-72.906811099963889</v>
      </c>
      <c r="E43" s="59">
        <f t="shared" si="9"/>
        <v>-67.634325090536635</v>
      </c>
      <c r="F43" s="59">
        <f t="shared" si="9"/>
        <v>-81.702832708644578</v>
      </c>
      <c r="G43" s="59">
        <f t="shared" si="9"/>
        <v>-87.232590485354535</v>
      </c>
      <c r="H43" s="59">
        <f t="shared" si="9"/>
        <v>-95.9687953035655</v>
      </c>
      <c r="I43" s="59">
        <f t="shared" si="9"/>
        <v>-107.31847644983682</v>
      </c>
      <c r="J43" s="59">
        <f t="shared" si="9"/>
        <v>-99.467858016157791</v>
      </c>
      <c r="K43" s="59">
        <f t="shared" si="9"/>
        <v>-89.456073513582737</v>
      </c>
      <c r="L43" s="59">
        <f t="shared" si="9"/>
        <v>-86.686682368771571</v>
      </c>
      <c r="M43" s="59">
        <f t="shared" si="1"/>
        <v>-95.9687953035655</v>
      </c>
      <c r="N43" s="59">
        <f t="shared" si="2"/>
        <v>-95.779577130382876</v>
      </c>
      <c r="O43" s="59">
        <f t="shared" si="3"/>
        <v>7.3410196846399023</v>
      </c>
      <c r="P43" s="59">
        <f t="shared" si="4"/>
        <v>1.2386419260851413</v>
      </c>
      <c r="Q43" s="59"/>
    </row>
    <row r="44" spans="1:17" ht="16.5" x14ac:dyDescent="0.3">
      <c r="A44" s="80"/>
      <c r="B44" s="80"/>
      <c r="M44" s="42"/>
      <c r="N44" s="42"/>
      <c r="P44" s="60"/>
      <c r="Q44" s="60"/>
    </row>
    <row r="45" spans="1:17" ht="16.5" x14ac:dyDescent="0.3">
      <c r="A45" s="99" t="s">
        <v>186</v>
      </c>
      <c r="B45" s="99"/>
      <c r="M45" s="42"/>
      <c r="N45" s="42"/>
      <c r="P45" s="60"/>
      <c r="Q45" s="60"/>
    </row>
    <row r="46" spans="1:17" ht="16.5" x14ac:dyDescent="0.3">
      <c r="A46" s="80" t="s">
        <v>187</v>
      </c>
      <c r="B46" s="80" t="s">
        <v>235</v>
      </c>
      <c r="C46" s="59">
        <f>C$54/C$53</f>
        <v>1.4662323186772472</v>
      </c>
      <c r="D46" s="59">
        <f t="shared" ref="D46:L46" si="10">D$54/D$53</f>
        <v>1.568470122845393</v>
      </c>
      <c r="E46" s="59">
        <f t="shared" si="10"/>
        <v>1.6375338550893037</v>
      </c>
      <c r="F46" s="59">
        <f t="shared" si="10"/>
        <v>1.5199899714998073</v>
      </c>
      <c r="G46" s="59">
        <f t="shared" si="10"/>
        <v>1.7719424131158399</v>
      </c>
      <c r="H46" s="59">
        <f t="shared" si="10"/>
        <v>2.0538828416102257</v>
      </c>
      <c r="I46" s="59">
        <f t="shared" si="10"/>
        <v>1.9389395679660779</v>
      </c>
      <c r="J46" s="59">
        <f t="shared" si="10"/>
        <v>1.6468773820821585</v>
      </c>
      <c r="K46" s="59">
        <f t="shared" si="10"/>
        <v>1.6365751282825987</v>
      </c>
      <c r="L46" s="59">
        <f t="shared" si="10"/>
        <v>1.6108832756337574</v>
      </c>
      <c r="M46" s="59">
        <f t="shared" si="1"/>
        <v>1.6468773820821585</v>
      </c>
      <c r="N46" s="59">
        <f t="shared" si="2"/>
        <v>1.7774316391149636</v>
      </c>
      <c r="O46" s="59">
        <f t="shared" si="3"/>
        <v>0.18282965103854343</v>
      </c>
      <c r="P46" s="59">
        <f t="shared" si="4"/>
        <v>-0.91094832011737026</v>
      </c>
      <c r="Q46" s="59"/>
    </row>
    <row r="47" spans="1:17" ht="16.5" x14ac:dyDescent="0.3">
      <c r="A47" s="80" t="s">
        <v>188</v>
      </c>
      <c r="B47" s="80" t="s">
        <v>252</v>
      </c>
      <c r="C47" s="59">
        <f>C$54/(C$54+C$53)</f>
        <v>0.59452319539128196</v>
      </c>
      <c r="D47" s="59">
        <f t="shared" ref="D47:L47" si="11">D$54/(D$54+D$53)</f>
        <v>0.6106631760652198</v>
      </c>
      <c r="E47" s="59">
        <f t="shared" si="11"/>
        <v>0.6208579472561343</v>
      </c>
      <c r="F47" s="59">
        <f t="shared" si="11"/>
        <v>0.60317302397642647</v>
      </c>
      <c r="G47" s="59">
        <f t="shared" si="11"/>
        <v>0.6392421446894575</v>
      </c>
      <c r="H47" s="59">
        <f t="shared" si="11"/>
        <v>0.67254801449006207</v>
      </c>
      <c r="I47" s="59">
        <f t="shared" si="11"/>
        <v>0.6597412172404552</v>
      </c>
      <c r="J47" s="59">
        <f t="shared" si="11"/>
        <v>0.62219632584062023</v>
      </c>
      <c r="K47" s="59">
        <f t="shared" si="11"/>
        <v>0.62072008141433999</v>
      </c>
      <c r="L47" s="59">
        <f t="shared" si="11"/>
        <v>0.61698785643442322</v>
      </c>
      <c r="M47" s="59">
        <f t="shared" si="1"/>
        <v>0.62219632584062023</v>
      </c>
      <c r="N47" s="59">
        <f t="shared" si="2"/>
        <v>0.6384386990839801</v>
      </c>
      <c r="O47" s="59">
        <f t="shared" si="3"/>
        <v>2.3044068340265251E-2</v>
      </c>
      <c r="P47" s="59">
        <f t="shared" si="4"/>
        <v>-0.93086178763302374</v>
      </c>
      <c r="Q47" s="59"/>
    </row>
    <row r="48" spans="1:17" ht="16.5" x14ac:dyDescent="0.3">
      <c r="A48" s="80" t="s">
        <v>189</v>
      </c>
      <c r="B48" s="80" t="s">
        <v>239</v>
      </c>
      <c r="C48" s="59">
        <f>'BS Summary'!B$16/C$53</f>
        <v>3.6500163595986761</v>
      </c>
      <c r="D48" s="59">
        <f>'BS Summary'!C$16/D$53</f>
        <v>3.7690385823992694</v>
      </c>
      <c r="E48" s="59">
        <f>'BS Summary'!D$16/E$53</f>
        <v>3.8228496876012708</v>
      </c>
      <c r="F48" s="59">
        <f>'BS Summary'!E$16/F$53</f>
        <v>3.7081877755084345</v>
      </c>
      <c r="G48" s="59">
        <f>'BS Summary'!F$16/G$53</f>
        <v>4.0488957795245568</v>
      </c>
      <c r="H48" s="59">
        <f>'BS Summary'!G$16/H$53</f>
        <v>4.1460843332046506</v>
      </c>
      <c r="I48" s="59">
        <f>'BS Summary'!H$16/I$53</f>
        <v>3.9673091093436761</v>
      </c>
      <c r="J48" s="59">
        <f>'BS Summary'!I$16/J$53</f>
        <v>3.6582943994648858</v>
      </c>
      <c r="K48" s="59">
        <f>'BS Summary'!J$16/K$53</f>
        <v>3.624239631876002</v>
      </c>
      <c r="L48" s="59">
        <f>'BS Summary'!K$16/L$53</f>
        <v>3.5461518298306931</v>
      </c>
      <c r="M48" s="59">
        <f t="shared" si="1"/>
        <v>3.6582943994648858</v>
      </c>
      <c r="N48" s="59">
        <f t="shared" si="2"/>
        <v>3.7884158607439815</v>
      </c>
      <c r="O48" s="59">
        <f t="shared" si="3"/>
        <v>0.22913176125189358</v>
      </c>
      <c r="P48" s="59">
        <f t="shared" si="4"/>
        <v>-1.0573131790618848</v>
      </c>
      <c r="Q48" s="59"/>
    </row>
    <row r="49" spans="1:18" ht="16.5" x14ac:dyDescent="0.3">
      <c r="A49" s="80" t="s">
        <v>190</v>
      </c>
      <c r="B49" s="80" t="s">
        <v>191</v>
      </c>
      <c r="C49" s="59">
        <f>'P&amp;L Summary'!E$14/'P&amp;L Summary'!E$16</f>
        <v>2.1128017005154156</v>
      </c>
      <c r="D49" s="59">
        <f>'P&amp;L Summary'!F$14/'P&amp;L Summary'!F$16</f>
        <v>2.2689193161875405</v>
      </c>
      <c r="E49" s="59">
        <f>'P&amp;L Summary'!G$14/'P&amp;L Summary'!G$16</f>
        <v>2.1713572301738284</v>
      </c>
      <c r="F49" s="59">
        <f>'P&amp;L Summary'!H$14/'P&amp;L Summary'!H$16</f>
        <v>2.4946013257789499</v>
      </c>
      <c r="G49" s="59">
        <f>'P&amp;L Summary'!I$14/'P&amp;L Summary'!I$16</f>
        <v>2.2336104832365793</v>
      </c>
      <c r="H49" s="59">
        <f>'P&amp;L Summary'!J$14/'P&amp;L Summary'!J$16</f>
        <v>1.1278692608554828</v>
      </c>
      <c r="I49" s="59">
        <f>'P&amp;L Summary'!K$14/'P&amp;L Summary'!K$16</f>
        <v>1.3288458954282221</v>
      </c>
      <c r="J49" s="59">
        <f>'P&amp;L Summary'!L$14/'P&amp;L Summary'!L$16</f>
        <v>2.2270304201831426</v>
      </c>
      <c r="K49" s="59">
        <f>'P&amp;L Summary'!M$14/'P&amp;L Summary'!M$16</f>
        <v>2.7322984030053026</v>
      </c>
      <c r="L49" s="59">
        <f>'P&amp;L Summary'!N$14/'P&amp;L Summary'!N$16</f>
        <v>2.6933205665973579</v>
      </c>
      <c r="M49" s="59">
        <f t="shared" si="1"/>
        <v>2.2270304201831426</v>
      </c>
      <c r="N49" s="59">
        <f t="shared" si="2"/>
        <v>2.0218729092139016</v>
      </c>
      <c r="O49" s="59">
        <f t="shared" si="3"/>
        <v>0.67485774919703578</v>
      </c>
      <c r="P49" s="59">
        <f t="shared" si="4"/>
        <v>0.9949469472379372</v>
      </c>
      <c r="Q49" s="59"/>
    </row>
    <row r="50" spans="1:18" ht="16.5" x14ac:dyDescent="0.3">
      <c r="A50" s="80" t="s">
        <v>192</v>
      </c>
      <c r="B50" s="80" t="s">
        <v>240</v>
      </c>
      <c r="C50" s="59">
        <f>'P&amp;L Summary'!E$14/('BS Summary'!B$19+'BS Summary'!B$21+'P&amp;L Summary'!E$16)</f>
        <v>0.20420450394648756</v>
      </c>
      <c r="D50" s="59">
        <f>'P&amp;L Summary'!F$14/('BS Summary'!C$19+'BS Summary'!C$21+'P&amp;L Summary'!F$16)</f>
        <v>0.22444137060750641</v>
      </c>
      <c r="E50" s="59">
        <f>'P&amp;L Summary'!G$14/('BS Summary'!D$19+'BS Summary'!D$21+'P&amp;L Summary'!G$16)</f>
        <v>0.18047675089861243</v>
      </c>
      <c r="F50" s="59">
        <f>'P&amp;L Summary'!H$14/('BS Summary'!E$19+'BS Summary'!E$21+'P&amp;L Summary'!H$16)</f>
        <v>0.20247916975845273</v>
      </c>
      <c r="G50" s="59">
        <f>'P&amp;L Summary'!I$14/('BS Summary'!F$19+'BS Summary'!F$21+'P&amp;L Summary'!I$16)</f>
        <v>0.18981305113444524</v>
      </c>
      <c r="H50" s="59">
        <f>'P&amp;L Summary'!J$14/('BS Summary'!G$19+'BS Summary'!G$21+'P&amp;L Summary'!J$16)</f>
        <v>9.9085970163626441E-2</v>
      </c>
      <c r="I50" s="59">
        <f>'P&amp;L Summary'!K$14/('BS Summary'!H$19+'BS Summary'!H$21+'P&amp;L Summary'!K$16)</f>
        <v>0.12764465374055417</v>
      </c>
      <c r="J50" s="59">
        <f>'P&amp;L Summary'!L$14/('BS Summary'!I$19+'BS Summary'!I$21+'P&amp;L Summary'!L$16)</f>
        <v>0.1402439980899807</v>
      </c>
      <c r="K50" s="59">
        <f>'P&amp;L Summary'!M$14/('BS Summary'!J$19+'BS Summary'!J$21+'P&amp;L Summary'!M$16)</f>
        <v>0.16838304084603389</v>
      </c>
      <c r="L50" s="59">
        <f>'P&amp;L Summary'!N$14/('BS Summary'!K$19+'BS Summary'!K$21+'P&amp;L Summary'!N$16)</f>
        <v>0.17893332999743333</v>
      </c>
      <c r="M50" s="59">
        <f t="shared" si="1"/>
        <v>0.1402439980899807</v>
      </c>
      <c r="N50" s="59">
        <f t="shared" si="2"/>
        <v>0.14285819856752574</v>
      </c>
      <c r="O50" s="59">
        <f t="shared" si="3"/>
        <v>2.8660867575179858E-2</v>
      </c>
      <c r="P50" s="59">
        <f t="shared" si="4"/>
        <v>1.2586894425048194</v>
      </c>
      <c r="Q50" s="59"/>
    </row>
    <row r="51" spans="1:18" ht="16.5" x14ac:dyDescent="0.3">
      <c r="A51" s="80"/>
      <c r="B51" s="80"/>
      <c r="M51" s="42"/>
      <c r="N51" s="42"/>
      <c r="P51" s="60"/>
      <c r="Q51" s="60"/>
    </row>
    <row r="52" spans="1:18" ht="16.5" x14ac:dyDescent="0.3">
      <c r="A52" s="93" t="s">
        <v>193</v>
      </c>
      <c r="B52" s="93" t="s">
        <v>194</v>
      </c>
      <c r="C52" s="95">
        <f>'P&amp;L Summary'!E$14*(1-'Ratios Summary'!C$11)</f>
        <v>40095.01136828446</v>
      </c>
      <c r="D52" s="95">
        <f>'P&amp;L Summary'!F$14*(1-'Ratios Summary'!D$11)</f>
        <v>47882.659391787405</v>
      </c>
      <c r="E52" s="95">
        <f>'P&amp;L Summary'!G$14*(1-'Ratios Summary'!E$11)</f>
        <v>50531.386460239482</v>
      </c>
      <c r="F52" s="95">
        <f>'P&amp;L Summary'!H$14*(1-'Ratios Summary'!F$11)</f>
        <v>76654.513184808078</v>
      </c>
      <c r="G52" s="95">
        <f>'P&amp;L Summary'!I$14*(1-'Ratios Summary'!G$11)</f>
        <v>76073.320248138829</v>
      </c>
      <c r="H52" s="95">
        <f>'P&amp;L Summary'!J$14*(1-'Ratios Summary'!H$11)</f>
        <v>-13174.908105233735</v>
      </c>
      <c r="I52" s="95">
        <f>'P&amp;L Summary'!K$14*(1-'Ratios Summary'!I$11)</f>
        <v>38831.721850737878</v>
      </c>
      <c r="J52" s="95">
        <f>'P&amp;L Summary'!L$14*(1-'Ratios Summary'!J$11)</f>
        <v>86580.769772703425</v>
      </c>
      <c r="K52" s="95">
        <f>'P&amp;L Summary'!M$14*(1-'Ratios Summary'!K$11)</f>
        <v>128858.61553502339</v>
      </c>
      <c r="L52" s="95">
        <f>'P&amp;L Summary'!N$14*(1-'Ratios Summary'!L$11)</f>
        <v>154877.22033710548</v>
      </c>
      <c r="M52" s="42"/>
      <c r="N52" s="42"/>
      <c r="P52" s="60"/>
      <c r="Q52" s="60"/>
    </row>
    <row r="53" spans="1:18" ht="16.5" x14ac:dyDescent="0.3">
      <c r="A53" s="93" t="s">
        <v>237</v>
      </c>
      <c r="B53" s="93" t="s">
        <v>238</v>
      </c>
      <c r="C53" s="95">
        <f>'BS Summary'!B$33+'BS Summary'!B$34</f>
        <v>258563.8</v>
      </c>
      <c r="D53" s="95">
        <f>'BS Summary'!C$33+'BS Summary'!C$34</f>
        <v>264926.5</v>
      </c>
      <c r="E53" s="95">
        <f>'BS Summary'!D$33+'BS Summary'!D$34</f>
        <v>297776.5</v>
      </c>
      <c r="F53" s="95">
        <f>'BS Summary'!E$33+'BS Summary'!E$34</f>
        <v>367751.89999999997</v>
      </c>
      <c r="G53" s="95">
        <f>'BS Summary'!F$33+'BS Summary'!F$34</f>
        <v>399834.1</v>
      </c>
      <c r="H53" s="95">
        <f>'BS Summary'!G$33+'BS Summary'!G$34</f>
        <v>399693.1</v>
      </c>
      <c r="I53" s="95">
        <f>'BS Summary'!H$33+'BS Summary'!H$34</f>
        <v>415819.19999999995</v>
      </c>
      <c r="J53" s="95">
        <f>'BS Summary'!I$33+'BS Summary'!I$34</f>
        <v>471226.4</v>
      </c>
      <c r="K53" s="95">
        <f>'BS Summary'!J$33+'BS Summary'!J$34</f>
        <v>563657.89999999991</v>
      </c>
      <c r="L53" s="95">
        <f>'BS Summary'!K$33+'BS Summary'!K$34</f>
        <v>661905.5</v>
      </c>
      <c r="M53" s="42"/>
      <c r="N53" s="42"/>
      <c r="P53" s="60"/>
      <c r="Q53" s="60"/>
    </row>
    <row r="54" spans="1:18" ht="16.5" x14ac:dyDescent="0.3">
      <c r="A54" s="93" t="s">
        <v>222</v>
      </c>
      <c r="B54" s="93" t="s">
        <v>234</v>
      </c>
      <c r="C54" s="95">
        <f>'BS Summary'!B$23</f>
        <v>379114.6</v>
      </c>
      <c r="D54" s="95">
        <f>'BS Summary'!C$23</f>
        <v>415529.3</v>
      </c>
      <c r="E54" s="95">
        <f>'BS Summary'!D$23</f>
        <v>487619.10000000003</v>
      </c>
      <c r="F54" s="95">
        <f>'BS Summary'!E$23</f>
        <v>558979.19999999995</v>
      </c>
      <c r="G54" s="95">
        <f>'BS Summary'!F$23</f>
        <v>708483</v>
      </c>
      <c r="H54" s="95">
        <f>'BS Summary'!G$23</f>
        <v>820922.8</v>
      </c>
      <c r="I54" s="95">
        <f>'BS Summary'!H$23</f>
        <v>806248.3</v>
      </c>
      <c r="J54" s="95">
        <f>'BS Summary'!I$23</f>
        <v>776052.10000000009</v>
      </c>
      <c r="K54" s="95">
        <f>'BS Summary'!J$23</f>
        <v>922468.5</v>
      </c>
      <c r="L54" s="95">
        <f>'BS Summary'!K$23</f>
        <v>1066252.5</v>
      </c>
      <c r="M54" s="42"/>
      <c r="N54" s="42"/>
      <c r="P54" s="60"/>
      <c r="Q54" s="60"/>
    </row>
    <row r="55" spans="1:18" ht="16.5" x14ac:dyDescent="0.3">
      <c r="A55" s="93" t="s">
        <v>219</v>
      </c>
      <c r="B55" s="93" t="s">
        <v>249</v>
      </c>
      <c r="C55" s="95">
        <f>C$54+C$53-'BS Summary'!B$21-'BS Summary'!B$22</f>
        <v>481838.39999999991</v>
      </c>
      <c r="D55" s="95">
        <f>D$54+D$53-'BS Summary'!C$21-'BS Summary'!C$22</f>
        <v>500915.80000000005</v>
      </c>
      <c r="E55" s="95">
        <f>E$54+E$53-'BS Summary'!D$21-'BS Summary'!D$22</f>
        <v>599015.60000000009</v>
      </c>
      <c r="F55" s="95">
        <f>F$54+F$53-'BS Summary'!E$21-'BS Summary'!E$22</f>
        <v>705841.09999999986</v>
      </c>
      <c r="G55" s="95">
        <f>G$54+G$53-'BS Summary'!F$21-'BS Summary'!F$22</f>
        <v>835097.10000000009</v>
      </c>
      <c r="H55" s="95">
        <f>H$54+H$53-'BS Summary'!G$21-'BS Summary'!G$22</f>
        <v>922665.89999999991</v>
      </c>
      <c r="I55" s="95">
        <f>I$54+I$53-'BS Summary'!H$21-'BS Summary'!H$22</f>
        <v>970267.5</v>
      </c>
      <c r="J55" s="95">
        <f>J$54+J$53-'BS Summary'!I$21-'BS Summary'!I$22</f>
        <v>986858.5</v>
      </c>
      <c r="K55" s="95">
        <f>K$54+K$53-'BS Summary'!J$21-'BS Summary'!J$22</f>
        <v>1148726.3999999999</v>
      </c>
      <c r="L55" s="95">
        <f>L$54+L$53-'BS Summary'!K$21-'BS Summary'!K$22</f>
        <v>1373318</v>
      </c>
      <c r="M55" s="42"/>
      <c r="N55" s="42"/>
      <c r="P55" s="60"/>
      <c r="Q55" s="60"/>
    </row>
    <row r="56" spans="1:18" ht="16.5" x14ac:dyDescent="0.3">
      <c r="A56" s="93" t="s">
        <v>221</v>
      </c>
      <c r="B56" s="93" t="s">
        <v>236</v>
      </c>
      <c r="C56" s="95">
        <f>C$55-'BS Summary'!B$9</f>
        <v>432720.09999999992</v>
      </c>
      <c r="D56" s="95">
        <f>D$55-'BS Summary'!C$9</f>
        <v>455640.30000000005</v>
      </c>
      <c r="E56" s="95">
        <f>E$55-'BS Summary'!D$9</f>
        <v>552475.30000000005</v>
      </c>
      <c r="F56" s="95">
        <f>F$55-'BS Summary'!E$9</f>
        <v>640365.09999999986</v>
      </c>
      <c r="G56" s="95">
        <f>G$55-'BS Summary'!F$9</f>
        <v>747748.00000000012</v>
      </c>
      <c r="H56" s="95">
        <f>H$55-'BS Summary'!G$9</f>
        <v>843556.89999999991</v>
      </c>
      <c r="I56" s="95">
        <f>I$55-'BS Summary'!H$9</f>
        <v>841747.6</v>
      </c>
      <c r="J56" s="95">
        <f>J$55-'BS Summary'!I$9</f>
        <v>875682.4</v>
      </c>
      <c r="K56" s="95">
        <f>K$55-'BS Summary'!J$9</f>
        <v>1035992.0999999999</v>
      </c>
      <c r="L56" s="95">
        <f>L$55-'BS Summary'!K$9</f>
        <v>1253190.5</v>
      </c>
      <c r="M56" s="42"/>
      <c r="N56" s="42"/>
      <c r="O56"/>
      <c r="P56"/>
      <c r="Q56"/>
      <c r="R56" t="s">
        <v>251</v>
      </c>
    </row>
    <row r="57" spans="1:18" ht="16.5" x14ac:dyDescent="0.3">
      <c r="A57" s="80"/>
      <c r="B57" s="80"/>
      <c r="M57" s="42"/>
      <c r="N57" s="42"/>
      <c r="P57" s="60"/>
      <c r="Q57" s="60"/>
    </row>
    <row r="58" spans="1:18" ht="16.5" x14ac:dyDescent="0.3">
      <c r="A58" s="99" t="s">
        <v>195</v>
      </c>
      <c r="B58" s="99"/>
      <c r="M58" s="42"/>
      <c r="N58" s="42"/>
      <c r="P58" s="60"/>
      <c r="Q58" s="60"/>
    </row>
    <row r="59" spans="1:18" ht="16.5" x14ac:dyDescent="0.3">
      <c r="A59" s="80" t="s">
        <v>196</v>
      </c>
      <c r="B59" s="80" t="s">
        <v>223</v>
      </c>
      <c r="C59" s="42">
        <f>'P&amp;L Summary'!E$24/C$53</f>
        <v>0.12134219871459191</v>
      </c>
      <c r="D59" s="42">
        <f>'P&amp;L Summary'!F$24/D$53</f>
        <v>0.11884164098344258</v>
      </c>
      <c r="E59" s="42">
        <f>'P&amp;L Summary'!G$24/E$53</f>
        <v>0.12418844334593228</v>
      </c>
      <c r="F59" s="42">
        <f>'P&amp;L Summary'!H$24/F$53</f>
        <v>0.20422436974492861</v>
      </c>
      <c r="G59" s="42">
        <f>'P&amp;L Summary'!I$24/G$53</f>
        <v>0.13294163754417146</v>
      </c>
      <c r="H59" s="42">
        <f>'P&amp;L Summary'!J$24/H$53</f>
        <v>3.1784386570596294E-3</v>
      </c>
      <c r="I59" s="42">
        <f>'P&amp;L Summary'!K$24/I$53</f>
        <v>4.3588415349748166E-2</v>
      </c>
      <c r="J59" s="42">
        <f>'P&amp;L Summary'!L$24/J$53</f>
        <v>0.13957876723375429</v>
      </c>
      <c r="K59" s="42">
        <f>'P&amp;L Summary'!M$24/K$53</f>
        <v>0.18240673997472584</v>
      </c>
      <c r="L59" s="42">
        <f>'P&amp;L Summary'!N$24/L$53</f>
        <v>0.17024545044572073</v>
      </c>
      <c r="M59" s="42">
        <f t="shared" si="1"/>
        <v>0.13957876723375429</v>
      </c>
      <c r="N59" s="42">
        <f t="shared" si="2"/>
        <v>0.10779956233220174</v>
      </c>
      <c r="O59" s="59">
        <f t="shared" si="3"/>
        <v>7.1476273934916026E-2</v>
      </c>
      <c r="P59" s="59">
        <f t="shared" si="4"/>
        <v>0.87365897347111554</v>
      </c>
      <c r="Q59" s="42">
        <f t="shared" ref="Q59:Q62" si="12">(($L59/$H59)^(1/5))-1</f>
        <v>1.2170339118656335</v>
      </c>
    </row>
    <row r="60" spans="1:18" ht="16.5" x14ac:dyDescent="0.3">
      <c r="A60" s="80" t="s">
        <v>197</v>
      </c>
      <c r="B60" s="80" t="s">
        <v>198</v>
      </c>
      <c r="C60" s="42">
        <f>'P&amp;L Summary'!E$24/'BS Summary'!B$16</f>
        <v>3.3244289000374135E-2</v>
      </c>
      <c r="D60" s="42">
        <f>'P&amp;L Summary'!F$24/'BS Summary'!C$16</f>
        <v>3.1531022669391499E-2</v>
      </c>
      <c r="E60" s="42">
        <f>'P&amp;L Summary'!G$24/'BS Summary'!D$16</f>
        <v>3.2485829549802933E-2</v>
      </c>
      <c r="F60" s="42">
        <f>'P&amp;L Summary'!H$24/'BS Summary'!E$16</f>
        <v>5.5073901891855286E-2</v>
      </c>
      <c r="G60" s="42">
        <f>'P&amp;L Summary'!I$24/'BS Summary'!F$16</f>
        <v>3.2834047795565181E-2</v>
      </c>
      <c r="H60" s="42">
        <f>'P&amp;L Summary'!J$24/'BS Summary'!G$16</f>
        <v>7.6661215779055434E-4</v>
      </c>
      <c r="I60" s="42">
        <f>'P&amp;L Summary'!K$24/'BS Summary'!H$16</f>
        <v>1.0986896697081193E-2</v>
      </c>
      <c r="J60" s="42">
        <f>'P&amp;L Summary'!L$24/'BS Summary'!I$16</f>
        <v>3.8154055412864277E-2</v>
      </c>
      <c r="K60" s="42">
        <f>'P&amp;L Summary'!M$24/'BS Summary'!J$16</f>
        <v>5.0329657666788243E-2</v>
      </c>
      <c r="L60" s="42">
        <f>'P&amp;L Summary'!N$24/'BS Summary'!K$16</f>
        <v>4.8008505731083964E-2</v>
      </c>
      <c r="M60" s="42">
        <f t="shared" si="1"/>
        <v>3.8154055412864277E-2</v>
      </c>
      <c r="N60" s="42">
        <f t="shared" si="2"/>
        <v>2.9649145533121646E-2</v>
      </c>
      <c r="O60" s="59">
        <f t="shared" si="3"/>
        <v>2.0097579191769376E-2</v>
      </c>
      <c r="P60" s="59">
        <f t="shared" si="4"/>
        <v>0.91351102651612315</v>
      </c>
      <c r="Q60" s="42">
        <f t="shared" si="12"/>
        <v>1.2874336057715485</v>
      </c>
    </row>
    <row r="61" spans="1:18" ht="16.5" x14ac:dyDescent="0.3">
      <c r="A61" s="80" t="s">
        <v>247</v>
      </c>
      <c r="B61" s="80" t="s">
        <v>218</v>
      </c>
      <c r="C61" s="42">
        <f>'P&amp;L Summary'!E$14/C$55</f>
        <v>0.13841694642851232</v>
      </c>
      <c r="D61" s="42">
        <f>'P&amp;L Summary'!F$14/D$55</f>
        <v>0.15253641430356157</v>
      </c>
      <c r="E61" s="42">
        <f>'P&amp;L Summary'!G$14/E$55</f>
        <v>0.13225214835807286</v>
      </c>
      <c r="F61" s="42">
        <f>'P&amp;L Summary'!H$14/F$55</f>
        <v>0.14091273517509814</v>
      </c>
      <c r="G61" s="42">
        <f>'P&amp;L Summary'!I$14/G$55</f>
        <v>0.13430462158232853</v>
      </c>
      <c r="H61" s="42">
        <f>'P&amp;L Summary'!J$14/H$55</f>
        <v>7.3602698441548459E-2</v>
      </c>
      <c r="I61" s="42">
        <f>'P&amp;L Summary'!K$14/I$55</f>
        <v>8.35739628504511E-2</v>
      </c>
      <c r="J61" s="42">
        <f>'P&amp;L Summary'!L$14/J$55</f>
        <v>0.11324166534513325</v>
      </c>
      <c r="K61" s="42">
        <f>'P&amp;L Summary'!M$14/K$55</f>
        <v>0.13866208698607443</v>
      </c>
      <c r="L61" s="42">
        <f>'P&amp;L Summary'!N$14/L$55</f>
        <v>0.14685710083170833</v>
      </c>
      <c r="M61" s="42">
        <f t="shared" si="1"/>
        <v>0.11324166534513325</v>
      </c>
      <c r="N61" s="42">
        <f t="shared" si="2"/>
        <v>0.11118750289098311</v>
      </c>
      <c r="O61" s="59">
        <f t="shared" si="3"/>
        <v>2.9005232944803536E-2</v>
      </c>
      <c r="P61" s="59">
        <f t="shared" si="4"/>
        <v>1.2297642293928084</v>
      </c>
      <c r="Q61" s="42">
        <f t="shared" si="12"/>
        <v>0.14815426313706448</v>
      </c>
    </row>
    <row r="62" spans="1:18" ht="16.5" x14ac:dyDescent="0.3">
      <c r="A62" s="80" t="s">
        <v>199</v>
      </c>
      <c r="B62" s="80" t="s">
        <v>220</v>
      </c>
      <c r="C62" s="42">
        <f>C$52/C$56</f>
        <v>9.2658074742274429E-2</v>
      </c>
      <c r="D62" s="42">
        <f t="shared" ref="D62:L62" si="13">D$52/D$56</f>
        <v>0.10508872764719758</v>
      </c>
      <c r="E62" s="42">
        <f t="shared" si="13"/>
        <v>9.1463611966434474E-2</v>
      </c>
      <c r="F62" s="42">
        <f t="shared" si="13"/>
        <v>0.11970438923796456</v>
      </c>
      <c r="G62" s="42">
        <f t="shared" si="13"/>
        <v>0.10173657468577491</v>
      </c>
      <c r="H62" s="42">
        <f t="shared" si="13"/>
        <v>-1.5618280290557444E-2</v>
      </c>
      <c r="I62" s="42">
        <f t="shared" si="13"/>
        <v>4.6132263223248725E-2</v>
      </c>
      <c r="J62" s="42">
        <f t="shared" si="13"/>
        <v>9.8872342041707612E-2</v>
      </c>
      <c r="K62" s="42">
        <f t="shared" si="13"/>
        <v>0.12438185149773189</v>
      </c>
      <c r="L62" s="42">
        <f t="shared" si="13"/>
        <v>0.12358633450948238</v>
      </c>
      <c r="M62" s="42">
        <f t="shared" si="1"/>
        <v>9.8872342041707612E-2</v>
      </c>
      <c r="N62" s="42">
        <f t="shared" si="2"/>
        <v>7.5470902196322631E-2</v>
      </c>
      <c r="O62" s="59">
        <f t="shared" si="3"/>
        <v>5.3689846485168814E-2</v>
      </c>
      <c r="P62" s="59">
        <f t="shared" si="4"/>
        <v>0.89617377331207437</v>
      </c>
      <c r="Q62" s="42">
        <f t="shared" si="12"/>
        <v>-2.5124027131880533</v>
      </c>
    </row>
    <row r="63" spans="1:18" x14ac:dyDescent="0.25">
      <c r="A63" s="81"/>
      <c r="B63" s="81"/>
      <c r="M63" s="42"/>
      <c r="N63" s="42"/>
    </row>
    <row r="64" spans="1:18" ht="16.5" x14ac:dyDescent="0.3">
      <c r="A64" s="101" t="s">
        <v>248</v>
      </c>
      <c r="B64" s="101"/>
      <c r="M64" s="42"/>
      <c r="N64" s="42"/>
    </row>
    <row r="65" spans="1:14" ht="16.5" x14ac:dyDescent="0.3">
      <c r="A65" s="80" t="s">
        <v>200</v>
      </c>
      <c r="B65" s="80"/>
      <c r="C65" s="36">
        <f>'P&amp;L Summary'!E$24</f>
        <v>31374.699999999997</v>
      </c>
      <c r="D65" s="36">
        <f>'P&amp;L Summary'!F$24</f>
        <v>31484.3</v>
      </c>
      <c r="E65" s="36">
        <f>'P&amp;L Summary'!G$24</f>
        <v>36980.400000000001</v>
      </c>
      <c r="F65" s="36">
        <f>'P&amp;L Summary'!H$24</f>
        <v>75103.900000000009</v>
      </c>
      <c r="G65" s="36">
        <f>'P&amp;L Summary'!I$24</f>
        <v>53154.6</v>
      </c>
      <c r="H65" s="36">
        <f>'P&amp;L Summary'!J$24</f>
        <v>1270.4000000000001</v>
      </c>
      <c r="I65" s="36">
        <f>'P&amp;L Summary'!K$24</f>
        <v>18124.900000000001</v>
      </c>
      <c r="J65" s="36">
        <f>'P&amp;L Summary'!L$24</f>
        <v>65773.2</v>
      </c>
      <c r="K65" s="36">
        <f>'P&amp;L Summary'!M$24</f>
        <v>102815</v>
      </c>
      <c r="L65" s="36">
        <f>'P&amp;L Summary'!N$24</f>
        <v>112686.39999999999</v>
      </c>
      <c r="M65" s="42"/>
      <c r="N65" s="42"/>
    </row>
    <row r="66" spans="1:14" ht="16.5" x14ac:dyDescent="0.3">
      <c r="A66" s="80" t="s">
        <v>201</v>
      </c>
      <c r="B66" s="80"/>
      <c r="C66" s="36">
        <f>'P&amp;L Summary'!E$6</f>
        <v>714480</v>
      </c>
      <c r="D66" s="36">
        <f>'P&amp;L Summary'!F$6</f>
        <v>758414.2</v>
      </c>
      <c r="E66" s="36">
        <f>'P&amp;L Summary'!G$6</f>
        <v>837730.5</v>
      </c>
      <c r="F66" s="36">
        <f>'P&amp;L Summary'!H$6</f>
        <v>920939.5</v>
      </c>
      <c r="G66" s="36">
        <f>'P&amp;L Summary'!I$6</f>
        <v>1047206.7999999999</v>
      </c>
      <c r="H66" s="36">
        <f>'P&amp;L Summary'!J$6</f>
        <v>753819.29999999993</v>
      </c>
      <c r="I66" s="36">
        <f>'P&amp;L Summary'!K$6</f>
        <v>742777.8</v>
      </c>
      <c r="J66" s="36">
        <f>'P&amp;L Summary'!L$6</f>
        <v>901705.70000000007</v>
      </c>
      <c r="K66" s="36">
        <f>'P&amp;L Summary'!M$6</f>
        <v>1212685.5</v>
      </c>
      <c r="L66" s="36">
        <f>'P&amp;L Summary'!N$6</f>
        <v>1390782.7</v>
      </c>
      <c r="M66" s="42"/>
      <c r="N66" s="42"/>
    </row>
    <row r="67" spans="1:14" ht="16.5" x14ac:dyDescent="0.3">
      <c r="A67" s="103" t="str">
        <f>A9</f>
        <v>Net Profit Ratio (A)</v>
      </c>
      <c r="B67" s="80"/>
      <c r="C67" s="61">
        <f>C$65/C$66</f>
        <v>4.3912635763072437E-2</v>
      </c>
      <c r="D67" s="61">
        <f t="shared" ref="D67:L67" si="14">D$65/D$66</f>
        <v>4.1513331369586702E-2</v>
      </c>
      <c r="E67" s="61">
        <f t="shared" si="14"/>
        <v>4.4143552132815983E-2</v>
      </c>
      <c r="F67" s="61">
        <f t="shared" si="14"/>
        <v>8.1551393984078221E-2</v>
      </c>
      <c r="G67" s="61">
        <f t="shared" si="14"/>
        <v>5.0758455731952853E-2</v>
      </c>
      <c r="H67" s="61">
        <f t="shared" si="14"/>
        <v>1.6852845237578823E-3</v>
      </c>
      <c r="I67" s="61">
        <f t="shared" si="14"/>
        <v>2.4401510115138067E-2</v>
      </c>
      <c r="J67" s="61">
        <f t="shared" si="14"/>
        <v>7.2943089968267913E-2</v>
      </c>
      <c r="K67" s="61">
        <f t="shared" si="14"/>
        <v>8.4782905378187501E-2</v>
      </c>
      <c r="L67" s="61">
        <f t="shared" si="14"/>
        <v>8.1023728581035695E-2</v>
      </c>
      <c r="M67" s="42"/>
      <c r="N67" s="42"/>
    </row>
    <row r="68" spans="1:14" ht="16.5" x14ac:dyDescent="0.3">
      <c r="A68" s="80"/>
      <c r="B68" s="80"/>
      <c r="C68" s="58" t="b">
        <f t="shared" ref="C68:L68" si="15">C9=C67</f>
        <v>1</v>
      </c>
      <c r="D68" s="58" t="b">
        <f t="shared" si="15"/>
        <v>1</v>
      </c>
      <c r="E68" s="58" t="b">
        <f t="shared" si="15"/>
        <v>1</v>
      </c>
      <c r="F68" s="58" t="b">
        <f t="shared" si="15"/>
        <v>1</v>
      </c>
      <c r="G68" s="58" t="b">
        <f t="shared" si="15"/>
        <v>1</v>
      </c>
      <c r="H68" s="58" t="b">
        <f t="shared" si="15"/>
        <v>1</v>
      </c>
      <c r="I68" s="58" t="b">
        <f t="shared" si="15"/>
        <v>1</v>
      </c>
      <c r="J68" s="58" t="b">
        <f t="shared" si="15"/>
        <v>1</v>
      </c>
      <c r="K68" s="58" t="b">
        <f t="shared" si="15"/>
        <v>1</v>
      </c>
      <c r="L68" s="58" t="b">
        <f t="shared" si="15"/>
        <v>1</v>
      </c>
      <c r="M68" s="42"/>
      <c r="N68" s="42"/>
    </row>
    <row r="69" spans="1:14" ht="16.5" x14ac:dyDescent="0.3">
      <c r="A69" s="80" t="s">
        <v>201</v>
      </c>
      <c r="B69" s="80"/>
      <c r="C69" s="36">
        <f>C$66</f>
        <v>714480</v>
      </c>
      <c r="D69" s="36">
        <f t="shared" ref="D69:L69" si="16">D$66</f>
        <v>758414.2</v>
      </c>
      <c r="E69" s="36">
        <f t="shared" si="16"/>
        <v>837730.5</v>
      </c>
      <c r="F69" s="36">
        <f t="shared" si="16"/>
        <v>920939.5</v>
      </c>
      <c r="G69" s="36">
        <f t="shared" si="16"/>
        <v>1047206.7999999999</v>
      </c>
      <c r="H69" s="36">
        <f t="shared" si="16"/>
        <v>753819.29999999993</v>
      </c>
      <c r="I69" s="36">
        <f t="shared" si="16"/>
        <v>742777.8</v>
      </c>
      <c r="J69" s="36">
        <f t="shared" si="16"/>
        <v>901705.70000000007</v>
      </c>
      <c r="K69" s="36">
        <f t="shared" si="16"/>
        <v>1212685.5</v>
      </c>
      <c r="L69" s="36">
        <f t="shared" si="16"/>
        <v>1390782.7</v>
      </c>
      <c r="M69" s="42"/>
      <c r="N69" s="42"/>
    </row>
    <row r="70" spans="1:14" ht="16.5" x14ac:dyDescent="0.3">
      <c r="A70" s="80" t="s">
        <v>202</v>
      </c>
      <c r="B70" s="80"/>
      <c r="C70" s="36">
        <f>'BS Summary'!B$16</f>
        <v>943762.10000000009</v>
      </c>
      <c r="D70" s="36">
        <f>'BS Summary'!C$16</f>
        <v>998518.20000000007</v>
      </c>
      <c r="E70" s="36">
        <f>'BS Summary'!D$16</f>
        <v>1138354.7999999998</v>
      </c>
      <c r="F70" s="36">
        <f>'BS Summary'!E$16</f>
        <v>1363693.1</v>
      </c>
      <c r="G70" s="36">
        <f>'BS Summary'!F$16</f>
        <v>1618886.5999999996</v>
      </c>
      <c r="H70" s="36">
        <f>'BS Summary'!G$16</f>
        <v>1657161.2999999998</v>
      </c>
      <c r="I70" s="36">
        <f>'BS Summary'!H$16</f>
        <v>1649683.2999999998</v>
      </c>
      <c r="J70" s="36">
        <f>'BS Summary'!I$16</f>
        <v>1723884.9000000001</v>
      </c>
      <c r="K70" s="36">
        <f>'BS Summary'!J$16</f>
        <v>2042831.3</v>
      </c>
      <c r="L70" s="36">
        <f>'BS Summary'!K$16</f>
        <v>2347217.4</v>
      </c>
      <c r="M70" s="42"/>
      <c r="N70" s="42"/>
    </row>
    <row r="71" spans="1:14" ht="16.5" x14ac:dyDescent="0.3">
      <c r="A71" s="103" t="str">
        <f>A41</f>
        <v>Total Asset Turnover Ratio (B)</v>
      </c>
      <c r="B71" s="80"/>
      <c r="C71" s="62">
        <f>C$69/C$70</f>
        <v>0.75705519431221058</v>
      </c>
      <c r="D71" s="62">
        <f t="shared" ref="D71:L71" si="17">D$69/D$70</f>
        <v>0.75953968590657628</v>
      </c>
      <c r="E71" s="62">
        <f t="shared" si="17"/>
        <v>0.73591335495752308</v>
      </c>
      <c r="F71" s="62">
        <f t="shared" si="17"/>
        <v>0.67532753520568511</v>
      </c>
      <c r="G71" s="62">
        <f t="shared" si="17"/>
        <v>0.64686853297815927</v>
      </c>
      <c r="H71" s="62">
        <f t="shared" si="17"/>
        <v>0.45488589433026227</v>
      </c>
      <c r="I71" s="62">
        <f t="shared" si="17"/>
        <v>0.45025478526696616</v>
      </c>
      <c r="J71" s="62">
        <f t="shared" si="17"/>
        <v>0.52306607013032014</v>
      </c>
      <c r="K71" s="62">
        <f t="shared" si="17"/>
        <v>0.59362978235158237</v>
      </c>
      <c r="L71" s="62">
        <f t="shared" si="17"/>
        <v>0.59252402440438623</v>
      </c>
      <c r="M71" s="42"/>
      <c r="N71" s="42"/>
    </row>
    <row r="72" spans="1:14" ht="16.5" x14ac:dyDescent="0.3">
      <c r="A72" s="80"/>
      <c r="B72" s="80"/>
      <c r="C72" s="58" t="b">
        <f>C71=C41</f>
        <v>1</v>
      </c>
      <c r="D72" s="58" t="b">
        <f t="shared" ref="D72:L72" si="18">D71=D41</f>
        <v>1</v>
      </c>
      <c r="E72" s="58" t="b">
        <f t="shared" si="18"/>
        <v>1</v>
      </c>
      <c r="F72" s="58" t="b">
        <f t="shared" si="18"/>
        <v>1</v>
      </c>
      <c r="G72" s="58" t="b">
        <f t="shared" si="18"/>
        <v>1</v>
      </c>
      <c r="H72" s="58" t="b">
        <f t="shared" si="18"/>
        <v>1</v>
      </c>
      <c r="I72" s="58" t="b">
        <f t="shared" si="18"/>
        <v>1</v>
      </c>
      <c r="J72" s="58" t="b">
        <f t="shared" si="18"/>
        <v>1</v>
      </c>
      <c r="K72" s="58" t="b">
        <f t="shared" si="18"/>
        <v>1</v>
      </c>
      <c r="L72" s="58" t="b">
        <f t="shared" si="18"/>
        <v>1</v>
      </c>
      <c r="M72" s="42"/>
      <c r="N72" s="42"/>
    </row>
    <row r="73" spans="1:14" ht="16.5" x14ac:dyDescent="0.3">
      <c r="A73" s="80" t="str">
        <f>A70</f>
        <v>Total Asset</v>
      </c>
      <c r="B73" s="80"/>
      <c r="C73" s="36">
        <f>C$70</f>
        <v>943762.10000000009</v>
      </c>
      <c r="D73" s="36">
        <f t="shared" ref="D73:L73" si="19">D$70</f>
        <v>998518.20000000007</v>
      </c>
      <c r="E73" s="36">
        <f t="shared" si="19"/>
        <v>1138354.7999999998</v>
      </c>
      <c r="F73" s="36">
        <f t="shared" si="19"/>
        <v>1363693.1</v>
      </c>
      <c r="G73" s="36">
        <f t="shared" si="19"/>
        <v>1618886.5999999996</v>
      </c>
      <c r="H73" s="36">
        <f t="shared" si="19"/>
        <v>1657161.2999999998</v>
      </c>
      <c r="I73" s="36">
        <f t="shared" si="19"/>
        <v>1649683.2999999998</v>
      </c>
      <c r="J73" s="36">
        <f t="shared" si="19"/>
        <v>1723884.9000000001</v>
      </c>
      <c r="K73" s="36">
        <f t="shared" si="19"/>
        <v>2042831.3</v>
      </c>
      <c r="L73" s="36">
        <f t="shared" si="19"/>
        <v>2347217.4</v>
      </c>
      <c r="M73" s="42"/>
      <c r="N73" s="42"/>
    </row>
    <row r="74" spans="1:14" ht="16.5" x14ac:dyDescent="0.3">
      <c r="A74" s="80" t="s">
        <v>237</v>
      </c>
      <c r="B74" s="80"/>
      <c r="C74" s="36">
        <f>C$53</f>
        <v>258563.8</v>
      </c>
      <c r="D74" s="36">
        <f t="shared" ref="D74:L74" si="20">D$53</f>
        <v>264926.5</v>
      </c>
      <c r="E74" s="36">
        <f t="shared" si="20"/>
        <v>297776.5</v>
      </c>
      <c r="F74" s="36">
        <f t="shared" si="20"/>
        <v>367751.89999999997</v>
      </c>
      <c r="G74" s="36">
        <f t="shared" si="20"/>
        <v>399834.1</v>
      </c>
      <c r="H74" s="36">
        <f t="shared" si="20"/>
        <v>399693.1</v>
      </c>
      <c r="I74" s="36">
        <f t="shared" si="20"/>
        <v>415819.19999999995</v>
      </c>
      <c r="J74" s="36">
        <f t="shared" si="20"/>
        <v>471226.4</v>
      </c>
      <c r="K74" s="36">
        <f t="shared" si="20"/>
        <v>563657.89999999991</v>
      </c>
      <c r="L74" s="36">
        <f t="shared" si="20"/>
        <v>661905.5</v>
      </c>
      <c r="M74" s="42"/>
      <c r="N74" s="42"/>
    </row>
    <row r="75" spans="1:14" ht="16.5" x14ac:dyDescent="0.3">
      <c r="A75" s="103" t="str">
        <f>A48</f>
        <v>Equity Multipleir / Financial Leverage (C)</v>
      </c>
      <c r="B75" s="80"/>
      <c r="C75" s="62">
        <f>C$73/C$74</f>
        <v>3.6500163595986761</v>
      </c>
      <c r="D75" s="62">
        <f t="shared" ref="D75:L75" si="21">D$73/D$74</f>
        <v>3.7690385823992694</v>
      </c>
      <c r="E75" s="62">
        <f t="shared" si="21"/>
        <v>3.8228496876012708</v>
      </c>
      <c r="F75" s="62">
        <f t="shared" si="21"/>
        <v>3.7081877755084345</v>
      </c>
      <c r="G75" s="62">
        <f t="shared" si="21"/>
        <v>4.0488957795245568</v>
      </c>
      <c r="H75" s="62">
        <f t="shared" si="21"/>
        <v>4.1460843332046506</v>
      </c>
      <c r="I75" s="62">
        <f t="shared" si="21"/>
        <v>3.9673091093436761</v>
      </c>
      <c r="J75" s="62">
        <f t="shared" si="21"/>
        <v>3.6582943994648858</v>
      </c>
      <c r="K75" s="62">
        <f t="shared" si="21"/>
        <v>3.624239631876002</v>
      </c>
      <c r="L75" s="62">
        <f t="shared" si="21"/>
        <v>3.5461518298306931</v>
      </c>
      <c r="M75" s="42"/>
      <c r="N75" s="42"/>
    </row>
    <row r="76" spans="1:14" ht="16.5" x14ac:dyDescent="0.3">
      <c r="A76" s="80"/>
      <c r="B76" s="80"/>
      <c r="C76" s="58" t="b">
        <f>C48=C75</f>
        <v>1</v>
      </c>
      <c r="D76" s="58" t="b">
        <f t="shared" ref="D76:L76" si="22">D48=D75</f>
        <v>1</v>
      </c>
      <c r="E76" s="58" t="b">
        <f t="shared" si="22"/>
        <v>1</v>
      </c>
      <c r="F76" s="58" t="b">
        <f t="shared" si="22"/>
        <v>1</v>
      </c>
      <c r="G76" s="58" t="b">
        <f t="shared" si="22"/>
        <v>1</v>
      </c>
      <c r="H76" s="58" t="b">
        <f t="shared" si="22"/>
        <v>1</v>
      </c>
      <c r="I76" s="58" t="b">
        <f t="shared" si="22"/>
        <v>1</v>
      </c>
      <c r="J76" s="58" t="b">
        <f t="shared" si="22"/>
        <v>1</v>
      </c>
      <c r="K76" s="58" t="b">
        <f t="shared" si="22"/>
        <v>1</v>
      </c>
      <c r="L76" s="58" t="b">
        <f t="shared" si="22"/>
        <v>1</v>
      </c>
      <c r="M76" s="42"/>
      <c r="N76" s="42"/>
    </row>
    <row r="77" spans="1:14" ht="16.5" x14ac:dyDescent="0.3">
      <c r="A77" s="101" t="str">
        <f>A59</f>
        <v>Return on Equity (A*B*C)</v>
      </c>
      <c r="B77" s="101"/>
      <c r="C77" s="42">
        <f>C$67*C$71*C$75</f>
        <v>0.12134219871459191</v>
      </c>
      <c r="D77" s="42">
        <f t="shared" ref="D77:L77" si="23">D$67*D$71*D$75</f>
        <v>0.11884164098344259</v>
      </c>
      <c r="E77" s="42">
        <f t="shared" si="23"/>
        <v>0.12418844334593228</v>
      </c>
      <c r="F77" s="42">
        <f t="shared" si="23"/>
        <v>0.20422436974492861</v>
      </c>
      <c r="G77" s="42">
        <f t="shared" si="23"/>
        <v>0.13294163754417143</v>
      </c>
      <c r="H77" s="42">
        <f t="shared" si="23"/>
        <v>3.1784386570596294E-3</v>
      </c>
      <c r="I77" s="42">
        <f t="shared" si="23"/>
        <v>4.3588415349748159E-2</v>
      </c>
      <c r="J77" s="42">
        <f t="shared" si="23"/>
        <v>0.13957876723375429</v>
      </c>
      <c r="K77" s="42">
        <f t="shared" si="23"/>
        <v>0.18240673997472584</v>
      </c>
      <c r="L77" s="42">
        <f t="shared" si="23"/>
        <v>0.1702454504457207</v>
      </c>
      <c r="M77" s="42"/>
      <c r="N77" s="42"/>
    </row>
    <row r="78" spans="1:14" x14ac:dyDescent="0.25">
      <c r="A78" s="81"/>
      <c r="B78" s="81"/>
      <c r="C78" s="58" t="b">
        <f>C77=C59</f>
        <v>1</v>
      </c>
      <c r="D78" s="58" t="b">
        <f t="shared" ref="D78:L78" si="24">D77=D59</f>
        <v>1</v>
      </c>
      <c r="E78" s="58" t="b">
        <f t="shared" si="24"/>
        <v>1</v>
      </c>
      <c r="F78" s="58" t="b">
        <f t="shared" si="24"/>
        <v>1</v>
      </c>
      <c r="G78" s="58" t="b">
        <f t="shared" si="24"/>
        <v>1</v>
      </c>
      <c r="H78" s="58" t="b">
        <f t="shared" si="24"/>
        <v>1</v>
      </c>
      <c r="I78" s="58" t="b">
        <f t="shared" si="24"/>
        <v>1</v>
      </c>
      <c r="J78" s="58" t="b">
        <f t="shared" si="24"/>
        <v>1</v>
      </c>
      <c r="K78" s="58" t="b">
        <f t="shared" si="24"/>
        <v>1</v>
      </c>
      <c r="L78" s="58" t="b">
        <f t="shared" si="24"/>
        <v>1</v>
      </c>
      <c r="M78" s="42"/>
      <c r="N78" s="42"/>
    </row>
    <row r="79" spans="1:14" x14ac:dyDescent="0.25">
      <c r="A79" s="81"/>
      <c r="B79" s="81"/>
      <c r="M79" s="42"/>
      <c r="N79" s="42"/>
    </row>
    <row r="80" spans="1:14" x14ac:dyDescent="0.25">
      <c r="A80" s="96" t="s">
        <v>226</v>
      </c>
      <c r="B80" s="96" t="s">
        <v>227</v>
      </c>
      <c r="C80" s="95">
        <f>'BS Summary'!B$16-'BS Summary'!B$30</f>
        <v>317487.50000000012</v>
      </c>
      <c r="D80" s="95">
        <f>'BS Summary'!C$16-'BS Summary'!C$30</f>
        <v>324128.90000000002</v>
      </c>
      <c r="E80" s="95">
        <f>'BS Summary'!D$16-'BS Summary'!D$30</f>
        <v>361345.69999999972</v>
      </c>
      <c r="F80" s="95">
        <f>'BS Summary'!E$16-'BS Summary'!E$30</f>
        <v>450263.90000000014</v>
      </c>
      <c r="G80" s="95">
        <f>'BS Summary'!F$16-'BS Summary'!F$30</f>
        <v>483443.59999999963</v>
      </c>
      <c r="H80" s="95">
        <f>'BS Summary'!G$16-'BS Summary'!G$30</f>
        <v>476618.49999999977</v>
      </c>
      <c r="I80" s="95">
        <f>'BS Summary'!H$16-'BS Summary'!H$30</f>
        <v>506524.99999999977</v>
      </c>
      <c r="J80" s="95">
        <f>'BS Summary'!I$16-'BS Summary'!I$30</f>
        <v>568252.80000000005</v>
      </c>
      <c r="K80" s="95">
        <f>'BS Summary'!J$16-'BS Summary'!J$30</f>
        <v>670812.80000000005</v>
      </c>
      <c r="L80" s="95">
        <f>'BS Summary'!K$16-'BS Summary'!K$30</f>
        <v>795304.89999999991</v>
      </c>
      <c r="M80" s="42"/>
      <c r="N80" s="42"/>
    </row>
    <row r="81" spans="1:17" x14ac:dyDescent="0.25">
      <c r="A81" s="115" t="s">
        <v>228</v>
      </c>
      <c r="B81" s="115" t="s">
        <v>263</v>
      </c>
      <c r="C81" s="114">
        <f>C$80/'Data Sheet'!B$90</f>
        <v>534.58073749789548</v>
      </c>
      <c r="D81" s="114">
        <f>D$80/'Data Sheet'!C$90</f>
        <v>535.44048897332129</v>
      </c>
      <c r="E81" s="114">
        <f>E$80/'Data Sheet'!D$90</f>
        <v>561.57541378506437</v>
      </c>
      <c r="F81" s="114">
        <f>F$80/'Data Sheet'!E$90</f>
        <v>609.37055081878486</v>
      </c>
      <c r="G81" s="114">
        <f>G$80/'Data Sheet'!F$90</f>
        <v>717.38180738981987</v>
      </c>
      <c r="H81" s="114">
        <f>H$80/'Data Sheet'!G$90</f>
        <v>1672.6390594841193</v>
      </c>
      <c r="I81" s="114">
        <f>I$80/'Data Sheet'!H$90</f>
        <v>636.93806978937414</v>
      </c>
      <c r="J81" s="114">
        <f>J$80/'Data Sheet'!I$90</f>
        <v>704.5475172029013</v>
      </c>
      <c r="K81" s="114">
        <f>K$80/'Data Sheet'!J$90</f>
        <v>578.93570380598953</v>
      </c>
      <c r="L81" s="114">
        <f>L$80/'Data Sheet'!K$90</f>
        <v>413.93025737111924</v>
      </c>
      <c r="M81" s="42"/>
      <c r="N81" s="42"/>
    </row>
    <row r="82" spans="1:17" x14ac:dyDescent="0.25">
      <c r="A82" s="96" t="s">
        <v>232</v>
      </c>
      <c r="B82" s="96" t="s">
        <v>233</v>
      </c>
      <c r="C82" s="95">
        <f>('Data Sheet'!B$90*'P&amp;L Summary'!E$27)/10^6</f>
        <v>351227.87390420004</v>
      </c>
      <c r="D82" s="95">
        <f>('Data Sheet'!C$90*'P&amp;L Summary'!F$27)/10^6</f>
        <v>358750.87506744999</v>
      </c>
      <c r="E82" s="95">
        <f>('Data Sheet'!D$90*'P&amp;L Summary'!G$27)/10^6</f>
        <v>399641.89448480005</v>
      </c>
      <c r="F82" s="95">
        <f>('Data Sheet'!E$90*'P&amp;L Summary'!H$27)/10^6</f>
        <v>918594.97076159995</v>
      </c>
      <c r="G82" s="95">
        <f>('Data Sheet'!F$90*'P&amp;L Summary'!I$27)/10^6</f>
        <v>837787.45540159999</v>
      </c>
      <c r="H82" s="95">
        <f>('Data Sheet'!G$90*'P&amp;L Summary'!J$27)/10^6</f>
        <v>354247.71541279997</v>
      </c>
      <c r="I82" s="95">
        <f>('Data Sheet'!H$90*'P&amp;L Summary'!K$27)/10^6</f>
        <v>882964.44712324999</v>
      </c>
      <c r="J82" s="95">
        <f>('Data Sheet'!I$90*'P&amp;L Summary'!L$27)/10^6</f>
        <v>896989.10883825005</v>
      </c>
      <c r="K82" s="95">
        <f>('Data Sheet'!J$90*'P&amp;L Summary'!M$27)/10^6</f>
        <v>1388259.5861488001</v>
      </c>
      <c r="L82" s="95">
        <f>('Data Sheet'!K$90*'P&amp;L Summary'!N$27)/10^6</f>
        <v>2141874.4295322001</v>
      </c>
      <c r="M82" s="42"/>
      <c r="N82" s="42"/>
    </row>
    <row r="83" spans="1:17" x14ac:dyDescent="0.25">
      <c r="A83" s="96" t="s">
        <v>230</v>
      </c>
      <c r="B83" s="96" t="s">
        <v>231</v>
      </c>
      <c r="C83" s="95">
        <f>C$82+C$54+'BS Summary'!B$35-'BS Summary'!B$9</f>
        <v>740147.87390420004</v>
      </c>
      <c r="D83" s="95">
        <f>D$82+'Ratios Summary'!D$54+'BS Summary'!C$35-'BS Summary'!C$9</f>
        <v>788207.07506744994</v>
      </c>
      <c r="E83" s="95">
        <f>E$82+'Ratios Summary'!E$54+'BS Summary'!D$35-'BS Summary'!D$9</f>
        <v>904289.89448480005</v>
      </c>
      <c r="F83" s="95">
        <f>F$82+'Ratios Summary'!F$54+'BS Summary'!E$35-'BS Summary'!E$9</f>
        <v>1494610.1707615999</v>
      </c>
      <c r="G83" s="95">
        <f>G$82+'Ratios Summary'!G$54+'BS Summary'!F$35-'BS Summary'!F$9</f>
        <v>1542530.8554015998</v>
      </c>
      <c r="H83" s="95">
        <f>H$82+'Ratios Summary'!H$54+'BS Summary'!G$35-'BS Summary'!G$9</f>
        <v>1172986.9154127999</v>
      </c>
      <c r="I83" s="95">
        <f>I$82+'Ratios Summary'!I$54+'BS Summary'!H$35-'BS Summary'!H$9</f>
        <v>1651398.6471232502</v>
      </c>
      <c r="J83" s="95">
        <f>J$82+'Ratios Summary'!J$54+'BS Summary'!I$35-'BS Summary'!I$9</f>
        <v>1658891.5088382498</v>
      </c>
      <c r="K83" s="95">
        <f>K$82+'Ratios Summary'!K$54+'BS Summary'!J$35-'BS Summary'!J$9</f>
        <v>2305148.6861488004</v>
      </c>
      <c r="L83" s="95">
        <f>L$82+'Ratios Summary'!L$54+'BS Summary'!K$35-'BS Summary'!K$9</f>
        <v>3201178.8295322</v>
      </c>
      <c r="M83" s="42"/>
      <c r="N83" s="42"/>
    </row>
    <row r="84" spans="1:17" x14ac:dyDescent="0.25">
      <c r="A84" s="81"/>
      <c r="B84" s="81"/>
      <c r="C84" s="36"/>
      <c r="M84" s="42"/>
      <c r="N84" s="42"/>
    </row>
    <row r="85" spans="1:17" ht="16.5" x14ac:dyDescent="0.3">
      <c r="A85" s="99" t="s">
        <v>229</v>
      </c>
      <c r="B85" s="102"/>
      <c r="M85" s="42"/>
      <c r="N85" s="42"/>
    </row>
    <row r="86" spans="1:17" x14ac:dyDescent="0.25">
      <c r="A86" s="81" t="s">
        <v>213</v>
      </c>
      <c r="B86" s="81" t="s">
        <v>253</v>
      </c>
      <c r="C86" s="59">
        <f>('Data Sheet'!B$90)/'P&amp;L Summary'!E$30</f>
        <v>11.194620949497526</v>
      </c>
      <c r="D86" s="59">
        <f>('Data Sheet'!C$90)/'P&amp;L Summary'!F$30</f>
        <v>11.394595880087854</v>
      </c>
      <c r="E86" s="59">
        <f>('Data Sheet'!D$90)/'P&amp;L Summary'!G$30</f>
        <v>10.806856996809122</v>
      </c>
      <c r="F86" s="59">
        <f>('Data Sheet'!E$90)/'P&amp;L Summary'!H$30</f>
        <v>12.230988946800363</v>
      </c>
      <c r="G86" s="59">
        <f>('Data Sheet'!F$90)/'P&amp;L Summary'!I$30</f>
        <v>15.761334962573322</v>
      </c>
      <c r="H86" s="59">
        <f>('Data Sheet'!G$90)/'P&amp;L Summary'!J$30</f>
        <v>278.84738303904277</v>
      </c>
      <c r="I86" s="59">
        <f>('Data Sheet'!H$90)/'P&amp;L Summary'!K$30</f>
        <v>48.715548616723403</v>
      </c>
      <c r="J86" s="59">
        <f>('Data Sheet'!I$90)/'P&amp;L Summary'!L$30</f>
        <v>13.637607853019922</v>
      </c>
      <c r="K86" s="59">
        <f>('Data Sheet'!J$90)/'P&amp;L Summary'!M$30</f>
        <v>13.502500473168313</v>
      </c>
      <c r="L86" s="59">
        <f>('Data Sheet'!K$90)/'P&amp;L Summary'!N$30</f>
        <v>19.007390683633517</v>
      </c>
      <c r="M86" s="59">
        <f t="shared" ref="M86:M90" si="25">MEDIAN($H86:$L86)</f>
        <v>19.007390683633517</v>
      </c>
      <c r="N86" s="59">
        <f t="shared" ref="N86:N90" si="26">AVERAGE($H86:$L86)</f>
        <v>74.742086133117581</v>
      </c>
      <c r="O86" s="59">
        <f t="shared" ref="O86:O90" si="27">_xlfn.STDEV.P($H86:$L86)</f>
        <v>102.88513330377725</v>
      </c>
      <c r="P86" s="59">
        <f t="shared" ref="P86:P90" si="28">($L86-$N86)/$O86</f>
        <v>-0.54171767737251753</v>
      </c>
      <c r="Q86" s="42">
        <f t="shared" ref="Q86:Q90" si="29">(($L86/$H86)^(1/5))-1</f>
        <v>-0.4155986834094153</v>
      </c>
    </row>
    <row r="87" spans="1:17" x14ac:dyDescent="0.25">
      <c r="A87" s="81" t="s">
        <v>214</v>
      </c>
      <c r="B87" s="81" t="s">
        <v>254</v>
      </c>
      <c r="C87" s="59">
        <f>'Data Sheet'!B$90/C$81</f>
        <v>1.1109640852002043</v>
      </c>
      <c r="D87" s="59">
        <f>'Data Sheet'!C$90/D$81</f>
        <v>1.1305644837593931</v>
      </c>
      <c r="E87" s="59">
        <f>'Data Sheet'!D$90/E$81</f>
        <v>1.1457944635843194</v>
      </c>
      <c r="F87" s="59">
        <f>'Data Sheet'!E$90/F$81</f>
        <v>1.2125626993414302</v>
      </c>
      <c r="G87" s="59">
        <f>'Data Sheet'!F$90/G$81</f>
        <v>0.93938819336940305</v>
      </c>
      <c r="H87" s="59">
        <f>'Data Sheet'!G$90/H$81</f>
        <v>0.17035952758862702</v>
      </c>
      <c r="I87" s="59">
        <f>'Data Sheet'!H$90/I$81</f>
        <v>1.2485515275652737</v>
      </c>
      <c r="J87" s="59">
        <f>'Data Sheet'!I$90/J$81</f>
        <v>1.1447772936622571</v>
      </c>
      <c r="K87" s="59">
        <f>'Data Sheet'!J$90/K$81</f>
        <v>2.0014312338703135</v>
      </c>
      <c r="L87" s="59">
        <f>'Data Sheet'!K$90/L$81</f>
        <v>4.6417239759242026</v>
      </c>
      <c r="M87" s="59">
        <f t="shared" si="25"/>
        <v>1.2485515275652737</v>
      </c>
      <c r="N87" s="59">
        <f t="shared" si="26"/>
        <v>1.8413687117221347</v>
      </c>
      <c r="O87" s="59">
        <f t="shared" si="27"/>
        <v>1.5163477917513215</v>
      </c>
      <c r="P87" s="59">
        <f t="shared" si="28"/>
        <v>1.8467763658413541</v>
      </c>
      <c r="Q87" s="42">
        <f t="shared" si="29"/>
        <v>0.93670100009610602</v>
      </c>
    </row>
    <row r="88" spans="1:17" x14ac:dyDescent="0.25">
      <c r="A88" s="81" t="s">
        <v>244</v>
      </c>
      <c r="B88" s="81" t="s">
        <v>215</v>
      </c>
      <c r="C88" s="59">
        <f>C$83/'P&amp;L Summary'!E$6</f>
        <v>1.0359252517973911</v>
      </c>
      <c r="D88" s="59">
        <f>D$83/'P&amp;L Summary'!F$6</f>
        <v>1.0392831187330749</v>
      </c>
      <c r="E88" s="59">
        <f>E$83/'P&amp;L Summary'!G$6</f>
        <v>1.0794520367645681</v>
      </c>
      <c r="F88" s="59">
        <f>F$83/'P&amp;L Summary'!H$6</f>
        <v>1.6229189547864977</v>
      </c>
      <c r="G88" s="59">
        <f>G$83/'P&amp;L Summary'!I$6</f>
        <v>1.4729954536215768</v>
      </c>
      <c r="H88" s="59">
        <f>H$83/'P&amp;L Summary'!J$6</f>
        <v>1.5560584816716685</v>
      </c>
      <c r="I88" s="59">
        <f>I$83/'P&amp;L Summary'!K$6</f>
        <v>2.2232741031345444</v>
      </c>
      <c r="J88" s="59">
        <f>J$83/'P&amp;L Summary'!L$6</f>
        <v>1.8397260978146748</v>
      </c>
      <c r="K88" s="59">
        <f>K$83/'P&amp;L Summary'!M$6</f>
        <v>1.9008627431834555</v>
      </c>
      <c r="L88" s="59">
        <f>L$83/'P&amp;L Summary'!N$6</f>
        <v>2.301710274029293</v>
      </c>
      <c r="M88" s="59">
        <f t="shared" si="25"/>
        <v>1.9008627431834555</v>
      </c>
      <c r="N88" s="59">
        <f t="shared" si="26"/>
        <v>1.9643263399667272</v>
      </c>
      <c r="O88" s="59">
        <f t="shared" si="27"/>
        <v>0.27096765695964642</v>
      </c>
      <c r="P88" s="59">
        <f t="shared" si="28"/>
        <v>1.245107766174508</v>
      </c>
      <c r="Q88" s="42">
        <f t="shared" si="29"/>
        <v>8.1446272907934159E-2</v>
      </c>
    </row>
    <row r="89" spans="1:17" x14ac:dyDescent="0.25">
      <c r="A89" s="81" t="s">
        <v>245</v>
      </c>
      <c r="B89" s="81" t="s">
        <v>216</v>
      </c>
      <c r="C89" s="59">
        <f>C$83/'P&amp;L Summary'!E$11</f>
        <v>8.4171894012843804</v>
      </c>
      <c r="D89" s="59">
        <f>D$83/'P&amp;L Summary'!F$11</f>
        <v>7.8176222726587019</v>
      </c>
      <c r="E89" s="59">
        <f>E$83/'P&amp;L Summary'!G$11</f>
        <v>8.4238864936361324</v>
      </c>
      <c r="F89" s="59">
        <f>F$83/'P&amp;L Summary'!H$11</f>
        <v>11.3004602321289</v>
      </c>
      <c r="G89" s="59">
        <f>G$83/'P&amp;L Summary'!I$11</f>
        <v>10.143884792773621</v>
      </c>
      <c r="H89" s="59">
        <f>H$83/'P&amp;L Summary'!J$11</f>
        <v>11.547704121609621</v>
      </c>
      <c r="I89" s="59">
        <f>I$83/'P&amp;L Summary'!K$11</f>
        <v>14.376214606775727</v>
      </c>
      <c r="J89" s="59">
        <f>J$83/'P&amp;L Summary'!L$11</f>
        <v>11.298157434273644</v>
      </c>
      <c r="K89" s="59">
        <f>K$83/'P&amp;L Summary'!M$11</f>
        <v>11.363646692498845</v>
      </c>
      <c r="L89" s="59">
        <f>L$83/'P&amp;L Summary'!N$11</f>
        <v>12.860307856932748</v>
      </c>
      <c r="M89" s="59">
        <f t="shared" si="25"/>
        <v>11.547704121609621</v>
      </c>
      <c r="N89" s="59">
        <f t="shared" si="26"/>
        <v>12.289206142418118</v>
      </c>
      <c r="O89" s="59">
        <f t="shared" si="27"/>
        <v>1.1891530248655668</v>
      </c>
      <c r="P89" s="59">
        <f t="shared" si="28"/>
        <v>0.48025922868858034</v>
      </c>
      <c r="Q89" s="42">
        <f t="shared" si="29"/>
        <v>2.1765285588509098E-2</v>
      </c>
    </row>
    <row r="90" spans="1:17" x14ac:dyDescent="0.25">
      <c r="A90" s="81" t="s">
        <v>246</v>
      </c>
      <c r="B90" s="81" t="s">
        <v>217</v>
      </c>
      <c r="C90" s="59">
        <f>C$83/'P&amp;L Summary'!E$14</f>
        <v>11.097568227475675</v>
      </c>
      <c r="D90" s="59">
        <f>D$83/'P&amp;L Summary'!F$14</f>
        <v>10.315779848254566</v>
      </c>
      <c r="E90" s="59">
        <f>E$83/'P&amp;L Summary'!G$14</f>
        <v>11.414760644383875</v>
      </c>
      <c r="F90" s="59">
        <f>F$83/'P&amp;L Summary'!H$14</f>
        <v>15.026946680758488</v>
      </c>
      <c r="G90" s="59">
        <f>G$83/'P&amp;L Summary'!I$14</f>
        <v>13.753268668867147</v>
      </c>
      <c r="H90" s="59">
        <f>H$83/'P&amp;L Summary'!J$14</f>
        <v>17.27249042364166</v>
      </c>
      <c r="I90" s="59">
        <f>I$83/'P&amp;L Summary'!K$14</f>
        <v>20.365235859360247</v>
      </c>
      <c r="J90" s="59">
        <f>J$83/'P&amp;L Summary'!L$14</f>
        <v>14.844201826683255</v>
      </c>
      <c r="K90" s="59">
        <f>K$83/'P&amp;L Summary'!M$14</f>
        <v>14.471868540807399</v>
      </c>
      <c r="L90" s="59">
        <f>L$83/'P&amp;L Summary'!N$14</f>
        <v>15.872446553264426</v>
      </c>
      <c r="M90" s="59">
        <f t="shared" si="25"/>
        <v>15.872446553264426</v>
      </c>
      <c r="N90" s="59">
        <f t="shared" si="26"/>
        <v>16.565248640751399</v>
      </c>
      <c r="O90" s="59">
        <f t="shared" si="27"/>
        <v>2.1337437012227287</v>
      </c>
      <c r="P90" s="59">
        <f t="shared" si="28"/>
        <v>-0.32468852144236759</v>
      </c>
      <c r="Q90" s="42">
        <f t="shared" si="29"/>
        <v>-1.6763974596667119E-2</v>
      </c>
    </row>
    <row r="91" spans="1:17" x14ac:dyDescent="0.25">
      <c r="A91" s="81"/>
      <c r="B91" s="81"/>
    </row>
    <row r="92" spans="1:17" ht="15.75" thickBot="1" x14ac:dyDescent="0.3">
      <c r="A92" s="81"/>
      <c r="B92" s="81"/>
    </row>
    <row r="93" spans="1:17" ht="15.75" thickBot="1" x14ac:dyDescent="0.3">
      <c r="A93" s="63" t="s">
        <v>242</v>
      </c>
      <c r="B93" s="64" t="s">
        <v>243</v>
      </c>
    </row>
    <row r="94" spans="1:17" ht="15.75" thickBot="1" x14ac:dyDescent="0.3">
      <c r="A94" s="65" t="str">
        <f>$A$6&amp;" ➡️"</f>
        <v>Profitability Ratios ➡️</v>
      </c>
      <c r="B94" s="66"/>
      <c r="C94" s="67" t="str" cm="1">
        <f t="array" ref="C94">_xlfn.XLOOKUP($B$94,$A$7:$A$9,$C$7:$Q$9,"👈Dropdown",0)</f>
        <v>👈Dropdown</v>
      </c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106"/>
      <c r="Q94" s="112"/>
    </row>
    <row r="95" spans="1:17" x14ac:dyDescent="0.25">
      <c r="A95" s="69" t="str">
        <f>$A$25&amp;" ➡️"</f>
        <v>Liquid Ratios ➡️</v>
      </c>
      <c r="B95" s="70"/>
      <c r="C95" s="71" t="str" cm="1">
        <f t="array" ref="C95">_xlfn.XLOOKUP($B$95,$A$26:$A$27,$C$26:$P$27,"👈 Dropdown",0)</f>
        <v>👈 Dropdown</v>
      </c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108"/>
    </row>
    <row r="96" spans="1:17" x14ac:dyDescent="0.25">
      <c r="A96" s="69" t="str">
        <f>$A$32&amp;" ➡️"</f>
        <v>Efficiency Ratios ➡️</v>
      </c>
      <c r="B96" s="70"/>
      <c r="C96" s="71" t="str" cm="1">
        <f t="array" ref="C96">_xlfn.XLOOKUP($B$96,$A$33:$A$43,$C$33:$P$43,"👈 Dropdown",0)</f>
        <v>👈 Dropdown</v>
      </c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109"/>
    </row>
    <row r="97" spans="1:17" ht="15.75" thickBot="1" x14ac:dyDescent="0.3">
      <c r="A97" s="69" t="str">
        <f>$A$45&amp;" ➡️"</f>
        <v>Leverage Ratios (Solvency Ratios) ➡️</v>
      </c>
      <c r="B97" s="70"/>
      <c r="C97" s="71" t="str" cm="1">
        <f t="array" ref="C97">_xlfn.XLOOKUP($B$97,$A$46:$A$50,$C$46:$P$50,"👈 Dropdown",0)</f>
        <v>👈 Dropdown</v>
      </c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110"/>
    </row>
    <row r="98" spans="1:17" ht="15.75" thickBot="1" x14ac:dyDescent="0.3">
      <c r="A98" s="69" t="str">
        <f>$A$58&amp;" ➡️"</f>
        <v>Rates of Return (Profitability Ratios) ➡️</v>
      </c>
      <c r="B98" s="70"/>
      <c r="C98" s="73" t="str" cm="1">
        <f t="array" ref="C98">_xlfn.XLOOKUP($B$98,$A$59:$A$62,$C$59:$Q$62,"👈 Dropdown",0)</f>
        <v>👈 Dropdown</v>
      </c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2"/>
      <c r="Q98" s="112"/>
    </row>
    <row r="99" spans="1:17" ht="15.75" thickBot="1" x14ac:dyDescent="0.3">
      <c r="A99" s="69" t="str">
        <f>$A$85&amp;" ➡️"</f>
        <v>Valuataion Ratios ➡️</v>
      </c>
      <c r="B99" s="70"/>
      <c r="C99" s="71" t="str" cm="1">
        <f t="array" ref="C99">_xlfn.XLOOKUP($B$99,$A$86:$A$90,$C$86:$Q$90,"👈 Dropdown",0)</f>
        <v>👈 Dropdown</v>
      </c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112"/>
    </row>
    <row r="100" spans="1:17" ht="15.75" thickBot="1" x14ac:dyDescent="0.3">
      <c r="A100" s="75" t="str">
        <f>$A$13&amp;" ➡️"</f>
        <v>Other Ratios ➡️</v>
      </c>
      <c r="B100" s="76"/>
      <c r="C100" s="77" t="str" cm="1">
        <f t="array" ref="C100">_xlfn.XLOOKUP($B$100,$A$14:$A$23,$C$14:$P$23,"👈 Dropdown",0)</f>
        <v>👈 Dropdown</v>
      </c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107"/>
      <c r="Q100" s="111"/>
    </row>
    <row r="102" spans="1:17" x14ac:dyDescent="0.25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59"/>
      <c r="Q102" s="59"/>
    </row>
    <row r="104" spans="1:17" x14ac:dyDescent="0.25">
      <c r="A104" t="s">
        <v>255</v>
      </c>
    </row>
  </sheetData>
  <mergeCells count="6">
    <mergeCell ref="M2:M4"/>
    <mergeCell ref="N2:N4"/>
    <mergeCell ref="O2:O4"/>
    <mergeCell ref="P2:P4"/>
    <mergeCell ref="R2:R4"/>
    <mergeCell ref="Q2:Q4"/>
  </mergeCells>
  <conditionalFormatting sqref="C68:L68 C72:L72 C76:L76 C78:L78">
    <cfRule type="containsText" dxfId="8" priority="7" operator="containsText" text="FALSE">
      <formula>NOT(ISERROR(SEARCH("FALSE",C68)))</formula>
    </cfRule>
  </conditionalFormatting>
  <conditionalFormatting sqref="C7:N7 C8:L9 M8:N25 C11:L11 C14:L23 M28:N32 M44:N45 M51:N85 C59:L62 C67:L67 C77:L77 C98:Q98 C100:Q100">
    <cfRule type="cellIs" dxfId="7" priority="6" operator="lessThan">
      <formula>0</formula>
    </cfRule>
  </conditionalFormatting>
  <conditionalFormatting sqref="C94:Q94 Q98:Q99">
    <cfRule type="cellIs" dxfId="6" priority="3" operator="lessThan">
      <formula>0</formula>
    </cfRule>
  </conditionalFormatting>
  <conditionalFormatting sqref="Q7:Q9">
    <cfRule type="cellIs" dxfId="5" priority="4" operator="lessThan">
      <formula>0</formula>
    </cfRule>
  </conditionalFormatting>
  <conditionalFormatting sqref="Q59:Q62">
    <cfRule type="cellIs" dxfId="4" priority="2" operator="lessThan">
      <formula>0</formula>
    </cfRule>
  </conditionalFormatting>
  <conditionalFormatting sqref="Q86:Q90">
    <cfRule type="cellIs" dxfId="3" priority="1" operator="lessThan">
      <formula>0</formula>
    </cfRule>
  </conditionalFormatting>
  <dataValidations count="7">
    <dataValidation type="list" allowBlank="1" showInputMessage="1" showErrorMessage="1" sqref="B100" xr:uid="{4DA91425-6631-457B-9BDA-117CA8F20806}">
      <formula1>$A$14:$A$23</formula1>
    </dataValidation>
    <dataValidation type="list" allowBlank="1" showInputMessage="1" showErrorMessage="1" sqref="B98" xr:uid="{8E127EAC-D75A-47C0-BF11-103EB02CE9B4}">
      <formula1>$A$59:$A$62</formula1>
    </dataValidation>
    <dataValidation type="list" allowBlank="1" showInputMessage="1" showErrorMessage="1" sqref="B97" xr:uid="{531B775E-9E3D-48DF-8058-0C23C4C42278}">
      <formula1>$A$46:$A$50</formula1>
    </dataValidation>
    <dataValidation type="list" allowBlank="1" showInputMessage="1" showErrorMessage="1" sqref="B96" xr:uid="{C93EB1CF-533B-4132-85C9-8A4364585AD9}">
      <formula1>$A$33:$A$43</formula1>
    </dataValidation>
    <dataValidation type="list" allowBlank="1" showInputMessage="1" showErrorMessage="1" sqref="B95" xr:uid="{D7F75FFE-41AC-460C-BC6F-534B137DC0D2}">
      <formula1>$A$26:$A$27</formula1>
    </dataValidation>
    <dataValidation type="list" allowBlank="1" showInputMessage="1" showErrorMessage="1" sqref="B94" xr:uid="{743087F8-CA67-4357-B175-0488F1F8041B}">
      <formula1>$A$7:$A$9</formula1>
    </dataValidation>
    <dataValidation type="list" allowBlank="1" showInputMessage="1" showErrorMessage="1" sqref="B99" xr:uid="{9B4327EE-39D7-439B-BBE1-FE472CA35A7C}">
      <formula1>$A$86:$A$90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0558-4087-4966-A693-E43B9A7B83AA}">
  <sheetPr>
    <tabColor rgb="FFFFC000"/>
  </sheetPr>
  <dimension ref="A1:Y45"/>
  <sheetViews>
    <sheetView showGridLines="0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5" sqref="F5"/>
    </sheetView>
  </sheetViews>
  <sheetFormatPr defaultRowHeight="15" x14ac:dyDescent="0.25"/>
  <cols>
    <col min="1" max="1" width="43.140625" bestFit="1" customWidth="1"/>
    <col min="2" max="3" width="12.42578125" style="40" bestFit="1" customWidth="1"/>
    <col min="4" max="11" width="14.28515625" style="40" bestFit="1" customWidth="1"/>
    <col min="15" max="15" width="117.85546875" bestFit="1" customWidth="1"/>
  </cols>
  <sheetData>
    <row r="1" spans="1:25" s="87" customFormat="1" ht="21" x14ac:dyDescent="0.35">
      <c r="A1" s="85" t="s">
        <v>125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25" x14ac:dyDescent="0.25">
      <c r="A2" t="s">
        <v>94</v>
      </c>
      <c r="B2" s="32">
        <f>'P&amp;L Summary'!E2</f>
        <v>42094</v>
      </c>
      <c r="C2" s="32">
        <f>'P&amp;L Summary'!F2</f>
        <v>42460</v>
      </c>
      <c r="D2" s="32">
        <f>'P&amp;L Summary'!G2</f>
        <v>42825</v>
      </c>
      <c r="E2" s="32">
        <f>'P&amp;L Summary'!H2</f>
        <v>43190</v>
      </c>
      <c r="F2" s="32">
        <f>'P&amp;L Summary'!I2</f>
        <v>43555</v>
      </c>
      <c r="G2" s="32">
        <f>'P&amp;L Summary'!J2</f>
        <v>43921</v>
      </c>
      <c r="H2" s="32">
        <f>'P&amp;L Summary'!K2</f>
        <v>44286</v>
      </c>
      <c r="I2" s="32">
        <f>'P&amp;L Summary'!L2</f>
        <v>44651</v>
      </c>
      <c r="J2" s="32">
        <f>'P&amp;L Summary'!M2</f>
        <v>45016</v>
      </c>
      <c r="K2" s="32">
        <f>'P&amp;L Summary'!N2</f>
        <v>45382</v>
      </c>
    </row>
    <row r="3" spans="1:25" x14ac:dyDescent="0.25">
      <c r="A3" t="s">
        <v>95</v>
      </c>
      <c r="B3" s="33" t="s">
        <v>96</v>
      </c>
      <c r="C3" s="33" t="s">
        <v>96</v>
      </c>
      <c r="D3" s="33" t="s">
        <v>96</v>
      </c>
      <c r="E3" s="33" t="s">
        <v>96</v>
      </c>
      <c r="F3" s="33" t="s">
        <v>96</v>
      </c>
      <c r="G3" s="33" t="s">
        <v>96</v>
      </c>
      <c r="H3" s="33" t="s">
        <v>96</v>
      </c>
      <c r="I3" s="33" t="s">
        <v>96</v>
      </c>
      <c r="J3" s="33" t="s">
        <v>96</v>
      </c>
      <c r="K3" s="33" t="s">
        <v>96</v>
      </c>
    </row>
    <row r="4" spans="1:25" x14ac:dyDescent="0.25">
      <c r="A4" t="s">
        <v>97</v>
      </c>
      <c r="B4" s="33" t="s">
        <v>98</v>
      </c>
      <c r="C4" s="33" t="s">
        <v>98</v>
      </c>
      <c r="D4" s="33" t="s">
        <v>98</v>
      </c>
      <c r="E4" s="33" t="s">
        <v>98</v>
      </c>
      <c r="F4" s="33" t="s">
        <v>98</v>
      </c>
      <c r="G4" s="33" t="s">
        <v>98</v>
      </c>
      <c r="H4" s="33" t="s">
        <v>98</v>
      </c>
      <c r="I4" s="33" t="s">
        <v>98</v>
      </c>
      <c r="J4" s="33" t="s">
        <v>98</v>
      </c>
      <c r="K4" s="33" t="s">
        <v>98</v>
      </c>
    </row>
    <row r="5" spans="1:25" x14ac:dyDescent="0.2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x14ac:dyDescent="0.25">
      <c r="A6" s="46" t="s">
        <v>126</v>
      </c>
    </row>
    <row r="7" spans="1:25" x14ac:dyDescent="0.25">
      <c r="A7" s="33" t="s">
        <v>127</v>
      </c>
    </row>
    <row r="8" spans="1:25" x14ac:dyDescent="0.25">
      <c r="A8" t="str">
        <f>'Data Sheet'!$A$68</f>
        <v>Inventory</v>
      </c>
      <c r="B8" s="36">
        <f>'Data Sheet'!B$68*10</f>
        <v>84533.9</v>
      </c>
      <c r="C8" s="36">
        <f>'Data Sheet'!C$68*10</f>
        <v>91161.200000000012</v>
      </c>
      <c r="D8" s="36">
        <f>'Data Sheet'!D$68*10</f>
        <v>88860.1</v>
      </c>
      <c r="E8" s="36">
        <f>'Data Sheet'!E$68*10</f>
        <v>93355.7</v>
      </c>
      <c r="F8" s="36">
        <f>'Data Sheet'!F$68*10</f>
        <v>122001.60000000001</v>
      </c>
      <c r="G8" s="36">
        <f>'Data Sheet'!G$68*10</f>
        <v>111118.6</v>
      </c>
      <c r="H8" s="36">
        <f>'Data Sheet'!H$68*10</f>
        <v>96154.1</v>
      </c>
      <c r="I8" s="36">
        <f>'Data Sheet'!I$68*10</f>
        <v>115958.2</v>
      </c>
      <c r="J8" s="36">
        <f>'Data Sheet'!J$68*10</f>
        <v>168549.7</v>
      </c>
      <c r="K8" s="36">
        <f>'Data Sheet'!K$68*10</f>
        <v>185904.7</v>
      </c>
    </row>
    <row r="9" spans="1:25" x14ac:dyDescent="0.25">
      <c r="A9" t="str">
        <f>'Data Sheet'!$A$69</f>
        <v>Cash &amp; Bank</v>
      </c>
      <c r="B9" s="36">
        <f>'Data Sheet'!B$69*10</f>
        <v>49118.3</v>
      </c>
      <c r="C9" s="36">
        <f>'Data Sheet'!C$69*10</f>
        <v>45275.5</v>
      </c>
      <c r="D9" s="36">
        <f>'Data Sheet'!D$69*10</f>
        <v>46540.299999999996</v>
      </c>
      <c r="E9" s="36">
        <f>'Data Sheet'!E$69*10</f>
        <v>65476</v>
      </c>
      <c r="F9" s="36">
        <f>'Data Sheet'!F$69*10</f>
        <v>87349.1</v>
      </c>
      <c r="G9" s="36">
        <f>'Data Sheet'!G$69*10</f>
        <v>79109</v>
      </c>
      <c r="H9" s="36">
        <f>'Data Sheet'!H$69*10</f>
        <v>128519.9</v>
      </c>
      <c r="I9" s="36">
        <f>'Data Sheet'!I$69*10</f>
        <v>111176.1</v>
      </c>
      <c r="J9" s="36">
        <f>'Data Sheet'!J$69*10</f>
        <v>112734.3</v>
      </c>
      <c r="K9" s="36">
        <f>'Data Sheet'!K$69*10</f>
        <v>120127.5</v>
      </c>
    </row>
    <row r="10" spans="1:25" x14ac:dyDescent="0.25">
      <c r="A10" t="str">
        <f>'Data Sheet'!$A$67</f>
        <v>Receivables</v>
      </c>
      <c r="B10" s="36">
        <f>'Data Sheet'!B$67*10</f>
        <v>54761.599999999999</v>
      </c>
      <c r="C10" s="36">
        <f>'Data Sheet'!C$67*10</f>
        <v>58176</v>
      </c>
      <c r="D10" s="36">
        <f>'Data Sheet'!D$67*10</f>
        <v>71992.600000000006</v>
      </c>
      <c r="E10" s="36">
        <f>'Data Sheet'!E$67*10</f>
        <v>84898.2</v>
      </c>
      <c r="F10" s="36">
        <f>'Data Sheet'!F$67*10</f>
        <v>86778.9</v>
      </c>
      <c r="G10" s="36">
        <f>'Data Sheet'!G$67*10</f>
        <v>69282.8</v>
      </c>
      <c r="H10" s="36">
        <f>'Data Sheet'!H$67*10</f>
        <v>60077.600000000006</v>
      </c>
      <c r="I10" s="36">
        <f>'Data Sheet'!I$67*10</f>
        <v>63739.5</v>
      </c>
      <c r="J10" s="36">
        <f>'Data Sheet'!J$67*10</f>
        <v>70280.200000000012</v>
      </c>
      <c r="K10" s="36">
        <f>'Data Sheet'!K$67*10</f>
        <v>74594</v>
      </c>
    </row>
    <row r="11" spans="1:25" x14ac:dyDescent="0.25">
      <c r="A11" t="s">
        <v>128</v>
      </c>
      <c r="B11" s="36">
        <f>('Data Sheet'!B$65-SUM('Data Sheet'!B$67:B$69))*10</f>
        <v>434288.10000000003</v>
      </c>
      <c r="C11" s="36">
        <f>('Data Sheet'!C$65-SUM('Data Sheet'!C$67:C$69))*10</f>
        <v>458319.10000000003</v>
      </c>
      <c r="D11" s="36">
        <f>('Data Sheet'!D$65-SUM('Data Sheet'!D$67:D$69))*10</f>
        <v>531657.89999999991</v>
      </c>
      <c r="E11" s="36">
        <f>('Data Sheet'!E$65-SUM('Data Sheet'!E$67:E$69))*10</f>
        <v>655273.4</v>
      </c>
      <c r="F11" s="36">
        <f>('Data Sheet'!F$65-SUM('Data Sheet'!F$67:F$69))*10</f>
        <v>802650.2</v>
      </c>
      <c r="G11" s="36">
        <f>('Data Sheet'!G$65-SUM('Data Sheet'!G$67:G$69))*10</f>
        <v>840090</v>
      </c>
      <c r="H11" s="36">
        <f>('Data Sheet'!H$65-SUM('Data Sheet'!H$67:H$69))*10</f>
        <v>784632.2</v>
      </c>
      <c r="I11" s="36">
        <f>('Data Sheet'!I$65-SUM('Data Sheet'!I$67:I$69))*10</f>
        <v>805193.79999999993</v>
      </c>
      <c r="J11" s="36">
        <f>('Data Sheet'!J$65-SUM('Data Sheet'!J$67:J$69))*10</f>
        <v>1027457.2999999999</v>
      </c>
      <c r="K11" s="36">
        <f>('Data Sheet'!K$65-SUM('Data Sheet'!K$67:K$69))*10</f>
        <v>1252823.1000000001</v>
      </c>
    </row>
    <row r="12" spans="1:25" x14ac:dyDescent="0.25">
      <c r="A12" s="33" t="s">
        <v>129</v>
      </c>
    </row>
    <row r="13" spans="1:25" x14ac:dyDescent="0.25">
      <c r="A13" t="str">
        <f>'Data Sheet'!$A$62</f>
        <v>Net Block</v>
      </c>
      <c r="B13" s="36">
        <f>'Data Sheet'!B$62*10</f>
        <v>190467.40000000002</v>
      </c>
      <c r="C13" s="36">
        <f>'Data Sheet'!C$62*10</f>
        <v>205847.09999999998</v>
      </c>
      <c r="D13" s="36">
        <f>'Data Sheet'!D$62*10</f>
        <v>209890.09999999998</v>
      </c>
      <c r="E13" s="36">
        <f>'Data Sheet'!E$62*10</f>
        <v>261819</v>
      </c>
      <c r="F13" s="36">
        <f>'Data Sheet'!F$62*10</f>
        <v>289827.40000000002</v>
      </c>
      <c r="G13" s="36">
        <f>'Data Sheet'!G$62*10</f>
        <v>296892.7</v>
      </c>
      <c r="H13" s="36">
        <f>'Data Sheet'!H$62*10</f>
        <v>213796.8</v>
      </c>
      <c r="I13" s="36">
        <f>'Data Sheet'!I$62*10</f>
        <v>260184.90000000002</v>
      </c>
      <c r="J13" s="36">
        <f>'Data Sheet'!J$62*10</f>
        <v>271399.8</v>
      </c>
      <c r="K13" s="36">
        <f>'Data Sheet'!K$62*10</f>
        <v>281294.09999999998</v>
      </c>
    </row>
    <row r="14" spans="1:25" x14ac:dyDescent="0.25">
      <c r="A14" t="str">
        <f>'Data Sheet'!$A$63</f>
        <v>Capital Work in Progress</v>
      </c>
      <c r="B14" s="36">
        <f>'Data Sheet'!B$63*10</f>
        <v>30321.399999999998</v>
      </c>
      <c r="C14" s="36">
        <f>'Data Sheet'!C$63*10</f>
        <v>23713.5</v>
      </c>
      <c r="D14" s="36">
        <f>'Data Sheet'!D$63*10</f>
        <v>42789.399999999994</v>
      </c>
      <c r="E14" s="36">
        <f>'Data Sheet'!E$63*10</f>
        <v>42694.700000000004</v>
      </c>
      <c r="F14" s="36">
        <f>'Data Sheet'!F$63*10</f>
        <v>47598.400000000001</v>
      </c>
      <c r="G14" s="36">
        <f>'Data Sheet'!G$63*10</f>
        <v>68564.799999999988</v>
      </c>
      <c r="H14" s="36">
        <f>'Data Sheet'!H$63*10</f>
        <v>78726.099999999991</v>
      </c>
      <c r="I14" s="36">
        <f>'Data Sheet'!I$63*10</f>
        <v>67028.100000000006</v>
      </c>
      <c r="J14" s="36">
        <f>'Data Sheet'!J$63*10</f>
        <v>39685.800000000003</v>
      </c>
      <c r="K14" s="36">
        <f>'Data Sheet'!K$63*10</f>
        <v>80393</v>
      </c>
    </row>
    <row r="15" spans="1:25" x14ac:dyDescent="0.25">
      <c r="A15" t="str">
        <f>'Data Sheet'!$A$64</f>
        <v>Investments</v>
      </c>
      <c r="B15" s="36">
        <f>'Data Sheet'!B$64*10</f>
        <v>100271.4</v>
      </c>
      <c r="C15" s="36">
        <f>'Data Sheet'!C$64*10</f>
        <v>116025.8</v>
      </c>
      <c r="D15" s="36">
        <f>'Data Sheet'!D$64*10</f>
        <v>146624.4</v>
      </c>
      <c r="E15" s="36">
        <f>'Data Sheet'!E$64*10</f>
        <v>160176.1</v>
      </c>
      <c r="F15" s="36">
        <f>'Data Sheet'!F$64*10</f>
        <v>182681</v>
      </c>
      <c r="G15" s="36">
        <f>'Data Sheet'!G$64*10</f>
        <v>192103.4</v>
      </c>
      <c r="H15" s="36">
        <f>'Data Sheet'!H$64*10</f>
        <v>287776.59999999998</v>
      </c>
      <c r="I15" s="36">
        <f>'Data Sheet'!I$64*10</f>
        <v>300604.3</v>
      </c>
      <c r="J15" s="36">
        <f>'Data Sheet'!J$64*10</f>
        <v>352724.19999999995</v>
      </c>
      <c r="K15" s="36">
        <f>'Data Sheet'!K$64*10</f>
        <v>352081</v>
      </c>
    </row>
    <row r="16" spans="1:25" ht="15.75" thickBot="1" x14ac:dyDescent="0.3">
      <c r="A16" s="47" t="s">
        <v>130</v>
      </c>
      <c r="B16" s="39">
        <f>SUM(B$8:B$11,B$13:B$15)</f>
        <v>943762.10000000009</v>
      </c>
      <c r="C16" s="39">
        <f t="shared" ref="C16:K16" si="0">SUM(C$8:C$11,C$13:C$15)</f>
        <v>998518.20000000007</v>
      </c>
      <c r="D16" s="39">
        <f t="shared" si="0"/>
        <v>1138354.7999999998</v>
      </c>
      <c r="E16" s="39">
        <f t="shared" si="0"/>
        <v>1363693.1</v>
      </c>
      <c r="F16" s="39">
        <f t="shared" si="0"/>
        <v>1618886.5999999996</v>
      </c>
      <c r="G16" s="39">
        <f t="shared" si="0"/>
        <v>1657161.2999999998</v>
      </c>
      <c r="H16" s="39">
        <f t="shared" si="0"/>
        <v>1649683.2999999998</v>
      </c>
      <c r="I16" s="39">
        <f t="shared" si="0"/>
        <v>1723884.9000000001</v>
      </c>
      <c r="J16" s="39">
        <f t="shared" si="0"/>
        <v>2042831.3</v>
      </c>
      <c r="K16" s="39">
        <f t="shared" si="0"/>
        <v>2347217.4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15.75" thickTop="1" x14ac:dyDescent="0.25"/>
    <row r="18" spans="1:25" x14ac:dyDescent="0.25">
      <c r="A18" s="48" t="s">
        <v>131</v>
      </c>
    </row>
    <row r="19" spans="1:25" x14ac:dyDescent="0.25">
      <c r="A19" s="50" t="s">
        <v>144</v>
      </c>
      <c r="B19" s="49">
        <v>223270</v>
      </c>
      <c r="C19" s="49">
        <v>235990</v>
      </c>
      <c r="D19" s="49">
        <v>301250</v>
      </c>
      <c r="E19" s="49">
        <v>338090</v>
      </c>
      <c r="F19" s="49">
        <v>435260</v>
      </c>
      <c r="G19" s="49">
        <v>522980</v>
      </c>
      <c r="H19" s="49">
        <v>527780</v>
      </c>
      <c r="I19" s="49">
        <v>486250</v>
      </c>
      <c r="J19" s="49">
        <v>550270</v>
      </c>
      <c r="K19" s="49">
        <v>697410</v>
      </c>
      <c r="L19" s="150" t="s">
        <v>136</v>
      </c>
      <c r="M19" s="150"/>
      <c r="N19" s="150"/>
    </row>
    <row r="20" spans="1:25" x14ac:dyDescent="0.25">
      <c r="A20" t="s">
        <v>145</v>
      </c>
      <c r="B20" s="49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26660</v>
      </c>
      <c r="I20" s="49">
        <v>29380</v>
      </c>
      <c r="J20" s="49">
        <v>34800</v>
      </c>
      <c r="K20" s="49">
        <v>34220</v>
      </c>
      <c r="L20" s="150"/>
      <c r="M20" s="150"/>
      <c r="N20" s="150"/>
    </row>
    <row r="21" spans="1:25" x14ac:dyDescent="0.25">
      <c r="A21" t="s">
        <v>146</v>
      </c>
      <c r="B21" s="49">
        <v>71770</v>
      </c>
      <c r="C21" s="49">
        <v>70770</v>
      </c>
      <c r="D21" s="49">
        <v>101220</v>
      </c>
      <c r="E21" s="49">
        <v>113260</v>
      </c>
      <c r="F21" s="49">
        <v>105410</v>
      </c>
      <c r="G21" s="49">
        <v>102180</v>
      </c>
      <c r="H21" s="49">
        <v>46470</v>
      </c>
      <c r="I21" s="49">
        <v>260420</v>
      </c>
      <c r="J21" s="49">
        <v>337400</v>
      </c>
      <c r="K21" s="49">
        <v>354840</v>
      </c>
      <c r="L21" s="150"/>
      <c r="M21" s="150"/>
      <c r="N21" s="150"/>
    </row>
    <row r="22" spans="1:25" x14ac:dyDescent="0.25">
      <c r="A22" t="s">
        <v>147</v>
      </c>
      <c r="B22" s="49">
        <v>84070</v>
      </c>
      <c r="C22" s="49">
        <v>108770</v>
      </c>
      <c r="D22" s="49">
        <v>85160</v>
      </c>
      <c r="E22" s="49">
        <v>107630</v>
      </c>
      <c r="F22" s="49">
        <v>167810</v>
      </c>
      <c r="G22" s="49">
        <v>195770</v>
      </c>
      <c r="H22" s="49">
        <v>205330</v>
      </c>
      <c r="I22" s="49">
        <v>0</v>
      </c>
      <c r="J22" s="49">
        <v>0</v>
      </c>
      <c r="K22" s="49">
        <v>0</v>
      </c>
      <c r="L22" s="150"/>
      <c r="M22" s="150"/>
      <c r="N22" s="150"/>
    </row>
    <row r="23" spans="1:25" x14ac:dyDescent="0.25">
      <c r="A23" s="33" t="str">
        <f>'Data Sheet'!$A$59</f>
        <v>Borrowings</v>
      </c>
      <c r="B23" s="51">
        <f>('Data Sheet'!B$59*10)-B$36</f>
        <v>379114.6</v>
      </c>
      <c r="C23" s="51">
        <f>('Data Sheet'!C$59*10)-C$36</f>
        <v>415529.3</v>
      </c>
      <c r="D23" s="51">
        <f>('Data Sheet'!D$59*10)-D$36</f>
        <v>487619.10000000003</v>
      </c>
      <c r="E23" s="51">
        <f>('Data Sheet'!E$59*10)-E$36</f>
        <v>558979.19999999995</v>
      </c>
      <c r="F23" s="51">
        <f>('Data Sheet'!F$59*10)-F$36</f>
        <v>708483</v>
      </c>
      <c r="G23" s="51">
        <f>('Data Sheet'!G$59*10)-G$36</f>
        <v>820922.8</v>
      </c>
      <c r="H23" s="51">
        <f>('Data Sheet'!H$59*10)-H$36</f>
        <v>806248.3</v>
      </c>
      <c r="I23" s="51">
        <f>('Data Sheet'!I$59*10)-I$36</f>
        <v>776052.10000000009</v>
      </c>
      <c r="J23" s="51">
        <f>('Data Sheet'!J$59*10)-J$36</f>
        <v>922468.5</v>
      </c>
      <c r="K23" s="51">
        <f>('Data Sheet'!K$59*10)-K$36</f>
        <v>1066252.5</v>
      </c>
      <c r="L23" s="150"/>
      <c r="M23" s="150"/>
      <c r="N23" s="150"/>
      <c r="O23" t="s">
        <v>139</v>
      </c>
    </row>
    <row r="24" spans="1:25" x14ac:dyDescent="0.25">
      <c r="A24" s="55" t="s">
        <v>138</v>
      </c>
      <c r="B24" s="56">
        <f>SUM(B$19:B$22)-B$23</f>
        <v>-4.5999999999767169</v>
      </c>
      <c r="C24" s="56">
        <f t="shared" ref="C24:K24" si="1">SUM(C$19:C$22)-C$23</f>
        <v>0.70000000001164153</v>
      </c>
      <c r="D24" s="56">
        <f t="shared" si="1"/>
        <v>10.899999999965075</v>
      </c>
      <c r="E24" s="56">
        <f t="shared" si="1"/>
        <v>0.80000000004656613</v>
      </c>
      <c r="F24" s="56">
        <f t="shared" si="1"/>
        <v>-3</v>
      </c>
      <c r="G24" s="56">
        <f t="shared" si="1"/>
        <v>7.1999999999534339</v>
      </c>
      <c r="H24" s="56">
        <f t="shared" si="1"/>
        <v>-8.3000000000465661</v>
      </c>
      <c r="I24" s="56">
        <f t="shared" si="1"/>
        <v>-2.1000000000931323</v>
      </c>
      <c r="J24" s="56">
        <f t="shared" si="1"/>
        <v>1.5</v>
      </c>
      <c r="K24" s="56">
        <f t="shared" si="1"/>
        <v>20217.5</v>
      </c>
      <c r="L24" s="150"/>
      <c r="M24" s="150"/>
      <c r="N24" s="150"/>
    </row>
    <row r="25" spans="1:25" x14ac:dyDescent="0.25">
      <c r="A25" t="s">
        <v>148</v>
      </c>
      <c r="B25" s="49">
        <v>114210</v>
      </c>
      <c r="C25" s="49">
        <v>133760</v>
      </c>
      <c r="D25" s="49">
        <v>147970</v>
      </c>
      <c r="E25" s="49">
        <v>182870</v>
      </c>
      <c r="F25" s="49">
        <v>209920</v>
      </c>
      <c r="G25" s="49">
        <v>149850</v>
      </c>
      <c r="H25" s="49">
        <v>155060</v>
      </c>
      <c r="I25" s="49">
        <v>190370</v>
      </c>
      <c r="J25" s="49">
        <v>238360</v>
      </c>
      <c r="K25" s="49">
        <v>256660</v>
      </c>
      <c r="L25" s="150"/>
      <c r="M25" s="150"/>
      <c r="N25" s="150"/>
    </row>
    <row r="26" spans="1:25" x14ac:dyDescent="0.25">
      <c r="A26" t="s">
        <v>149</v>
      </c>
      <c r="B26" s="49">
        <v>0</v>
      </c>
      <c r="C26" s="49">
        <v>8010</v>
      </c>
      <c r="D26" s="49">
        <v>5150</v>
      </c>
      <c r="E26" s="49">
        <v>8440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150"/>
      <c r="M26" s="150"/>
      <c r="N26" s="150"/>
    </row>
    <row r="27" spans="1:25" x14ac:dyDescent="0.25">
      <c r="A27" t="s">
        <v>150</v>
      </c>
      <c r="B27" s="49">
        <v>132950</v>
      </c>
      <c r="C27" s="49">
        <v>117090</v>
      </c>
      <c r="D27" s="49">
        <v>136270</v>
      </c>
      <c r="E27" s="49">
        <v>163140</v>
      </c>
      <c r="F27" s="49">
        <v>217040</v>
      </c>
      <c r="G27" s="49">
        <v>209770</v>
      </c>
      <c r="H27" s="49">
        <v>181850</v>
      </c>
      <c r="I27" s="49">
        <v>189210</v>
      </c>
      <c r="J27" s="49">
        <v>211190</v>
      </c>
      <c r="K27" s="49">
        <v>229000</v>
      </c>
      <c r="L27" s="150"/>
      <c r="M27" s="150"/>
      <c r="N27" s="150"/>
    </row>
    <row r="28" spans="1:25" x14ac:dyDescent="0.25">
      <c r="A28" s="33" t="str">
        <f>'Data Sheet'!$A$60</f>
        <v>Other Liabilities</v>
      </c>
      <c r="B28" s="51">
        <f>('Data Sheet'!B$60*10)-B$35</f>
        <v>247160</v>
      </c>
      <c r="C28" s="51">
        <f>('Data Sheet'!C$60*10)-C$35</f>
        <v>258860</v>
      </c>
      <c r="D28" s="51">
        <f>('Data Sheet'!D$60*10)-D$35</f>
        <v>289390</v>
      </c>
      <c r="E28" s="51">
        <f>('Data Sheet'!E$60*10)-E$35</f>
        <v>354450</v>
      </c>
      <c r="F28" s="51">
        <f>('Data Sheet'!F$60*10)-F$35</f>
        <v>426960</v>
      </c>
      <c r="G28" s="51">
        <f>('Data Sheet'!G$60*10)-G$35</f>
        <v>359620</v>
      </c>
      <c r="H28" s="51">
        <f>('Data Sheet'!H$60*10)-H$35</f>
        <v>336910</v>
      </c>
      <c r="I28" s="51">
        <f>('Data Sheet'!I$60*10)-I$35</f>
        <v>379580</v>
      </c>
      <c r="J28" s="51">
        <f>('Data Sheet'!J$60*10)-J$35</f>
        <v>449550</v>
      </c>
      <c r="K28" s="51">
        <f>('Data Sheet'!K$60*10)-K$35</f>
        <v>485660</v>
      </c>
      <c r="L28" s="150"/>
      <c r="M28" s="150"/>
      <c r="N28" s="150"/>
      <c r="O28" t="s">
        <v>140</v>
      </c>
    </row>
    <row r="29" spans="1:25" x14ac:dyDescent="0.25">
      <c r="A29" s="55" t="s">
        <v>138</v>
      </c>
      <c r="B29" s="56">
        <f>SUM(B$25:B$27)-B$28</f>
        <v>0</v>
      </c>
      <c r="C29" s="56">
        <f t="shared" ref="C29:K29" si="2">SUM(C$25:C$27)-C$28</f>
        <v>0</v>
      </c>
      <c r="D29" s="56">
        <f t="shared" si="2"/>
        <v>0</v>
      </c>
      <c r="E29" s="56">
        <f t="shared" si="2"/>
        <v>0</v>
      </c>
      <c r="F29" s="56">
        <f t="shared" si="2"/>
        <v>0</v>
      </c>
      <c r="G29" s="56">
        <f t="shared" si="2"/>
        <v>0</v>
      </c>
      <c r="H29" s="56">
        <f t="shared" si="2"/>
        <v>0</v>
      </c>
      <c r="I29" s="56">
        <f t="shared" si="2"/>
        <v>0</v>
      </c>
      <c r="J29" s="56">
        <f t="shared" si="2"/>
        <v>0</v>
      </c>
      <c r="K29" s="56">
        <f t="shared" si="2"/>
        <v>0</v>
      </c>
      <c r="L29" s="53"/>
      <c r="M29" s="52"/>
      <c r="N29" s="52"/>
    </row>
    <row r="30" spans="1:25" ht="15.75" thickBot="1" x14ac:dyDescent="0.3">
      <c r="A30" s="47" t="s">
        <v>132</v>
      </c>
      <c r="B30" s="39">
        <f>B$23+B$28</f>
        <v>626274.6</v>
      </c>
      <c r="C30" s="39">
        <f t="shared" ref="C30:J30" si="3">C$23+C$28</f>
        <v>674389.3</v>
      </c>
      <c r="D30" s="39">
        <f t="shared" si="3"/>
        <v>777009.10000000009</v>
      </c>
      <c r="E30" s="39">
        <f t="shared" si="3"/>
        <v>913429.2</v>
      </c>
      <c r="F30" s="39">
        <f t="shared" si="3"/>
        <v>1135443</v>
      </c>
      <c r="G30" s="39">
        <f t="shared" si="3"/>
        <v>1180542.8</v>
      </c>
      <c r="H30" s="39">
        <f t="shared" si="3"/>
        <v>1143158.3</v>
      </c>
      <c r="I30" s="39">
        <f t="shared" si="3"/>
        <v>1155632.1000000001</v>
      </c>
      <c r="J30" s="39">
        <f t="shared" si="3"/>
        <v>1372018.5</v>
      </c>
      <c r="K30" s="39">
        <f>K$23+K$28</f>
        <v>1551912.5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15.75" thickTop="1" x14ac:dyDescent="0.25"/>
    <row r="32" spans="1:25" x14ac:dyDescent="0.25">
      <c r="A32" s="48" t="s">
        <v>224</v>
      </c>
    </row>
    <row r="33" spans="1:25" x14ac:dyDescent="0.25">
      <c r="A33" t="str">
        <f>'Data Sheet'!$A$57</f>
        <v>Equity Share Capital</v>
      </c>
      <c r="B33" s="36">
        <f>'Data Sheet'!B$57*10</f>
        <v>2957</v>
      </c>
      <c r="C33" s="36">
        <f>'Data Sheet'!C$57*10</f>
        <v>2704</v>
      </c>
      <c r="D33" s="36">
        <f>'Data Sheet'!D$57*10</f>
        <v>3105.5</v>
      </c>
      <c r="E33" s="36">
        <f>'Data Sheet'!E$57*10</f>
        <v>5431.3</v>
      </c>
      <c r="F33" s="36">
        <f>'Data Sheet'!F$57*10</f>
        <v>5439.6</v>
      </c>
      <c r="G33" s="36">
        <f>'Data Sheet'!G$57*10</f>
        <v>5542.7999999999993</v>
      </c>
      <c r="H33" s="36">
        <f>'Data Sheet'!H$57*10</f>
        <v>5551.5</v>
      </c>
      <c r="I33" s="36">
        <f>'Data Sheet'!I$57*10</f>
        <v>5560.5999999999995</v>
      </c>
      <c r="J33" s="36">
        <f>'Data Sheet'!J$57*10</f>
        <v>5568.2000000000007</v>
      </c>
      <c r="K33" s="36">
        <f>'Data Sheet'!K$57*10</f>
        <v>5573.8</v>
      </c>
    </row>
    <row r="34" spans="1:25" x14ac:dyDescent="0.25">
      <c r="A34" t="str">
        <f>'Data Sheet'!$A$58</f>
        <v>Reserves</v>
      </c>
      <c r="B34" s="36">
        <f>'Data Sheet'!B$58*10</f>
        <v>255606.8</v>
      </c>
      <c r="C34" s="36">
        <f>'Data Sheet'!C$58*10</f>
        <v>262222.5</v>
      </c>
      <c r="D34" s="36">
        <f>'Data Sheet'!D$58*10</f>
        <v>294671</v>
      </c>
      <c r="E34" s="36">
        <f>'Data Sheet'!E$58*10</f>
        <v>362320.6</v>
      </c>
      <c r="F34" s="36">
        <f>'Data Sheet'!F$58*10</f>
        <v>394394.5</v>
      </c>
      <c r="G34" s="36">
        <f>'Data Sheet'!G$58*10</f>
        <v>394150.3</v>
      </c>
      <c r="H34" s="36">
        <f>'Data Sheet'!H$58*10</f>
        <v>410267.69999999995</v>
      </c>
      <c r="I34" s="36">
        <f>'Data Sheet'!I$58*10</f>
        <v>465665.80000000005</v>
      </c>
      <c r="J34" s="36">
        <f>'Data Sheet'!J$58*10</f>
        <v>558089.69999999995</v>
      </c>
      <c r="K34" s="36">
        <f>'Data Sheet'!K$58*10</f>
        <v>656331.69999999995</v>
      </c>
    </row>
    <row r="35" spans="1:25" x14ac:dyDescent="0.25">
      <c r="A35" t="s">
        <v>137</v>
      </c>
      <c r="B35" s="36">
        <f>('Data Sheet'!B$60*10)-SUM(B$25:B$27)</f>
        <v>58923.700000000012</v>
      </c>
      <c r="C35" s="36">
        <f>('Data Sheet'!C$60*10)-SUM(C$25:C$27)</f>
        <v>59202.400000000023</v>
      </c>
      <c r="D35" s="36">
        <f>('Data Sheet'!D$60*10)-SUM(D$25:D$27)</f>
        <v>63569.199999999953</v>
      </c>
      <c r="E35" s="36">
        <f>('Data Sheet'!E$60*10)-SUM(E$25:E$27)</f>
        <v>82512</v>
      </c>
      <c r="F35" s="36">
        <f>('Data Sheet'!F$60*10)-SUM(F$25:F$27)</f>
        <v>83609.5</v>
      </c>
      <c r="G35" s="36">
        <f>('Data Sheet'!G$60*10)-SUM(G$25:G$27)</f>
        <v>76925.400000000023</v>
      </c>
      <c r="H35" s="36">
        <f>('Data Sheet'!H$60*10)-SUM(H$25:H$27)</f>
        <v>90705.800000000047</v>
      </c>
      <c r="I35" s="36">
        <f>('Data Sheet'!I$60*10)-SUM(I$25:I$27)</f>
        <v>97026.400000000023</v>
      </c>
      <c r="J35" s="36">
        <f>('Data Sheet'!J$60*10)-SUM(J$25:J$27)</f>
        <v>107154.90000000002</v>
      </c>
      <c r="K35" s="36">
        <f>('Data Sheet'!K$60*10)-SUM(K$25:K$27)</f>
        <v>113179.40000000002</v>
      </c>
    </row>
    <row r="36" spans="1:25" x14ac:dyDescent="0.25">
      <c r="A36" t="s">
        <v>135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20220</v>
      </c>
      <c r="L36" s="36"/>
    </row>
    <row r="37" spans="1:25" ht="15.75" thickBot="1" x14ac:dyDescent="0.3">
      <c r="A37" s="47" t="s">
        <v>225</v>
      </c>
      <c r="B37" s="39">
        <f>SUM(B$33:B$36)</f>
        <v>317487.5</v>
      </c>
      <c r="C37" s="39">
        <f t="shared" ref="C37:K37" si="4">SUM(C$33:C$36)</f>
        <v>324128.90000000002</v>
      </c>
      <c r="D37" s="39">
        <f t="shared" si="4"/>
        <v>361345.69999999995</v>
      </c>
      <c r="E37" s="39">
        <f t="shared" si="4"/>
        <v>450263.89999999997</v>
      </c>
      <c r="F37" s="39">
        <f t="shared" si="4"/>
        <v>483443.6</v>
      </c>
      <c r="G37" s="39">
        <f t="shared" si="4"/>
        <v>476618.5</v>
      </c>
      <c r="H37" s="39">
        <f t="shared" si="4"/>
        <v>506525</v>
      </c>
      <c r="I37" s="39">
        <f t="shared" si="4"/>
        <v>568252.80000000005</v>
      </c>
      <c r="J37" s="39">
        <f t="shared" si="4"/>
        <v>670812.79999999993</v>
      </c>
      <c r="K37" s="39">
        <f t="shared" si="4"/>
        <v>795304.9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15.75" thickTop="1" x14ac:dyDescent="0.25"/>
    <row r="39" spans="1:25" ht="15.75" thickBot="1" x14ac:dyDescent="0.3">
      <c r="A39" s="47" t="s">
        <v>133</v>
      </c>
      <c r="B39" s="39">
        <f t="shared" ref="B39:K39" si="5">SUM(B$30,B$37)</f>
        <v>943762.1</v>
      </c>
      <c r="C39" s="39">
        <f t="shared" si="5"/>
        <v>998518.20000000007</v>
      </c>
      <c r="D39" s="39">
        <f t="shared" si="5"/>
        <v>1138354.8</v>
      </c>
      <c r="E39" s="39">
        <f t="shared" si="5"/>
        <v>1363693.0999999999</v>
      </c>
      <c r="F39" s="39">
        <f t="shared" si="5"/>
        <v>1618886.6</v>
      </c>
      <c r="G39" s="39">
        <f t="shared" si="5"/>
        <v>1657161.3</v>
      </c>
      <c r="H39" s="39">
        <f t="shared" si="5"/>
        <v>1649683.3</v>
      </c>
      <c r="I39" s="39">
        <f t="shared" si="5"/>
        <v>1723884.9000000001</v>
      </c>
      <c r="J39" s="39">
        <f t="shared" si="5"/>
        <v>2042831.2999999998</v>
      </c>
      <c r="K39" s="39">
        <f t="shared" si="5"/>
        <v>2347217.4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15.75" thickTop="1" x14ac:dyDescent="0.25"/>
    <row r="41" spans="1:25" x14ac:dyDescent="0.25">
      <c r="A41" s="151" t="s">
        <v>134</v>
      </c>
      <c r="B41" s="57">
        <f t="shared" ref="B41:K41" si="6">B$16-B$39</f>
        <v>0</v>
      </c>
      <c r="C41" s="57">
        <f t="shared" si="6"/>
        <v>0</v>
      </c>
      <c r="D41" s="57">
        <f t="shared" si="6"/>
        <v>0</v>
      </c>
      <c r="E41" s="57">
        <f t="shared" si="6"/>
        <v>0</v>
      </c>
      <c r="F41" s="57">
        <f t="shared" si="6"/>
        <v>0</v>
      </c>
      <c r="G41" s="57">
        <f t="shared" si="6"/>
        <v>0</v>
      </c>
      <c r="H41" s="57">
        <f t="shared" si="6"/>
        <v>0</v>
      </c>
      <c r="I41" s="57">
        <f t="shared" si="6"/>
        <v>0</v>
      </c>
      <c r="J41" s="57">
        <f t="shared" si="6"/>
        <v>0</v>
      </c>
      <c r="K41" s="57">
        <f t="shared" si="6"/>
        <v>0</v>
      </c>
    </row>
    <row r="42" spans="1:25" x14ac:dyDescent="0.25">
      <c r="A42" s="151"/>
      <c r="B42" s="58" t="b">
        <f t="shared" ref="B42:K42" si="7">B$16=B$39</f>
        <v>1</v>
      </c>
      <c r="C42" s="58" t="b">
        <f t="shared" si="7"/>
        <v>1</v>
      </c>
      <c r="D42" s="58" t="b">
        <f t="shared" si="7"/>
        <v>1</v>
      </c>
      <c r="E42" s="58" t="b">
        <f t="shared" si="7"/>
        <v>1</v>
      </c>
      <c r="F42" s="58" t="b">
        <f t="shared" si="7"/>
        <v>1</v>
      </c>
      <c r="G42" s="58" t="b">
        <f t="shared" si="7"/>
        <v>1</v>
      </c>
      <c r="H42" s="58" t="b">
        <f t="shared" si="7"/>
        <v>1</v>
      </c>
      <c r="I42" s="58" t="b">
        <f t="shared" si="7"/>
        <v>1</v>
      </c>
      <c r="J42" s="58" t="b">
        <f t="shared" si="7"/>
        <v>1</v>
      </c>
      <c r="K42" s="58" t="b">
        <f t="shared" si="7"/>
        <v>1</v>
      </c>
    </row>
    <row r="45" spans="1:25" x14ac:dyDescent="0.25">
      <c r="B45" s="36"/>
      <c r="C45" s="36"/>
      <c r="D45" s="36"/>
      <c r="E45" s="36"/>
      <c r="F45" s="36"/>
      <c r="G45" s="36"/>
      <c r="H45" s="36"/>
      <c r="I45" s="36"/>
      <c r="J45" s="36"/>
      <c r="K45" s="36"/>
    </row>
  </sheetData>
  <mergeCells count="2">
    <mergeCell ref="L19:N28"/>
    <mergeCell ref="A41:A42"/>
  </mergeCells>
  <conditionalFormatting sqref="B41:K41">
    <cfRule type="cellIs" dxfId="2" priority="2" operator="notEqual">
      <formula>0</formula>
    </cfRule>
  </conditionalFormatting>
  <conditionalFormatting sqref="B42:K42">
    <cfRule type="cellIs" dxfId="1" priority="1" operator="not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2D91-D33C-450F-A990-4CC7AF87FDBC}">
  <sheetPr>
    <tabColor rgb="FF00B0F0"/>
  </sheetPr>
  <dimension ref="A1:Y38"/>
  <sheetViews>
    <sheetView showGridLines="0"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I5" sqref="I5"/>
    </sheetView>
  </sheetViews>
  <sheetFormatPr defaultRowHeight="15" x14ac:dyDescent="0.25"/>
  <cols>
    <col min="1" max="1" width="40.28515625" bestFit="1" customWidth="1"/>
    <col min="5" max="8" width="12.42578125" style="40" bestFit="1" customWidth="1"/>
    <col min="9" max="9" width="14.28515625" style="40" bestFit="1" customWidth="1"/>
    <col min="10" max="12" width="12.42578125" style="40" bestFit="1" customWidth="1"/>
    <col min="13" max="14" width="14.28515625" style="40" bestFit="1" customWidth="1"/>
    <col min="16" max="16" width="180" bestFit="1" customWidth="1"/>
  </cols>
  <sheetData>
    <row r="1" spans="1:25" s="89" customFormat="1" ht="21" x14ac:dyDescent="0.35">
      <c r="A1" s="88" t="s">
        <v>93</v>
      </c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25" x14ac:dyDescent="0.25">
      <c r="A2" t="s">
        <v>94</v>
      </c>
      <c r="E2" s="32">
        <f>'Profit &amp; Loss'!B3</f>
        <v>42094</v>
      </c>
      <c r="F2" s="32">
        <f>'Profit &amp; Loss'!C3</f>
        <v>42460</v>
      </c>
      <c r="G2" s="32">
        <f>'Profit &amp; Loss'!D3</f>
        <v>42825</v>
      </c>
      <c r="H2" s="32">
        <f>'Profit &amp; Loss'!E3</f>
        <v>43190</v>
      </c>
      <c r="I2" s="32">
        <f>'Profit &amp; Loss'!F3</f>
        <v>43555</v>
      </c>
      <c r="J2" s="32">
        <f>'Profit &amp; Loss'!G3</f>
        <v>43921</v>
      </c>
      <c r="K2" s="32">
        <f>'Profit &amp; Loss'!H3</f>
        <v>44286</v>
      </c>
      <c r="L2" s="32">
        <f>'Profit &amp; Loss'!I3</f>
        <v>44651</v>
      </c>
      <c r="M2" s="32">
        <f>'Profit &amp; Loss'!J3</f>
        <v>45016</v>
      </c>
      <c r="N2" s="32">
        <f>'Profit &amp; Loss'!K3</f>
        <v>45382</v>
      </c>
    </row>
    <row r="3" spans="1:25" x14ac:dyDescent="0.25">
      <c r="A3" t="s">
        <v>95</v>
      </c>
      <c r="E3" s="33" t="s">
        <v>96</v>
      </c>
      <c r="F3" s="33" t="s">
        <v>96</v>
      </c>
      <c r="G3" s="33" t="s">
        <v>96</v>
      </c>
      <c r="H3" s="33" t="s">
        <v>96</v>
      </c>
      <c r="I3" s="33" t="s">
        <v>96</v>
      </c>
      <c r="J3" s="33" t="s">
        <v>96</v>
      </c>
      <c r="K3" s="33" t="s">
        <v>96</v>
      </c>
      <c r="L3" s="33" t="s">
        <v>96</v>
      </c>
      <c r="M3" s="33" t="s">
        <v>96</v>
      </c>
      <c r="N3" s="33" t="s">
        <v>96</v>
      </c>
    </row>
    <row r="4" spans="1:25" x14ac:dyDescent="0.25">
      <c r="A4" t="s">
        <v>97</v>
      </c>
      <c r="E4" s="33" t="s">
        <v>98</v>
      </c>
      <c r="F4" s="33" t="s">
        <v>98</v>
      </c>
      <c r="G4" s="33" t="s">
        <v>98</v>
      </c>
      <c r="H4" s="33" t="s">
        <v>98</v>
      </c>
      <c r="I4" s="33" t="s">
        <v>98</v>
      </c>
      <c r="J4" s="33" t="s">
        <v>98</v>
      </c>
      <c r="K4" s="33" t="s">
        <v>98</v>
      </c>
      <c r="L4" s="33" t="s">
        <v>98</v>
      </c>
      <c r="M4" s="33" t="s">
        <v>98</v>
      </c>
      <c r="N4" s="33" t="s">
        <v>98</v>
      </c>
    </row>
    <row r="5" spans="1:25" x14ac:dyDescent="0.25">
      <c r="A5" s="34"/>
      <c r="B5" s="34"/>
      <c r="C5" s="34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x14ac:dyDescent="0.25">
      <c r="A6" t="s">
        <v>99</v>
      </c>
      <c r="E6" s="36">
        <f>'Data Sheet'!B$17*10</f>
        <v>714480</v>
      </c>
      <c r="F6" s="36">
        <f>'Data Sheet'!C$17*10</f>
        <v>758414.2</v>
      </c>
      <c r="G6" s="36">
        <f>'Data Sheet'!D$17*10</f>
        <v>837730.5</v>
      </c>
      <c r="H6" s="36">
        <f>'Data Sheet'!E$17*10</f>
        <v>920939.5</v>
      </c>
      <c r="I6" s="36">
        <f>'Data Sheet'!F$17*10</f>
        <v>1047206.7999999999</v>
      </c>
      <c r="J6" s="36">
        <f>'Data Sheet'!G$17*10</f>
        <v>753819.29999999993</v>
      </c>
      <c r="K6" s="36">
        <f>'Data Sheet'!H$17*10</f>
        <v>742777.8</v>
      </c>
      <c r="L6" s="36">
        <f>'Data Sheet'!I$17*10</f>
        <v>901705.70000000007</v>
      </c>
      <c r="M6" s="36">
        <f>'Data Sheet'!J$17*10</f>
        <v>1212685.5</v>
      </c>
      <c r="N6" s="36">
        <f>'Data Sheet'!K$17*10</f>
        <v>1390782.7</v>
      </c>
    </row>
    <row r="7" spans="1:25" x14ac:dyDescent="0.25">
      <c r="A7" t="s">
        <v>100</v>
      </c>
      <c r="E7" s="36">
        <f>(SUM('Data Sheet'!B$18,'Data Sheet'!B$20,'Data Sheet'!B$21)-'Data Sheet'!B$19)*10</f>
        <v>461900.39999999991</v>
      </c>
      <c r="F7" s="36">
        <f>(SUM('Data Sheet'!C$18,'Data Sheet'!C$20,'Data Sheet'!C$21)-'Data Sheet'!C$19)*10</f>
        <v>483845.1</v>
      </c>
      <c r="G7" s="36">
        <f>(SUM('Data Sheet'!D$18,'Data Sheet'!D$20,'Data Sheet'!D$21)-'Data Sheet'!D$19)*10</f>
        <v>545537.29999999993</v>
      </c>
      <c r="H7" s="36">
        <f>(SUM('Data Sheet'!E$18,'Data Sheet'!E$20,'Data Sheet'!E$21)-'Data Sheet'!E$19)*10</f>
        <v>578647.80000000005</v>
      </c>
      <c r="I7" s="36">
        <f>(SUM('Data Sheet'!F$18,'Data Sheet'!F$20,'Data Sheet'!F$21)-'Data Sheet'!F$19)*10</f>
        <v>652208.19999999995</v>
      </c>
      <c r="J7" s="36">
        <f>(SUM('Data Sheet'!G$18,'Data Sheet'!G$20,'Data Sheet'!G$21)-'Data Sheet'!G$19)*10</f>
        <v>422306.30000000005</v>
      </c>
      <c r="K7" s="36">
        <f>(SUM('Data Sheet'!H$18,'Data Sheet'!H$20,'Data Sheet'!H$21)-'Data Sheet'!H$19)*10</f>
        <v>413597.49999999994</v>
      </c>
      <c r="L7" s="36">
        <f>(SUM('Data Sheet'!I$18,'Data Sheet'!I$20,'Data Sheet'!I$21)-'Data Sheet'!I$19)*10</f>
        <v>554687.29999999993</v>
      </c>
      <c r="M7" s="36">
        <f>(SUM('Data Sheet'!J$18,'Data Sheet'!J$20,'Data Sheet'!J$21)-'Data Sheet'!J$19)*10</f>
        <v>786564.59999999986</v>
      </c>
      <c r="N7" s="36">
        <f>(SUM('Data Sheet'!K$18,'Data Sheet'!K$20,'Data Sheet'!K$21)-'Data Sheet'!K$19)*10</f>
        <v>881592.29999999993</v>
      </c>
    </row>
    <row r="8" spans="1:25" ht="15.75" thickBot="1" x14ac:dyDescent="0.3">
      <c r="A8" s="37" t="s">
        <v>101</v>
      </c>
      <c r="B8" s="38"/>
      <c r="C8" s="38"/>
      <c r="D8" s="38"/>
      <c r="E8" s="39">
        <f>E$6-E$7</f>
        <v>252579.60000000009</v>
      </c>
      <c r="F8" s="39">
        <f t="shared" ref="F8:N8" si="0">F$6-F$7</f>
        <v>274569.09999999998</v>
      </c>
      <c r="G8" s="39">
        <f t="shared" si="0"/>
        <v>292193.20000000007</v>
      </c>
      <c r="H8" s="39">
        <f t="shared" si="0"/>
        <v>342291.69999999995</v>
      </c>
      <c r="I8" s="39">
        <f t="shared" si="0"/>
        <v>394998.6</v>
      </c>
      <c r="J8" s="39">
        <f t="shared" si="0"/>
        <v>331512.99999999988</v>
      </c>
      <c r="K8" s="39">
        <f t="shared" si="0"/>
        <v>329180.3000000001</v>
      </c>
      <c r="L8" s="39">
        <f t="shared" si="0"/>
        <v>347018.40000000014</v>
      </c>
      <c r="M8" s="39">
        <f t="shared" si="0"/>
        <v>426120.90000000014</v>
      </c>
      <c r="N8" s="39">
        <f t="shared" si="0"/>
        <v>509190.40000000002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15.75" thickTop="1" x14ac:dyDescent="0.25"/>
    <row r="10" spans="1:25" x14ac:dyDescent="0.25">
      <c r="A10" t="s">
        <v>102</v>
      </c>
      <c r="E10" s="36">
        <f>SUM('Data Sheet'!B$22:B$24)*10</f>
        <v>164646.70000000001</v>
      </c>
      <c r="F10" s="36">
        <f>SUM('Data Sheet'!C$22:C$24)*10</f>
        <v>173744.69999999998</v>
      </c>
      <c r="G10" s="36">
        <f>SUM('Data Sheet'!D$22:D$24)*10</f>
        <v>184844.90000000002</v>
      </c>
      <c r="H10" s="36">
        <f>SUM('Data Sheet'!E$22:E$24)*10</f>
        <v>210030.7</v>
      </c>
      <c r="I10" s="36">
        <f>SUM('Data Sheet'!F$22:F$24)*10</f>
        <v>242933.5</v>
      </c>
      <c r="J10" s="36">
        <f>SUM('Data Sheet'!G$22:G$24)*10</f>
        <v>229935.5</v>
      </c>
      <c r="K10" s="36">
        <f>SUM('Data Sheet'!H$22:H$24)*10</f>
        <v>214310.10000000003</v>
      </c>
      <c r="L10" s="36">
        <f>SUM('Data Sheet'!I$22:I$24)*10</f>
        <v>200189.89999999997</v>
      </c>
      <c r="M10" s="36">
        <f>SUM('Data Sheet'!J$22:J$24)*10</f>
        <v>223268</v>
      </c>
      <c r="N10" s="36">
        <f>SUM('Data Sheet'!K$22:K$24)*10</f>
        <v>260271.1</v>
      </c>
    </row>
    <row r="11" spans="1:25" ht="15.75" thickBot="1" x14ac:dyDescent="0.3">
      <c r="A11" s="37" t="s">
        <v>103</v>
      </c>
      <c r="B11" s="38"/>
      <c r="C11" s="38"/>
      <c r="D11" s="38"/>
      <c r="E11" s="39">
        <f>E$8-E$10</f>
        <v>87932.900000000081</v>
      </c>
      <c r="F11" s="39">
        <f t="shared" ref="F11:N11" si="1">F$8-F$10</f>
        <v>100824.4</v>
      </c>
      <c r="G11" s="39">
        <f t="shared" si="1"/>
        <v>107348.30000000005</v>
      </c>
      <c r="H11" s="39">
        <f t="shared" si="1"/>
        <v>132260.99999999994</v>
      </c>
      <c r="I11" s="39">
        <f t="shared" si="1"/>
        <v>152065.09999999998</v>
      </c>
      <c r="J11" s="39">
        <f t="shared" si="1"/>
        <v>101577.49999999988</v>
      </c>
      <c r="K11" s="39">
        <f t="shared" si="1"/>
        <v>114870.20000000007</v>
      </c>
      <c r="L11" s="39">
        <f t="shared" si="1"/>
        <v>146828.50000000017</v>
      </c>
      <c r="M11" s="39">
        <f t="shared" si="1"/>
        <v>202852.90000000014</v>
      </c>
      <c r="N11" s="39">
        <f t="shared" si="1"/>
        <v>248919.30000000002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15.75" thickTop="1" x14ac:dyDescent="0.25"/>
    <row r="13" spans="1:25" x14ac:dyDescent="0.25">
      <c r="A13" t="s">
        <v>104</v>
      </c>
      <c r="E13" s="36">
        <f>'Data Sheet'!B$26*10</f>
        <v>21238.3</v>
      </c>
      <c r="F13" s="36">
        <f>'Data Sheet'!C$26*10</f>
        <v>24416.5</v>
      </c>
      <c r="G13" s="36">
        <f>'Data Sheet'!D$26*10</f>
        <v>28127.199999999997</v>
      </c>
      <c r="H13" s="36">
        <f>'Data Sheet'!E$26*10</f>
        <v>32799</v>
      </c>
      <c r="I13" s="36">
        <f>'Data Sheet'!F$26*10</f>
        <v>39907.699999999997</v>
      </c>
      <c r="J13" s="36">
        <f>'Data Sheet'!G$26*10</f>
        <v>33666.799999999996</v>
      </c>
      <c r="K13" s="36">
        <f>'Data Sheet'!H$26*10</f>
        <v>33781.1</v>
      </c>
      <c r="L13" s="36">
        <f>'Data Sheet'!I$26*10</f>
        <v>35075</v>
      </c>
      <c r="M13" s="36">
        <f>'Data Sheet'!J$26*10</f>
        <v>43568.100000000006</v>
      </c>
      <c r="N13" s="36">
        <f>'Data Sheet'!K$26*10</f>
        <v>47237.799999999996</v>
      </c>
    </row>
    <row r="14" spans="1:25" ht="15.75" thickBot="1" x14ac:dyDescent="0.3">
      <c r="A14" s="37" t="s">
        <v>105</v>
      </c>
      <c r="B14" s="38"/>
      <c r="C14" s="38"/>
      <c r="D14" s="38"/>
      <c r="E14" s="39">
        <f>E$11-E$13</f>
        <v>66694.600000000079</v>
      </c>
      <c r="F14" s="39">
        <f t="shared" ref="F14:N14" si="2">F$11-F$13</f>
        <v>76407.899999999994</v>
      </c>
      <c r="G14" s="39">
        <f t="shared" si="2"/>
        <v>79221.100000000049</v>
      </c>
      <c r="H14" s="39">
        <f t="shared" si="2"/>
        <v>99461.999999999942</v>
      </c>
      <c r="I14" s="39">
        <f t="shared" si="2"/>
        <v>112157.39999999998</v>
      </c>
      <c r="J14" s="39">
        <f t="shared" si="2"/>
        <v>67910.699999999895</v>
      </c>
      <c r="K14" s="39">
        <f t="shared" si="2"/>
        <v>81089.100000000064</v>
      </c>
      <c r="L14" s="39">
        <f t="shared" si="2"/>
        <v>111753.50000000017</v>
      </c>
      <c r="M14" s="39">
        <f t="shared" si="2"/>
        <v>159284.80000000013</v>
      </c>
      <c r="N14" s="39">
        <f t="shared" si="2"/>
        <v>201681.50000000003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15.75" thickTop="1" x14ac:dyDescent="0.25"/>
    <row r="16" spans="1:25" x14ac:dyDescent="0.25">
      <c r="A16" t="s">
        <v>106</v>
      </c>
      <c r="E16" s="36">
        <f>'Data Sheet'!B$27*10</f>
        <v>31566.9</v>
      </c>
      <c r="F16" s="36">
        <f>'Data Sheet'!C$27*10</f>
        <v>33675.9</v>
      </c>
      <c r="G16" s="36">
        <f>'Data Sheet'!D$27*10</f>
        <v>36484.6</v>
      </c>
      <c r="H16" s="36">
        <f>'Data Sheet'!E$27*10</f>
        <v>39870.9</v>
      </c>
      <c r="I16" s="36">
        <f>'Data Sheet'!F$27*10</f>
        <v>50213.5</v>
      </c>
      <c r="J16" s="36">
        <f>'Data Sheet'!G$27*10</f>
        <v>60211.5</v>
      </c>
      <c r="K16" s="36">
        <f>'Data Sheet'!H$27*10</f>
        <v>61022.200000000004</v>
      </c>
      <c r="L16" s="36">
        <f>'Data Sheet'!I$27*10</f>
        <v>50180.5</v>
      </c>
      <c r="M16" s="36">
        <f>'Data Sheet'!J$27*10</f>
        <v>58297</v>
      </c>
      <c r="N16" s="36">
        <f>'Data Sheet'!K$27*10</f>
        <v>74882.100000000006</v>
      </c>
    </row>
    <row r="17" spans="1:25" x14ac:dyDescent="0.25">
      <c r="A17" t="s">
        <v>107</v>
      </c>
      <c r="E17" s="36">
        <f>'Data Sheet'!B$25*10</f>
        <v>7999.2999999999993</v>
      </c>
      <c r="F17" s="36">
        <f>'Data Sheet'!C$25*10</f>
        <v>13988.3</v>
      </c>
      <c r="G17" s="36">
        <f>'Data Sheet'!D$25*10</f>
        <v>20766.100000000002</v>
      </c>
      <c r="H17" s="36">
        <f>'Data Sheet'!E$25*10</f>
        <v>43664.1</v>
      </c>
      <c r="I17" s="36">
        <f>'Data Sheet'!F$25*10</f>
        <v>26764.5</v>
      </c>
      <c r="J17" s="36">
        <f>'Data Sheet'!G$25*10</f>
        <v>8846.9000000000015</v>
      </c>
      <c r="K17" s="36">
        <f>'Data Sheet'!H$25*10</f>
        <v>11515.1</v>
      </c>
      <c r="L17" s="36">
        <f>'Data Sheet'!I$25*10</f>
        <v>32044.699999999997</v>
      </c>
      <c r="M17" s="36">
        <f>'Data Sheet'!J$25*10</f>
        <v>39614.5</v>
      </c>
      <c r="N17" s="36">
        <f>'Data Sheet'!K$25*10</f>
        <v>32978.5</v>
      </c>
    </row>
    <row r="18" spans="1:25" ht="15.75" thickBot="1" x14ac:dyDescent="0.3">
      <c r="A18" s="37" t="s">
        <v>108</v>
      </c>
      <c r="B18" s="38"/>
      <c r="C18" s="38"/>
      <c r="D18" s="38"/>
      <c r="E18" s="39">
        <f>(E$14-E$16)+E$17</f>
        <v>43127.000000000073</v>
      </c>
      <c r="F18" s="39">
        <f t="shared" ref="F18:N18" si="3">(F$14-F$16)+F$17</f>
        <v>56720.299999999988</v>
      </c>
      <c r="G18" s="39">
        <f t="shared" si="3"/>
        <v>63502.600000000049</v>
      </c>
      <c r="H18" s="39">
        <f t="shared" si="3"/>
        <v>103255.19999999994</v>
      </c>
      <c r="I18" s="39">
        <f t="shared" si="3"/>
        <v>88708.39999999998</v>
      </c>
      <c r="J18" s="39">
        <f t="shared" si="3"/>
        <v>16546.099999999897</v>
      </c>
      <c r="K18" s="39">
        <f t="shared" si="3"/>
        <v>31582.000000000058</v>
      </c>
      <c r="L18" s="39">
        <f t="shared" si="3"/>
        <v>93617.700000000172</v>
      </c>
      <c r="M18" s="39">
        <f t="shared" si="3"/>
        <v>140602.30000000013</v>
      </c>
      <c r="N18" s="39">
        <f t="shared" si="3"/>
        <v>159777.90000000002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5.75" thickTop="1" x14ac:dyDescent="0.25"/>
    <row r="20" spans="1:25" x14ac:dyDescent="0.25">
      <c r="A20" t="s">
        <v>109</v>
      </c>
      <c r="E20" s="36">
        <f>'Data Sheet'!B$29*10</f>
        <v>17200.2</v>
      </c>
      <c r="F20" s="36">
        <f>'Data Sheet'!C$29*10</f>
        <v>21175.300000000003</v>
      </c>
      <c r="G20" s="36">
        <f>'Data Sheet'!D$29*10</f>
        <v>22997.3</v>
      </c>
      <c r="H20" s="36">
        <f>'Data Sheet'!E$29*10</f>
        <v>23677.3</v>
      </c>
      <c r="I20" s="36">
        <f>'Data Sheet'!F$29*10</f>
        <v>28539.899999999998</v>
      </c>
      <c r="J20" s="36">
        <f>'Data Sheet'!G$29*10</f>
        <v>19756.099999999999</v>
      </c>
      <c r="K20" s="36">
        <f>'Data Sheet'!H$29*10</f>
        <v>16458.099999999999</v>
      </c>
      <c r="L20" s="36">
        <f>'Data Sheet'!I$29*10</f>
        <v>21087.600000000002</v>
      </c>
      <c r="M20" s="36">
        <f>'Data Sheet'!J$29*10</f>
        <v>26857.5</v>
      </c>
      <c r="N20" s="36">
        <f>'Data Sheet'!K$29*10</f>
        <v>37079.699999999997</v>
      </c>
    </row>
    <row r="21" spans="1:25" ht="15.75" thickBot="1" x14ac:dyDescent="0.3">
      <c r="A21" s="37" t="s">
        <v>110</v>
      </c>
      <c r="B21" s="38"/>
      <c r="C21" s="38"/>
      <c r="D21" s="38"/>
      <c r="E21" s="39">
        <f>E$18-E$20</f>
        <v>25926.800000000072</v>
      </c>
      <c r="F21" s="39">
        <f t="shared" ref="F21:N21" si="4">F$18-F$20</f>
        <v>35544.999999999985</v>
      </c>
      <c r="G21" s="39">
        <f t="shared" si="4"/>
        <v>40505.300000000047</v>
      </c>
      <c r="H21" s="39">
        <f t="shared" si="4"/>
        <v>79577.899999999936</v>
      </c>
      <c r="I21" s="39">
        <f t="shared" si="4"/>
        <v>60168.499999999985</v>
      </c>
      <c r="J21" s="39">
        <f t="shared" si="4"/>
        <v>-3210.0000000001019</v>
      </c>
      <c r="K21" s="39">
        <f t="shared" si="4"/>
        <v>15123.90000000006</v>
      </c>
      <c r="L21" s="39">
        <f t="shared" si="4"/>
        <v>72530.100000000166</v>
      </c>
      <c r="M21" s="39">
        <f t="shared" si="4"/>
        <v>113744.80000000013</v>
      </c>
      <c r="N21" s="39">
        <f t="shared" si="4"/>
        <v>122698.20000000003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15.75" thickTop="1" x14ac:dyDescent="0.25"/>
    <row r="23" spans="1:25" x14ac:dyDescent="0.25">
      <c r="A23" t="s">
        <v>111</v>
      </c>
      <c r="E23" s="36">
        <f>E$21-E$24</f>
        <v>-5447.8999999999251</v>
      </c>
      <c r="F23" s="36">
        <f t="shared" ref="F23:N23" si="5">F$21-F$24</f>
        <v>4060.6999999999862</v>
      </c>
      <c r="G23" s="36">
        <f t="shared" si="5"/>
        <v>3524.9000000000451</v>
      </c>
      <c r="H23" s="36">
        <f t="shared" si="5"/>
        <v>4473.9999999999272</v>
      </c>
      <c r="I23" s="36">
        <f t="shared" si="5"/>
        <v>7013.8999999999869</v>
      </c>
      <c r="J23" s="36">
        <f t="shared" si="5"/>
        <v>-4480.4000000001015</v>
      </c>
      <c r="K23" s="36">
        <f t="shared" si="5"/>
        <v>-3000.9999999999418</v>
      </c>
      <c r="L23" s="36">
        <f t="shared" si="5"/>
        <v>6756.9000000001688</v>
      </c>
      <c r="M23" s="36">
        <f t="shared" si="5"/>
        <v>10929.800000000134</v>
      </c>
      <c r="N23" s="36">
        <f t="shared" si="5"/>
        <v>10011.800000000032</v>
      </c>
    </row>
    <row r="24" spans="1:25" ht="15.75" thickBot="1" x14ac:dyDescent="0.3">
      <c r="A24" s="37" t="s">
        <v>112</v>
      </c>
      <c r="B24" s="38"/>
      <c r="C24" s="38"/>
      <c r="D24" s="38"/>
      <c r="E24" s="39">
        <f>'Data Sheet'!B$30*10</f>
        <v>31374.699999999997</v>
      </c>
      <c r="F24" s="39">
        <f>'Data Sheet'!C$30*10</f>
        <v>31484.3</v>
      </c>
      <c r="G24" s="39">
        <f>'Data Sheet'!D$30*10</f>
        <v>36980.400000000001</v>
      </c>
      <c r="H24" s="39">
        <f>'Data Sheet'!E$30*10</f>
        <v>75103.900000000009</v>
      </c>
      <c r="I24" s="39">
        <f>'Data Sheet'!F$30*10</f>
        <v>53154.6</v>
      </c>
      <c r="J24" s="39">
        <f>'Data Sheet'!G$30*10</f>
        <v>1270.4000000000001</v>
      </c>
      <c r="K24" s="39">
        <f>'Data Sheet'!H$30*10</f>
        <v>18124.900000000001</v>
      </c>
      <c r="L24" s="39">
        <f>'Data Sheet'!I$30*10</f>
        <v>65773.2</v>
      </c>
      <c r="M24" s="39">
        <f>'Data Sheet'!J$30*10</f>
        <v>102815</v>
      </c>
      <c r="N24" s="39">
        <f>'Data Sheet'!K$30*10</f>
        <v>112686.39999999999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5.75" thickTop="1" x14ac:dyDescent="0.25"/>
    <row r="26" spans="1:25" x14ac:dyDescent="0.25">
      <c r="A26" s="41" t="s">
        <v>113</v>
      </c>
      <c r="E26" s="36">
        <f>'Data Sheet'!B$31*10</f>
        <v>7096.7999999999993</v>
      </c>
      <c r="F26" s="36">
        <f>'Data Sheet'!C$31*10</f>
        <v>6489.6</v>
      </c>
      <c r="G26" s="36">
        <f>'Data Sheet'!D$31*10</f>
        <v>8074.2999999999993</v>
      </c>
      <c r="H26" s="36">
        <f>'Data Sheet'!E$31*10</f>
        <v>8147</v>
      </c>
      <c r="I26" s="36">
        <f>'Data Sheet'!F$31*10</f>
        <v>9247.2999999999993</v>
      </c>
      <c r="J26" s="36">
        <f>'Data Sheet'!G$31*10</f>
        <v>2605.1</v>
      </c>
      <c r="K26" s="36">
        <f>'Data Sheet'!H$31*10</f>
        <v>9715.1</v>
      </c>
      <c r="L26" s="36">
        <f>'Data Sheet'!I$31*10</f>
        <v>12845</v>
      </c>
      <c r="M26" s="36">
        <f>'Data Sheet'!J$31*10</f>
        <v>18096.600000000002</v>
      </c>
      <c r="N26" s="36">
        <f>'Data Sheet'!K$31*10</f>
        <v>23521.399999999998</v>
      </c>
    </row>
    <row r="27" spans="1:25" x14ac:dyDescent="0.25">
      <c r="A27" s="41" t="s">
        <v>114</v>
      </c>
      <c r="E27" s="40">
        <f>'Data Sheet'!B$70</f>
        <v>591392278</v>
      </c>
      <c r="F27" s="40">
        <f>'Data Sheet'!C$70</f>
        <v>592633807</v>
      </c>
      <c r="G27" s="40">
        <f>'Data Sheet'!D$70</f>
        <v>621092384</v>
      </c>
      <c r="H27" s="40">
        <f>'Data Sheet'!E$70</f>
        <v>1243192544</v>
      </c>
      <c r="I27" s="40">
        <f>'Data Sheet'!F$70</f>
        <v>1243192544</v>
      </c>
      <c r="J27" s="40">
        <f>'Data Sheet'!G$70</f>
        <v>1243192544</v>
      </c>
      <c r="K27" s="40">
        <f>'Data Sheet'!H$70</f>
        <v>1110297953</v>
      </c>
      <c r="L27" s="40">
        <f>'Data Sheet'!I$70</f>
        <v>1112130815</v>
      </c>
      <c r="M27" s="40">
        <f>'Data Sheet'!J$70</f>
        <v>1198118224</v>
      </c>
      <c r="N27" s="40">
        <f>'Data Sheet'!K$70</f>
        <v>1114775772</v>
      </c>
    </row>
    <row r="28" spans="1:25" x14ac:dyDescent="0.25">
      <c r="A28" s="97" t="s">
        <v>115</v>
      </c>
      <c r="B28" s="98"/>
      <c r="C28" s="98"/>
      <c r="D28" s="98"/>
      <c r="E28" s="95">
        <f>(E$26/E$27)*10^6</f>
        <v>12.00015668787613</v>
      </c>
      <c r="F28" s="95">
        <f t="shared" ref="F28:N28" si="6">(F$26/F$27)*10^6</f>
        <v>10.95043840453739</v>
      </c>
      <c r="G28" s="95">
        <f t="shared" si="6"/>
        <v>13.000159409457513</v>
      </c>
      <c r="H28" s="95">
        <f t="shared" si="6"/>
        <v>6.5532889811153821</v>
      </c>
      <c r="I28" s="95">
        <f t="shared" si="6"/>
        <v>7.4383489867519659</v>
      </c>
      <c r="J28" s="95">
        <f t="shared" si="6"/>
        <v>2.0954919755374593</v>
      </c>
      <c r="K28" s="95">
        <f t="shared" si="6"/>
        <v>8.7499936154525191</v>
      </c>
      <c r="L28" s="95">
        <f t="shared" si="6"/>
        <v>11.549900269600929</v>
      </c>
      <c r="M28" s="95">
        <f t="shared" si="6"/>
        <v>15.104185578267277</v>
      </c>
      <c r="N28" s="95">
        <f t="shared" si="6"/>
        <v>21.099669180826076</v>
      </c>
    </row>
    <row r="29" spans="1:25" x14ac:dyDescent="0.25">
      <c r="A29" s="41"/>
    </row>
    <row r="30" spans="1:25" x14ac:dyDescent="0.25">
      <c r="A30" s="97" t="s">
        <v>116</v>
      </c>
      <c r="B30" s="98"/>
      <c r="C30" s="98"/>
      <c r="D30" s="98"/>
      <c r="E30" s="95">
        <f>(E$24*10^6)/E$27</f>
        <v>53.052265251255101</v>
      </c>
      <c r="F30" s="95">
        <f t="shared" ref="F30:N30" si="7">(F$24*10^6)/F$27</f>
        <v>53.126061368955959</v>
      </c>
      <c r="G30" s="95">
        <f t="shared" si="7"/>
        <v>59.540900762357438</v>
      </c>
      <c r="H30" s="95">
        <f t="shared" si="7"/>
        <v>60.412122291492778</v>
      </c>
      <c r="I30" s="95">
        <f t="shared" si="7"/>
        <v>42.756530560402076</v>
      </c>
      <c r="J30" s="95">
        <f t="shared" si="7"/>
        <v>1.0218851505595903</v>
      </c>
      <c r="K30" s="95">
        <f t="shared" si="7"/>
        <v>16.324356854866686</v>
      </c>
      <c r="L30" s="95">
        <f t="shared" si="7"/>
        <v>59.141603768977483</v>
      </c>
      <c r="M30" s="95">
        <f t="shared" si="7"/>
        <v>85.813735189458228</v>
      </c>
      <c r="N30" s="95">
        <f t="shared" si="7"/>
        <v>101.08436407604309</v>
      </c>
    </row>
    <row r="31" spans="1:25" x14ac:dyDescent="0.25">
      <c r="A31" s="41"/>
    </row>
    <row r="32" spans="1:25" x14ac:dyDescent="0.25">
      <c r="A32" s="97" t="s">
        <v>117</v>
      </c>
      <c r="B32" s="98"/>
      <c r="C32" s="98"/>
      <c r="D32" s="98"/>
      <c r="E32" s="92">
        <f>E$28/E$30</f>
        <v>0.22619499150589489</v>
      </c>
      <c r="F32" s="92">
        <f t="shared" ref="F32:N32" si="8">F$28/F$30</f>
        <v>0.20612178133228307</v>
      </c>
      <c r="G32" s="92">
        <f t="shared" si="8"/>
        <v>0.2183399855058355</v>
      </c>
      <c r="H32" s="92">
        <f t="shared" si="8"/>
        <v>0.10847639070674091</v>
      </c>
      <c r="I32" s="92">
        <f t="shared" si="8"/>
        <v>0.17396989159922185</v>
      </c>
      <c r="J32" s="92">
        <f t="shared" si="8"/>
        <v>2.0506139798488663</v>
      </c>
      <c r="K32" s="92">
        <f t="shared" si="8"/>
        <v>0.53600847452951472</v>
      </c>
      <c r="L32" s="92">
        <f t="shared" si="8"/>
        <v>0.1952923075051845</v>
      </c>
      <c r="M32" s="92">
        <f t="shared" si="8"/>
        <v>0.17601128240042799</v>
      </c>
      <c r="N32" s="92">
        <f t="shared" si="8"/>
        <v>0.20873326328643027</v>
      </c>
      <c r="P32" t="s">
        <v>118</v>
      </c>
    </row>
    <row r="33" spans="1:14" x14ac:dyDescent="0.25">
      <c r="A33" s="41"/>
    </row>
    <row r="34" spans="1:14" x14ac:dyDescent="0.25">
      <c r="A34" s="97" t="s">
        <v>119</v>
      </c>
      <c r="B34" s="98"/>
      <c r="C34" s="98"/>
      <c r="D34" s="98"/>
      <c r="E34" s="92">
        <f>1-E$32</f>
        <v>0.77380500849410505</v>
      </c>
      <c r="F34" s="92">
        <f t="shared" ref="F34:N34" si="9">1-F$32</f>
        <v>0.79387821866771691</v>
      </c>
      <c r="G34" s="92">
        <f t="shared" si="9"/>
        <v>0.78166001449416456</v>
      </c>
      <c r="H34" s="92">
        <f t="shared" si="9"/>
        <v>0.89152360929325913</v>
      </c>
      <c r="I34" s="92">
        <f t="shared" si="9"/>
        <v>0.82603010840077817</v>
      </c>
      <c r="J34" s="92">
        <f t="shared" si="9"/>
        <v>-1.0506139798488663</v>
      </c>
      <c r="K34" s="92">
        <f t="shared" si="9"/>
        <v>0.46399152547048528</v>
      </c>
      <c r="L34" s="92">
        <f t="shared" si="9"/>
        <v>0.80470769249481555</v>
      </c>
      <c r="M34" s="92">
        <f t="shared" si="9"/>
        <v>0.82398871759957204</v>
      </c>
      <c r="N34" s="92">
        <f t="shared" si="9"/>
        <v>0.79126673671356973</v>
      </c>
    </row>
    <row r="36" spans="1:14" x14ac:dyDescent="0.25">
      <c r="A36" s="41"/>
    </row>
    <row r="38" spans="1:14" x14ac:dyDescent="0.25">
      <c r="A38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3"/>
  <sheetViews>
    <sheetView showGridLines="0" zoomScale="80" zoomScaleNormal="80" zoomScalePageLayoutView="120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F15" sqref="A1:XFD1048576"/>
    </sheetView>
  </sheetViews>
  <sheetFormatPr defaultColWidth="8.85546875" defaultRowHeight="15" x14ac:dyDescent="0.25"/>
  <cols>
    <col min="1" max="2" width="30.140625" style="5" bestFit="1" customWidth="1"/>
    <col min="3" max="4" width="10.85546875" style="5" bestFit="1" customWidth="1"/>
    <col min="5" max="11" width="12" style="5" bestFit="1" customWidth="1"/>
    <col min="12" max="12" width="8.85546875" style="5"/>
    <col min="13" max="13" width="110" style="5" bestFit="1" customWidth="1"/>
    <col min="14" max="15" width="12" style="5" bestFit="1" customWidth="1"/>
    <col min="16" max="16384" width="8.85546875" style="5"/>
  </cols>
  <sheetData>
    <row r="1" spans="1:11" s="1" customFormat="1" x14ac:dyDescent="0.25">
      <c r="A1" s="1" t="s">
        <v>0</v>
      </c>
      <c r="B1" s="1" t="s">
        <v>63</v>
      </c>
      <c r="E1" s="152" t="str">
        <f>IF(B2&lt;&gt;B3, "A NEW VERSION OF THE WORKSHEET IS AVAILABLE", "")</f>
        <v/>
      </c>
      <c r="F1" s="152"/>
      <c r="G1" s="152"/>
      <c r="H1" s="152"/>
      <c r="I1" s="152"/>
      <c r="J1" s="152"/>
      <c r="K1" s="152"/>
    </row>
    <row r="2" spans="1:11" x14ac:dyDescent="0.25">
      <c r="A2" s="1" t="s">
        <v>61</v>
      </c>
      <c r="B2" s="5">
        <v>2.1</v>
      </c>
      <c r="E2" s="153" t="s">
        <v>36</v>
      </c>
      <c r="F2" s="153"/>
      <c r="G2" s="153"/>
      <c r="H2" s="153"/>
      <c r="I2" s="153"/>
      <c r="J2" s="153"/>
      <c r="K2" s="153"/>
    </row>
    <row r="3" spans="1:11" x14ac:dyDescent="0.25">
      <c r="A3" s="1" t="s">
        <v>62</v>
      </c>
      <c r="B3" s="5">
        <v>2.1</v>
      </c>
    </row>
    <row r="4" spans="1:11" x14ac:dyDescent="0.25">
      <c r="A4" s="1"/>
    </row>
    <row r="5" spans="1:11" x14ac:dyDescent="0.25">
      <c r="A5" s="1" t="s">
        <v>64</v>
      </c>
    </row>
    <row r="6" spans="1:11" x14ac:dyDescent="0.25">
      <c r="A6" s="5" t="s">
        <v>42</v>
      </c>
      <c r="B6" s="5">
        <f>IF(B9&gt;0, B9/B8, 0)</f>
        <v>124.3528842680571</v>
      </c>
    </row>
    <row r="7" spans="1:11" x14ac:dyDescent="0.25">
      <c r="A7" s="5" t="s">
        <v>31</v>
      </c>
      <c r="B7">
        <v>5</v>
      </c>
    </row>
    <row r="8" spans="1:11" x14ac:dyDescent="0.25">
      <c r="A8" s="5" t="s">
        <v>43</v>
      </c>
      <c r="B8">
        <v>3183.65</v>
      </c>
    </row>
    <row r="9" spans="1:11" x14ac:dyDescent="0.25">
      <c r="A9" s="5" t="s">
        <v>79</v>
      </c>
      <c r="B9">
        <v>395896.06</v>
      </c>
    </row>
    <row r="15" spans="1:11" x14ac:dyDescent="0.25">
      <c r="A15" s="1" t="s">
        <v>37</v>
      </c>
    </row>
    <row r="16" spans="1:11" s="24" customFormat="1" x14ac:dyDescent="0.25">
      <c r="A16" s="23" t="s">
        <v>38</v>
      </c>
      <c r="B16" s="16">
        <v>42094</v>
      </c>
      <c r="C16" s="16">
        <v>42460</v>
      </c>
      <c r="D16" s="16">
        <v>42825</v>
      </c>
      <c r="E16" s="16">
        <v>43190</v>
      </c>
      <c r="F16" s="16">
        <v>43555</v>
      </c>
      <c r="G16" s="16">
        <v>43921</v>
      </c>
      <c r="H16" s="16">
        <v>44286</v>
      </c>
      <c r="I16" s="16">
        <v>44651</v>
      </c>
      <c r="J16" s="16">
        <v>45016</v>
      </c>
      <c r="K16" s="16">
        <v>45382</v>
      </c>
    </row>
    <row r="17" spans="1:15" s="9" customFormat="1" x14ac:dyDescent="0.25">
      <c r="A17" s="9" t="s">
        <v>6</v>
      </c>
      <c r="B17">
        <v>71448</v>
      </c>
      <c r="C17">
        <v>75841.42</v>
      </c>
      <c r="D17">
        <v>83773.05</v>
      </c>
      <c r="E17">
        <v>92093.95</v>
      </c>
      <c r="F17">
        <v>104720.68</v>
      </c>
      <c r="G17">
        <v>75381.929999999993</v>
      </c>
      <c r="H17">
        <v>74277.78</v>
      </c>
      <c r="I17">
        <v>90170.57</v>
      </c>
      <c r="J17">
        <v>121268.55</v>
      </c>
      <c r="K17">
        <v>139078.26999999999</v>
      </c>
      <c r="M17" s="43">
        <v>2022</v>
      </c>
      <c r="N17" s="43">
        <v>2023</v>
      </c>
      <c r="O17" s="43">
        <v>2024</v>
      </c>
    </row>
    <row r="18" spans="1:15" s="9" customFormat="1" x14ac:dyDescent="0.25">
      <c r="A18" s="5" t="s">
        <v>80</v>
      </c>
      <c r="B18">
        <v>42575.56</v>
      </c>
      <c r="C18">
        <v>45584.35</v>
      </c>
      <c r="D18">
        <v>50655.199999999997</v>
      </c>
      <c r="E18">
        <v>53457.29</v>
      </c>
      <c r="F18">
        <v>61881.19</v>
      </c>
      <c r="G18">
        <v>37595.300000000003</v>
      </c>
      <c r="H18">
        <v>38271.199999999997</v>
      </c>
      <c r="I18">
        <v>52664.85</v>
      </c>
      <c r="J18">
        <v>76019.87</v>
      </c>
      <c r="K18">
        <v>85070.07</v>
      </c>
      <c r="M18" s="44" t="s">
        <v>120</v>
      </c>
      <c r="N18" s="45"/>
      <c r="O18" s="45"/>
    </row>
    <row r="19" spans="1:15" s="9" customFormat="1" x14ac:dyDescent="0.25">
      <c r="A19" s="5" t="s">
        <v>81</v>
      </c>
      <c r="B19">
        <v>-274.13</v>
      </c>
      <c r="C19">
        <v>458.51</v>
      </c>
      <c r="D19">
        <v>13.83</v>
      </c>
      <c r="E19">
        <v>-83.33</v>
      </c>
      <c r="F19">
        <v>1730.48</v>
      </c>
      <c r="G19">
        <v>-826.62</v>
      </c>
      <c r="H19">
        <v>-135.59</v>
      </c>
      <c r="I19">
        <v>861.66</v>
      </c>
      <c r="J19">
        <v>2032.31</v>
      </c>
      <c r="K19">
        <v>1455.32</v>
      </c>
      <c r="M19" s="45">
        <f>(SUM(I18,I20,I21)-I19)*10</f>
        <v>554687.29999999993</v>
      </c>
      <c r="N19" s="45">
        <f t="shared" ref="N19:O19" si="0">(SUM(J17,J19,J20)-J18)*10</f>
        <v>481114.7</v>
      </c>
      <c r="O19" s="45">
        <f t="shared" si="0"/>
        <v>562162.5</v>
      </c>
    </row>
    <row r="20" spans="1:15" s="9" customFormat="1" x14ac:dyDescent="0.25">
      <c r="A20" s="5" t="s">
        <v>82</v>
      </c>
      <c r="B20">
        <v>786.96</v>
      </c>
      <c r="C20">
        <v>639.97</v>
      </c>
      <c r="D20">
        <v>657.06</v>
      </c>
      <c r="E20">
        <v>733.9</v>
      </c>
      <c r="F20">
        <v>817.11</v>
      </c>
      <c r="G20">
        <v>530.91999999999996</v>
      </c>
      <c r="H20">
        <v>429.56</v>
      </c>
      <c r="I20">
        <v>541.27</v>
      </c>
      <c r="J20">
        <v>830.48</v>
      </c>
      <c r="K20">
        <v>752.73</v>
      </c>
      <c r="M20" s="45" t="s">
        <v>121</v>
      </c>
      <c r="N20" s="45"/>
      <c r="O20" s="45"/>
    </row>
    <row r="21" spans="1:15" s="9" customFormat="1" x14ac:dyDescent="0.25">
      <c r="A21" s="5" t="s">
        <v>83</v>
      </c>
      <c r="B21">
        <v>2553.39</v>
      </c>
      <c r="C21">
        <v>2618.6999999999998</v>
      </c>
      <c r="D21">
        <v>3255.3</v>
      </c>
      <c r="E21">
        <v>3590.26</v>
      </c>
      <c r="F21">
        <v>4253</v>
      </c>
      <c r="G21">
        <v>3277.79</v>
      </c>
      <c r="H21">
        <v>2523.4</v>
      </c>
      <c r="I21">
        <v>3124.27</v>
      </c>
      <c r="J21">
        <v>3838.42</v>
      </c>
      <c r="K21">
        <v>3791.75</v>
      </c>
      <c r="M21" s="45" t="s">
        <v>122</v>
      </c>
      <c r="N21" s="45"/>
      <c r="O21" s="45"/>
    </row>
    <row r="22" spans="1:15" s="9" customFormat="1" x14ac:dyDescent="0.25">
      <c r="A22" s="5" t="s">
        <v>84</v>
      </c>
      <c r="B22">
        <v>7202.49</v>
      </c>
      <c r="C22">
        <v>7689.4</v>
      </c>
      <c r="D22">
        <v>8910.6299999999992</v>
      </c>
      <c r="E22">
        <v>10004.620000000001</v>
      </c>
      <c r="F22">
        <v>11242.08</v>
      </c>
      <c r="G22">
        <v>8214.82</v>
      </c>
      <c r="H22">
        <v>7813.26</v>
      </c>
      <c r="I22">
        <v>8386.74</v>
      </c>
      <c r="J22">
        <v>9677.9500000000007</v>
      </c>
      <c r="K22">
        <v>10624.33</v>
      </c>
      <c r="M22" s="45" t="s">
        <v>123</v>
      </c>
      <c r="N22" s="45"/>
      <c r="O22" s="45"/>
    </row>
    <row r="23" spans="1:15" s="9" customFormat="1" x14ac:dyDescent="0.25">
      <c r="A23" s="5" t="s">
        <v>85</v>
      </c>
      <c r="B23">
        <v>5990.62</v>
      </c>
      <c r="C23">
        <v>5758.86</v>
      </c>
      <c r="D23">
        <v>6253.64</v>
      </c>
      <c r="E23">
        <v>7591.15</v>
      </c>
      <c r="F23">
        <v>9658.98</v>
      </c>
      <c r="G23">
        <v>6316.52</v>
      </c>
      <c r="H23">
        <v>4628.75</v>
      </c>
      <c r="I23">
        <v>5977.67</v>
      </c>
      <c r="J23">
        <v>7681.87</v>
      </c>
      <c r="K23">
        <v>9832.2000000000007</v>
      </c>
      <c r="M23" s="45" t="s">
        <v>124</v>
      </c>
      <c r="N23" s="45"/>
      <c r="O23" s="45"/>
    </row>
    <row r="24" spans="1:15" s="9" customFormat="1" x14ac:dyDescent="0.25">
      <c r="A24" s="5" t="s">
        <v>86</v>
      </c>
      <c r="B24">
        <v>3271.56</v>
      </c>
      <c r="C24">
        <v>3926.21</v>
      </c>
      <c r="D24">
        <v>3320.22</v>
      </c>
      <c r="E24">
        <v>3407.3</v>
      </c>
      <c r="F24">
        <v>3392.29</v>
      </c>
      <c r="G24">
        <v>8462.2099999999991</v>
      </c>
      <c r="H24">
        <v>8989</v>
      </c>
      <c r="I24">
        <v>5654.58</v>
      </c>
      <c r="J24">
        <v>4966.9799999999996</v>
      </c>
      <c r="K24">
        <v>5570.58</v>
      </c>
    </row>
    <row r="25" spans="1:15" s="9" customFormat="1" x14ac:dyDescent="0.25">
      <c r="A25" s="9" t="s">
        <v>9</v>
      </c>
      <c r="B25">
        <v>799.93</v>
      </c>
      <c r="C25">
        <v>1398.83</v>
      </c>
      <c r="D25">
        <v>2076.61</v>
      </c>
      <c r="E25">
        <v>4366.41</v>
      </c>
      <c r="F25">
        <v>2676.45</v>
      </c>
      <c r="G25">
        <v>884.69</v>
      </c>
      <c r="H25">
        <v>1151.51</v>
      </c>
      <c r="I25">
        <v>3204.47</v>
      </c>
      <c r="J25">
        <v>3961.45</v>
      </c>
      <c r="K25">
        <v>3297.85</v>
      </c>
    </row>
    <row r="26" spans="1:15" s="9" customFormat="1" x14ac:dyDescent="0.25">
      <c r="A26" s="9" t="s">
        <v>10</v>
      </c>
      <c r="B26">
        <v>2123.83</v>
      </c>
      <c r="C26">
        <v>2441.65</v>
      </c>
      <c r="D26">
        <v>2812.72</v>
      </c>
      <c r="E26">
        <v>3279.9</v>
      </c>
      <c r="F26">
        <v>3990.77</v>
      </c>
      <c r="G26">
        <v>3366.68</v>
      </c>
      <c r="H26">
        <v>3378.11</v>
      </c>
      <c r="I26">
        <v>3507.5</v>
      </c>
      <c r="J26">
        <v>4356.8100000000004</v>
      </c>
      <c r="K26">
        <v>4723.78</v>
      </c>
    </row>
    <row r="27" spans="1:15" s="9" customFormat="1" x14ac:dyDescent="0.25">
      <c r="A27" s="9" t="s">
        <v>11</v>
      </c>
      <c r="B27">
        <v>3156.69</v>
      </c>
      <c r="C27">
        <v>3367.59</v>
      </c>
      <c r="D27">
        <v>3648.46</v>
      </c>
      <c r="E27">
        <v>3987.09</v>
      </c>
      <c r="F27">
        <v>5021.3500000000004</v>
      </c>
      <c r="G27">
        <v>6021.15</v>
      </c>
      <c r="H27">
        <v>6102.22</v>
      </c>
      <c r="I27">
        <v>5018.05</v>
      </c>
      <c r="J27">
        <v>5829.7</v>
      </c>
      <c r="K27">
        <v>7488.21</v>
      </c>
    </row>
    <row r="28" spans="1:15" s="9" customFormat="1" x14ac:dyDescent="0.25">
      <c r="A28" s="9" t="s">
        <v>12</v>
      </c>
      <c r="B28">
        <v>4312.7</v>
      </c>
      <c r="C28">
        <v>5672.03</v>
      </c>
      <c r="D28">
        <v>6350.26</v>
      </c>
      <c r="E28">
        <v>10325.52</v>
      </c>
      <c r="F28">
        <v>8870.84</v>
      </c>
      <c r="G28">
        <v>1654.61</v>
      </c>
      <c r="H28">
        <v>3158.2</v>
      </c>
      <c r="I28">
        <v>9361.77</v>
      </c>
      <c r="J28">
        <v>14060.23</v>
      </c>
      <c r="K28">
        <v>15977.79</v>
      </c>
    </row>
    <row r="29" spans="1:15" s="9" customFormat="1" x14ac:dyDescent="0.25">
      <c r="A29" s="9" t="s">
        <v>13</v>
      </c>
      <c r="B29">
        <v>1720.02</v>
      </c>
      <c r="C29">
        <v>2117.5300000000002</v>
      </c>
      <c r="D29">
        <v>2299.73</v>
      </c>
      <c r="E29">
        <v>2367.73</v>
      </c>
      <c r="F29">
        <v>2853.99</v>
      </c>
      <c r="G29">
        <v>1975.61</v>
      </c>
      <c r="H29">
        <v>1645.81</v>
      </c>
      <c r="I29">
        <v>2108.7600000000002</v>
      </c>
      <c r="J29">
        <v>2685.75</v>
      </c>
      <c r="K29">
        <v>3707.97</v>
      </c>
    </row>
    <row r="30" spans="1:15" s="9" customFormat="1" x14ac:dyDescent="0.25">
      <c r="A30" s="9" t="s">
        <v>14</v>
      </c>
      <c r="B30">
        <v>3137.47</v>
      </c>
      <c r="C30">
        <v>3148.43</v>
      </c>
      <c r="D30">
        <v>3698.04</v>
      </c>
      <c r="E30">
        <v>7510.39</v>
      </c>
      <c r="F30">
        <v>5315.46</v>
      </c>
      <c r="G30">
        <v>127.04</v>
      </c>
      <c r="H30">
        <v>1812.49</v>
      </c>
      <c r="I30">
        <v>6577.32</v>
      </c>
      <c r="J30">
        <v>10281.5</v>
      </c>
      <c r="K30">
        <v>11268.64</v>
      </c>
    </row>
    <row r="31" spans="1:15" s="9" customFormat="1" x14ac:dyDescent="0.25">
      <c r="A31" s="9" t="s">
        <v>70</v>
      </c>
      <c r="B31">
        <v>709.68</v>
      </c>
      <c r="C31">
        <v>648.96</v>
      </c>
      <c r="D31">
        <v>807.43</v>
      </c>
      <c r="E31">
        <v>814.7</v>
      </c>
      <c r="F31">
        <v>924.73</v>
      </c>
      <c r="G31">
        <v>260.51</v>
      </c>
      <c r="H31">
        <v>971.51</v>
      </c>
      <c r="I31">
        <v>1284.5</v>
      </c>
      <c r="J31">
        <v>1809.66</v>
      </c>
      <c r="K31">
        <v>2352.14</v>
      </c>
    </row>
    <row r="32" spans="1:15" s="9" customFormat="1" x14ac:dyDescent="0.25"/>
    <row r="33" spans="1:11" x14ac:dyDescent="0.25">
      <c r="A33" s="9"/>
    </row>
    <row r="34" spans="1:11" x14ac:dyDescent="0.25">
      <c r="A34" s="9"/>
    </row>
    <row r="35" spans="1:11" x14ac:dyDescent="0.25">
      <c r="A35" s="9"/>
    </row>
    <row r="36" spans="1:11" x14ac:dyDescent="0.25">
      <c r="A36" s="9"/>
    </row>
    <row r="37" spans="1:11" x14ac:dyDescent="0.25">
      <c r="A37" s="9"/>
    </row>
    <row r="38" spans="1:11" x14ac:dyDescent="0.25">
      <c r="A38" s="9"/>
    </row>
    <row r="39" spans="1:11" x14ac:dyDescent="0.25">
      <c r="A39" s="9"/>
    </row>
    <row r="40" spans="1:11" x14ac:dyDescent="0.25">
      <c r="A40" s="1" t="s">
        <v>39</v>
      </c>
    </row>
    <row r="41" spans="1:11" s="24" customFormat="1" x14ac:dyDescent="0.25">
      <c r="A41" s="23" t="s">
        <v>38</v>
      </c>
      <c r="B41" s="16">
        <v>44651</v>
      </c>
      <c r="C41" s="16">
        <v>44742</v>
      </c>
      <c r="D41" s="16">
        <v>44834</v>
      </c>
      <c r="E41" s="16">
        <v>44926</v>
      </c>
      <c r="F41" s="16">
        <v>45016</v>
      </c>
      <c r="G41" s="16">
        <v>45107</v>
      </c>
      <c r="H41" s="16">
        <v>45199</v>
      </c>
      <c r="I41" s="16">
        <v>45291</v>
      </c>
      <c r="J41" s="16">
        <v>45382</v>
      </c>
      <c r="K41" s="16">
        <v>45473</v>
      </c>
    </row>
    <row r="42" spans="1:11" s="9" customFormat="1" x14ac:dyDescent="0.25">
      <c r="A42" s="9" t="s">
        <v>6</v>
      </c>
      <c r="B42">
        <v>25934.400000000001</v>
      </c>
      <c r="C42">
        <v>28414.27</v>
      </c>
      <c r="D42">
        <v>29870.38</v>
      </c>
      <c r="E42">
        <v>30621.279999999999</v>
      </c>
      <c r="F42">
        <v>32455.65</v>
      </c>
      <c r="G42">
        <v>33891.629999999997</v>
      </c>
      <c r="H42">
        <v>34435.519999999997</v>
      </c>
      <c r="I42">
        <v>35299.39</v>
      </c>
      <c r="J42">
        <v>35451.730000000003</v>
      </c>
      <c r="K42">
        <v>37217.72</v>
      </c>
    </row>
    <row r="43" spans="1:11" s="9" customFormat="1" x14ac:dyDescent="0.25">
      <c r="A43" s="9" t="s">
        <v>7</v>
      </c>
      <c r="B43">
        <v>21656.71</v>
      </c>
      <c r="C43">
        <v>24015.65</v>
      </c>
      <c r="D43">
        <v>24802.13</v>
      </c>
      <c r="E43">
        <v>25367.56</v>
      </c>
      <c r="F43">
        <v>26797.919999999998</v>
      </c>
      <c r="G43">
        <v>27642.400000000001</v>
      </c>
      <c r="H43">
        <v>28705.94</v>
      </c>
      <c r="I43">
        <v>29075.41</v>
      </c>
      <c r="J43">
        <v>28847.82</v>
      </c>
      <c r="K43">
        <v>29974.6</v>
      </c>
    </row>
    <row r="44" spans="1:11" s="9" customFormat="1" x14ac:dyDescent="0.25">
      <c r="A44" s="9" t="s">
        <v>9</v>
      </c>
      <c r="B44">
        <v>1135.18</v>
      </c>
      <c r="C44">
        <v>674.7</v>
      </c>
      <c r="D44">
        <v>1348.27</v>
      </c>
      <c r="E44">
        <v>1183.71</v>
      </c>
      <c r="F44">
        <v>661.74</v>
      </c>
      <c r="G44">
        <v>1065</v>
      </c>
      <c r="H44">
        <v>811.95</v>
      </c>
      <c r="I44">
        <v>755.69</v>
      </c>
      <c r="J44">
        <v>750.44</v>
      </c>
      <c r="K44">
        <v>733.21</v>
      </c>
    </row>
    <row r="45" spans="1:11" s="9" customFormat="1" x14ac:dyDescent="0.25">
      <c r="A45" s="9" t="s">
        <v>10</v>
      </c>
      <c r="B45">
        <v>935.1</v>
      </c>
      <c r="C45">
        <v>960.48</v>
      </c>
      <c r="D45">
        <v>1091.77</v>
      </c>
      <c r="E45">
        <v>1110.1600000000001</v>
      </c>
      <c r="F45">
        <v>1194.4000000000001</v>
      </c>
      <c r="G45">
        <v>1127.5</v>
      </c>
      <c r="H45">
        <v>1138.6400000000001</v>
      </c>
      <c r="I45">
        <v>1122.5899999999999</v>
      </c>
      <c r="J45">
        <v>1335.05</v>
      </c>
      <c r="K45">
        <v>1247.77</v>
      </c>
    </row>
    <row r="46" spans="1:11" s="9" customFormat="1" x14ac:dyDescent="0.25">
      <c r="A46" s="9" t="s">
        <v>11</v>
      </c>
      <c r="B46">
        <v>1222.1199999999999</v>
      </c>
      <c r="C46">
        <v>1218.8800000000001</v>
      </c>
      <c r="D46">
        <v>1381.7</v>
      </c>
      <c r="E46">
        <v>1595.56</v>
      </c>
      <c r="F46">
        <v>1633.56</v>
      </c>
      <c r="G46">
        <v>1718.84</v>
      </c>
      <c r="H46">
        <v>1835.19</v>
      </c>
      <c r="I46">
        <v>1944.88</v>
      </c>
      <c r="J46">
        <v>1989.3</v>
      </c>
      <c r="K46">
        <v>2107.69</v>
      </c>
    </row>
    <row r="47" spans="1:11" s="9" customFormat="1" x14ac:dyDescent="0.25">
      <c r="A47" s="9" t="s">
        <v>12</v>
      </c>
      <c r="B47">
        <v>3255.65</v>
      </c>
      <c r="C47">
        <v>2893.96</v>
      </c>
      <c r="D47">
        <v>3943.05</v>
      </c>
      <c r="E47">
        <v>3731.71</v>
      </c>
      <c r="F47">
        <v>3491.51</v>
      </c>
      <c r="G47">
        <v>4467.8900000000003</v>
      </c>
      <c r="H47">
        <v>3567.7</v>
      </c>
      <c r="I47">
        <v>3912.2</v>
      </c>
      <c r="J47">
        <v>4030</v>
      </c>
      <c r="K47">
        <v>4620.87</v>
      </c>
    </row>
    <row r="48" spans="1:11" s="9" customFormat="1" x14ac:dyDescent="0.25">
      <c r="A48" s="9" t="s">
        <v>13</v>
      </c>
      <c r="B48">
        <v>647.52</v>
      </c>
      <c r="C48">
        <v>533.26</v>
      </c>
      <c r="D48">
        <v>921.67</v>
      </c>
      <c r="E48">
        <v>737.68</v>
      </c>
      <c r="F48">
        <v>493.14</v>
      </c>
      <c r="G48">
        <v>784.02</v>
      </c>
      <c r="H48">
        <v>1083.73</v>
      </c>
      <c r="I48">
        <v>935.16</v>
      </c>
      <c r="J48">
        <v>905.06</v>
      </c>
      <c r="K48">
        <v>1075.0899999999999</v>
      </c>
    </row>
    <row r="49" spans="1:13" s="9" customFormat="1" x14ac:dyDescent="0.25">
      <c r="A49" s="9" t="s">
        <v>14</v>
      </c>
      <c r="B49">
        <v>2237.36</v>
      </c>
      <c r="C49">
        <v>2195.54</v>
      </c>
      <c r="D49">
        <v>2772.73</v>
      </c>
      <c r="E49">
        <v>2676.56</v>
      </c>
      <c r="F49">
        <v>2636.67</v>
      </c>
      <c r="G49">
        <v>3508.41</v>
      </c>
      <c r="H49">
        <v>2347.75</v>
      </c>
      <c r="I49">
        <v>2658.4</v>
      </c>
      <c r="J49">
        <v>2754.08</v>
      </c>
      <c r="K49">
        <v>3282.63</v>
      </c>
    </row>
    <row r="50" spans="1:13" x14ac:dyDescent="0.25">
      <c r="A50" s="9" t="s">
        <v>8</v>
      </c>
      <c r="B50">
        <v>4277.6899999999996</v>
      </c>
      <c r="C50">
        <v>4398.62</v>
      </c>
      <c r="D50">
        <v>5068.25</v>
      </c>
      <c r="E50">
        <v>5253.72</v>
      </c>
      <c r="F50">
        <v>5657.73</v>
      </c>
      <c r="G50">
        <v>6249.23</v>
      </c>
      <c r="H50">
        <v>5729.58</v>
      </c>
      <c r="I50">
        <v>6223.98</v>
      </c>
      <c r="J50">
        <v>6603.91</v>
      </c>
      <c r="K50">
        <v>7243.12</v>
      </c>
    </row>
    <row r="51" spans="1:13" x14ac:dyDescent="0.25">
      <c r="A51" s="9"/>
    </row>
    <row r="52" spans="1:13" x14ac:dyDescent="0.25">
      <c r="A52" s="9"/>
    </row>
    <row r="53" spans="1:13" x14ac:dyDescent="0.25">
      <c r="A53" s="9"/>
    </row>
    <row r="54" spans="1:13" x14ac:dyDescent="0.25">
      <c r="A54" s="9"/>
    </row>
    <row r="55" spans="1:13" x14ac:dyDescent="0.25">
      <c r="A55" s="1" t="s">
        <v>40</v>
      </c>
    </row>
    <row r="56" spans="1:13" s="24" customFormat="1" x14ac:dyDescent="0.25">
      <c r="A56" s="23" t="s">
        <v>38</v>
      </c>
      <c r="B56" s="16">
        <v>42094</v>
      </c>
      <c r="C56" s="16">
        <v>42460</v>
      </c>
      <c r="D56" s="16">
        <v>42825</v>
      </c>
      <c r="E56" s="16">
        <v>43190</v>
      </c>
      <c r="F56" s="16">
        <v>43555</v>
      </c>
      <c r="G56" s="16">
        <v>43921</v>
      </c>
      <c r="H56" s="16">
        <v>44286</v>
      </c>
      <c r="I56" s="16">
        <v>44651</v>
      </c>
      <c r="J56" s="16">
        <v>45016</v>
      </c>
      <c r="K56" s="16">
        <v>45382</v>
      </c>
    </row>
    <row r="57" spans="1:13" x14ac:dyDescent="0.25">
      <c r="A57" s="9" t="s">
        <v>24</v>
      </c>
      <c r="B57">
        <v>295.7</v>
      </c>
      <c r="C57">
        <v>270.39999999999998</v>
      </c>
      <c r="D57">
        <v>310.55</v>
      </c>
      <c r="E57">
        <v>543.13</v>
      </c>
      <c r="F57">
        <v>543.96</v>
      </c>
      <c r="G57">
        <v>554.28</v>
      </c>
      <c r="H57">
        <v>555.15</v>
      </c>
      <c r="I57">
        <v>556.05999999999995</v>
      </c>
      <c r="J57">
        <v>556.82000000000005</v>
      </c>
      <c r="K57">
        <v>557.38</v>
      </c>
    </row>
    <row r="58" spans="1:13" x14ac:dyDescent="0.25">
      <c r="A58" s="9" t="s">
        <v>25</v>
      </c>
      <c r="B58">
        <v>25560.68</v>
      </c>
      <c r="C58">
        <v>26222.25</v>
      </c>
      <c r="D58">
        <v>29467.1</v>
      </c>
      <c r="E58">
        <v>36232.06</v>
      </c>
      <c r="F58">
        <v>39439.449999999997</v>
      </c>
      <c r="G58">
        <v>39415.03</v>
      </c>
      <c r="H58">
        <v>41026.769999999997</v>
      </c>
      <c r="I58">
        <v>46566.58</v>
      </c>
      <c r="J58">
        <v>55808.97</v>
      </c>
      <c r="K58">
        <v>65633.17</v>
      </c>
    </row>
    <row r="59" spans="1:13" x14ac:dyDescent="0.25">
      <c r="A59" s="9" t="s">
        <v>71</v>
      </c>
      <c r="B59">
        <v>37911.46</v>
      </c>
      <c r="C59">
        <v>41552.93</v>
      </c>
      <c r="D59">
        <v>48761.91</v>
      </c>
      <c r="E59">
        <v>55897.919999999998</v>
      </c>
      <c r="F59">
        <v>70848.3</v>
      </c>
      <c r="G59">
        <v>82092.28</v>
      </c>
      <c r="H59">
        <v>80624.83</v>
      </c>
      <c r="I59">
        <v>77605.210000000006</v>
      </c>
      <c r="J59">
        <v>92246.85</v>
      </c>
      <c r="K59">
        <v>108647.25</v>
      </c>
    </row>
    <row r="60" spans="1:13" x14ac:dyDescent="0.25">
      <c r="A60" s="9" t="s">
        <v>72</v>
      </c>
      <c r="B60">
        <v>30608.37</v>
      </c>
      <c r="C60">
        <v>31806.240000000002</v>
      </c>
      <c r="D60">
        <v>35295.919999999998</v>
      </c>
      <c r="E60">
        <v>43696.2</v>
      </c>
      <c r="F60">
        <v>51056.95</v>
      </c>
      <c r="G60">
        <v>43654.54</v>
      </c>
      <c r="H60">
        <v>42761.58</v>
      </c>
      <c r="I60">
        <v>47660.639999999999</v>
      </c>
      <c r="J60">
        <v>55670.49</v>
      </c>
      <c r="K60">
        <v>59883.94</v>
      </c>
      <c r="M60" s="54" t="s">
        <v>141</v>
      </c>
    </row>
    <row r="61" spans="1:13" s="1" customFormat="1" x14ac:dyDescent="0.25">
      <c r="A61" s="1" t="s">
        <v>26</v>
      </c>
      <c r="B61">
        <v>94376.21</v>
      </c>
      <c r="C61">
        <v>99851.82</v>
      </c>
      <c r="D61">
        <v>113835.48</v>
      </c>
      <c r="E61">
        <v>136369.31</v>
      </c>
      <c r="F61">
        <v>161888.66</v>
      </c>
      <c r="G61">
        <v>165716.13</v>
      </c>
      <c r="H61">
        <v>164968.32999999999</v>
      </c>
      <c r="I61">
        <v>172388.49</v>
      </c>
      <c r="J61">
        <v>204283.13</v>
      </c>
      <c r="K61">
        <v>234721.74</v>
      </c>
      <c r="M61" s="44"/>
    </row>
    <row r="62" spans="1:13" x14ac:dyDescent="0.25">
      <c r="A62" s="9" t="s">
        <v>27</v>
      </c>
      <c r="B62">
        <v>19046.740000000002</v>
      </c>
      <c r="C62">
        <v>20584.71</v>
      </c>
      <c r="D62">
        <v>20989.01</v>
      </c>
      <c r="E62">
        <v>26181.9</v>
      </c>
      <c r="F62">
        <v>28982.74</v>
      </c>
      <c r="G62">
        <v>29689.27</v>
      </c>
      <c r="H62">
        <v>21379.68</v>
      </c>
      <c r="I62">
        <v>26018.49</v>
      </c>
      <c r="J62">
        <v>27139.98</v>
      </c>
      <c r="K62">
        <v>28129.41</v>
      </c>
      <c r="M62" s="54" t="s">
        <v>142</v>
      </c>
    </row>
    <row r="63" spans="1:13" x14ac:dyDescent="0.25">
      <c r="A63" s="9" t="s">
        <v>28</v>
      </c>
      <c r="B63">
        <v>3032.14</v>
      </c>
      <c r="C63">
        <v>2371.35</v>
      </c>
      <c r="D63">
        <v>4278.9399999999996</v>
      </c>
      <c r="E63">
        <v>4269.47</v>
      </c>
      <c r="F63">
        <v>4759.84</v>
      </c>
      <c r="G63">
        <v>6856.48</v>
      </c>
      <c r="H63">
        <v>7872.61</v>
      </c>
      <c r="I63">
        <v>6702.81</v>
      </c>
      <c r="J63">
        <v>3968.58</v>
      </c>
      <c r="K63">
        <v>8039.3</v>
      </c>
      <c r="M63" s="54"/>
    </row>
    <row r="64" spans="1:13" x14ac:dyDescent="0.25">
      <c r="A64" s="9" t="s">
        <v>29</v>
      </c>
      <c r="B64">
        <v>10027.14</v>
      </c>
      <c r="C64">
        <v>11602.58</v>
      </c>
      <c r="D64">
        <v>14662.44</v>
      </c>
      <c r="E64">
        <v>16017.61</v>
      </c>
      <c r="F64">
        <v>18268.099999999999</v>
      </c>
      <c r="G64">
        <v>19210.34</v>
      </c>
      <c r="H64">
        <v>28777.66</v>
      </c>
      <c r="I64">
        <v>30060.43</v>
      </c>
      <c r="J64">
        <v>35272.42</v>
      </c>
      <c r="K64">
        <v>35208.1</v>
      </c>
      <c r="M64" s="54" t="s">
        <v>143</v>
      </c>
    </row>
    <row r="65" spans="1:11" x14ac:dyDescent="0.25">
      <c r="A65" s="9" t="s">
        <v>73</v>
      </c>
      <c r="B65">
        <v>62270.19</v>
      </c>
      <c r="C65">
        <v>65293.18</v>
      </c>
      <c r="D65">
        <v>73905.09</v>
      </c>
      <c r="E65">
        <v>89900.33</v>
      </c>
      <c r="F65">
        <v>109877.98</v>
      </c>
      <c r="G65">
        <v>109960.04</v>
      </c>
      <c r="H65">
        <v>106938.38</v>
      </c>
      <c r="I65">
        <v>109606.76</v>
      </c>
      <c r="J65">
        <v>137902.15</v>
      </c>
      <c r="K65">
        <v>163344.93</v>
      </c>
    </row>
    <row r="66" spans="1:11" s="1" customFormat="1" x14ac:dyDescent="0.25">
      <c r="A66" s="1" t="s">
        <v>26</v>
      </c>
      <c r="B66">
        <v>94376.21</v>
      </c>
      <c r="C66">
        <v>99851.82</v>
      </c>
      <c r="D66">
        <v>113835.48</v>
      </c>
      <c r="E66">
        <v>136369.31</v>
      </c>
      <c r="F66">
        <v>161888.66</v>
      </c>
      <c r="G66">
        <v>165716.13</v>
      </c>
      <c r="H66">
        <v>164968.32999999999</v>
      </c>
      <c r="I66">
        <v>172388.49</v>
      </c>
      <c r="J66">
        <v>204283.13</v>
      </c>
      <c r="K66">
        <v>234721.74</v>
      </c>
    </row>
    <row r="67" spans="1:11" s="9" customFormat="1" x14ac:dyDescent="0.25">
      <c r="A67" s="9" t="s">
        <v>78</v>
      </c>
      <c r="B67">
        <v>5476.16</v>
      </c>
      <c r="C67">
        <v>5817.6</v>
      </c>
      <c r="D67">
        <v>7199.26</v>
      </c>
      <c r="E67">
        <v>8489.82</v>
      </c>
      <c r="F67">
        <v>8677.89</v>
      </c>
      <c r="G67">
        <v>6928.28</v>
      </c>
      <c r="H67">
        <v>6007.76</v>
      </c>
      <c r="I67">
        <v>6373.95</v>
      </c>
      <c r="J67">
        <v>7028.02</v>
      </c>
      <c r="K67">
        <v>7459.4</v>
      </c>
    </row>
    <row r="68" spans="1:11" x14ac:dyDescent="0.25">
      <c r="A68" s="9" t="s">
        <v>45</v>
      </c>
      <c r="B68">
        <v>8453.39</v>
      </c>
      <c r="C68">
        <v>9116.1200000000008</v>
      </c>
      <c r="D68">
        <v>8886.01</v>
      </c>
      <c r="E68">
        <v>9335.57</v>
      </c>
      <c r="F68">
        <v>12200.16</v>
      </c>
      <c r="G68">
        <v>11111.86</v>
      </c>
      <c r="H68">
        <v>9615.41</v>
      </c>
      <c r="I68">
        <v>11595.82</v>
      </c>
      <c r="J68">
        <v>16854.97</v>
      </c>
      <c r="K68">
        <v>18590.47</v>
      </c>
    </row>
    <row r="69" spans="1:11" x14ac:dyDescent="0.25">
      <c r="A69" s="5" t="s">
        <v>87</v>
      </c>
      <c r="B69">
        <v>4911.83</v>
      </c>
      <c r="C69">
        <v>4527.55</v>
      </c>
      <c r="D69">
        <v>4654.03</v>
      </c>
      <c r="E69">
        <v>6547.6</v>
      </c>
      <c r="F69">
        <v>8734.91</v>
      </c>
      <c r="G69">
        <v>7910.9</v>
      </c>
      <c r="H69">
        <v>12851.99</v>
      </c>
      <c r="I69">
        <v>11117.61</v>
      </c>
      <c r="J69">
        <v>11273.43</v>
      </c>
      <c r="K69">
        <v>12012.75</v>
      </c>
    </row>
    <row r="70" spans="1:11" x14ac:dyDescent="0.25">
      <c r="A70" s="5" t="s">
        <v>74</v>
      </c>
      <c r="B70">
        <v>591392278</v>
      </c>
      <c r="C70">
        <v>592633807</v>
      </c>
      <c r="D70">
        <v>621092384</v>
      </c>
      <c r="E70">
        <v>1243192544</v>
      </c>
      <c r="F70">
        <v>1243192544</v>
      </c>
      <c r="G70">
        <v>1243192544</v>
      </c>
      <c r="H70">
        <v>1110297953</v>
      </c>
      <c r="I70">
        <v>1112130815</v>
      </c>
      <c r="J70">
        <v>1198118224</v>
      </c>
      <c r="K70">
        <v>1114775772</v>
      </c>
    </row>
    <row r="71" spans="1:11" x14ac:dyDescent="0.25">
      <c r="A71" s="5" t="s">
        <v>75</v>
      </c>
      <c r="E71">
        <v>621596272</v>
      </c>
    </row>
    <row r="72" spans="1:11" x14ac:dyDescent="0.25">
      <c r="A72" s="5" t="s">
        <v>88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</row>
    <row r="74" spans="1:11" x14ac:dyDescent="0.25">
      <c r="A74" s="9"/>
    </row>
    <row r="75" spans="1:11" x14ac:dyDescent="0.25">
      <c r="A75" s="9"/>
    </row>
    <row r="76" spans="1:11" x14ac:dyDescent="0.25">
      <c r="A76" s="9"/>
    </row>
    <row r="77" spans="1:11" x14ac:dyDescent="0.25">
      <c r="A77" s="9"/>
    </row>
    <row r="78" spans="1:11" x14ac:dyDescent="0.25">
      <c r="A78" s="9"/>
    </row>
    <row r="79" spans="1:11" x14ac:dyDescent="0.25">
      <c r="A79" s="9"/>
    </row>
    <row r="80" spans="1:11" x14ac:dyDescent="0.25">
      <c r="A80" s="1" t="s">
        <v>41</v>
      </c>
    </row>
    <row r="81" spans="1:11" s="24" customFormat="1" x14ac:dyDescent="0.25">
      <c r="A81" s="23" t="s">
        <v>38</v>
      </c>
      <c r="B81" s="16">
        <v>42094</v>
      </c>
      <c r="C81" s="16">
        <v>42460</v>
      </c>
      <c r="D81" s="16">
        <v>42825</v>
      </c>
      <c r="E81" s="16">
        <v>43190</v>
      </c>
      <c r="F81" s="16">
        <v>43555</v>
      </c>
      <c r="G81" s="16">
        <v>43921</v>
      </c>
      <c r="H81" s="16">
        <v>44286</v>
      </c>
      <c r="I81" s="16">
        <v>44651</v>
      </c>
      <c r="J81" s="16">
        <v>45016</v>
      </c>
      <c r="K81" s="16">
        <v>45382</v>
      </c>
    </row>
    <row r="82" spans="1:11" s="1" customFormat="1" x14ac:dyDescent="0.25">
      <c r="A82" s="9" t="s">
        <v>32</v>
      </c>
      <c r="B82">
        <v>1054.8599999999999</v>
      </c>
      <c r="C82">
        <v>2384.7600000000002</v>
      </c>
      <c r="D82">
        <v>183.09</v>
      </c>
      <c r="E82">
        <v>681.86</v>
      </c>
      <c r="F82">
        <v>-4347.29</v>
      </c>
      <c r="G82">
        <v>-1456.93</v>
      </c>
      <c r="H82">
        <v>17908.830000000002</v>
      </c>
      <c r="I82">
        <v>9247.5499999999993</v>
      </c>
      <c r="J82">
        <v>-7074.02</v>
      </c>
      <c r="K82">
        <v>-5629.95</v>
      </c>
    </row>
    <row r="83" spans="1:11" s="9" customFormat="1" x14ac:dyDescent="0.25">
      <c r="A83" s="9" t="s">
        <v>33</v>
      </c>
      <c r="B83">
        <v>-4357.45</v>
      </c>
      <c r="C83">
        <v>-5505.97</v>
      </c>
      <c r="D83">
        <v>-5875.29</v>
      </c>
      <c r="E83">
        <v>-5467.22</v>
      </c>
      <c r="F83">
        <v>-7173.97</v>
      </c>
      <c r="G83">
        <v>-6869.79</v>
      </c>
      <c r="H83">
        <v>-19685.5</v>
      </c>
      <c r="I83">
        <v>-3251.95</v>
      </c>
      <c r="J83">
        <v>-8866.27</v>
      </c>
      <c r="K83">
        <v>-5614.77</v>
      </c>
    </row>
    <row r="84" spans="1:11" s="9" customFormat="1" x14ac:dyDescent="0.25">
      <c r="A84" s="9" t="s">
        <v>34</v>
      </c>
      <c r="B84">
        <v>1669.38</v>
      </c>
      <c r="C84">
        <v>2966.81</v>
      </c>
      <c r="D84">
        <v>6107.97</v>
      </c>
      <c r="E84">
        <v>6314.5</v>
      </c>
      <c r="F84">
        <v>13193.63</v>
      </c>
      <c r="G84">
        <v>6932.75</v>
      </c>
      <c r="H84">
        <v>406.23</v>
      </c>
      <c r="I84">
        <v>-5882.6</v>
      </c>
      <c r="J84">
        <v>15946.11</v>
      </c>
      <c r="K84">
        <v>12281.41</v>
      </c>
    </row>
    <row r="85" spans="1:11" s="1" customFormat="1" x14ac:dyDescent="0.25">
      <c r="A85" s="9" t="s">
        <v>35</v>
      </c>
      <c r="B85">
        <v>-1633.21</v>
      </c>
      <c r="C85">
        <v>-154.4</v>
      </c>
      <c r="D85">
        <v>415.77</v>
      </c>
      <c r="E85">
        <v>1529.14</v>
      </c>
      <c r="F85">
        <v>1672.37</v>
      </c>
      <c r="G85">
        <v>-1393.97</v>
      </c>
      <c r="H85">
        <v>-1370.44</v>
      </c>
      <c r="I85">
        <v>113</v>
      </c>
      <c r="J85">
        <v>5.82</v>
      </c>
      <c r="K85">
        <v>1036.69</v>
      </c>
    </row>
    <row r="86" spans="1:11" x14ac:dyDescent="0.25">
      <c r="A86" s="9"/>
    </row>
    <row r="87" spans="1:11" x14ac:dyDescent="0.25">
      <c r="A87" s="9"/>
    </row>
    <row r="88" spans="1:11" x14ac:dyDescent="0.25">
      <c r="A88" s="9"/>
    </row>
    <row r="89" spans="1:11" x14ac:dyDescent="0.25">
      <c r="A89" s="9"/>
    </row>
    <row r="90" spans="1:11" s="1" customFormat="1" x14ac:dyDescent="0.25">
      <c r="A90" s="1" t="s">
        <v>77</v>
      </c>
      <c r="B90">
        <v>593.9</v>
      </c>
      <c r="C90">
        <v>605.35</v>
      </c>
      <c r="D90">
        <v>643.45000000000005</v>
      </c>
      <c r="E90">
        <v>738.9</v>
      </c>
      <c r="F90">
        <v>673.9</v>
      </c>
      <c r="G90">
        <v>284.95</v>
      </c>
      <c r="H90">
        <v>795.25</v>
      </c>
      <c r="I90">
        <v>806.55</v>
      </c>
      <c r="J90">
        <v>1158.7</v>
      </c>
      <c r="K90">
        <v>1921.35</v>
      </c>
    </row>
    <row r="92" spans="1:11" s="1" customFormat="1" x14ac:dyDescent="0.25">
      <c r="A92" s="1" t="s">
        <v>76</v>
      </c>
    </row>
    <row r="93" spans="1:11" x14ac:dyDescent="0.25">
      <c r="A93" s="5" t="s">
        <v>89</v>
      </c>
      <c r="B93" s="31">
        <v>124.22</v>
      </c>
      <c r="C93" s="31">
        <v>124.22</v>
      </c>
      <c r="D93" s="31">
        <v>124.22</v>
      </c>
      <c r="E93" s="31">
        <v>124.32</v>
      </c>
      <c r="F93" s="31">
        <v>124.32</v>
      </c>
      <c r="G93" s="31">
        <v>124.32</v>
      </c>
      <c r="H93" s="31">
        <v>124.32</v>
      </c>
      <c r="I93" s="31">
        <v>124.32</v>
      </c>
      <c r="J93" s="31">
        <v>124.35</v>
      </c>
      <c r="K93" s="31">
        <v>124.35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showGridLines="0" zoomScale="80" zoomScaleNormal="8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F2" sqref="A1:XFD1048576"/>
    </sheetView>
  </sheetViews>
  <sheetFormatPr defaultColWidth="8.85546875" defaultRowHeight="15" x14ac:dyDescent="0.25"/>
  <cols>
    <col min="1" max="1" width="29.140625" style="6" bestFit="1" customWidth="1"/>
    <col min="2" max="5" width="10.85546875" style="6" bestFit="1" customWidth="1"/>
    <col min="6" max="6" width="12" style="6" bestFit="1" customWidth="1"/>
    <col min="7" max="7" width="16.42578125" style="6" bestFit="1" customWidth="1"/>
    <col min="8" max="9" width="10.85546875" style="6" bestFit="1" customWidth="1"/>
    <col min="10" max="12" width="12" style="6" bestFit="1" customWidth="1"/>
    <col min="13" max="13" width="13" style="6" bestFit="1" customWidth="1"/>
    <col min="14" max="14" width="12" style="6" bestFit="1" customWidth="1"/>
    <col min="15" max="16384" width="8.85546875" style="6"/>
  </cols>
  <sheetData>
    <row r="1" spans="1:14" s="8" customFormat="1" x14ac:dyDescent="0.25">
      <c r="A1" s="8" t="str">
        <f>'Data Sheet'!B1</f>
        <v>MAHINDRA &amp; MAHINDRA LTD</v>
      </c>
      <c r="H1" t="str">
        <f>UPDATE</f>
        <v/>
      </c>
      <c r="J1" s="3"/>
      <c r="K1" s="3"/>
      <c r="M1" s="8" t="s">
        <v>1</v>
      </c>
    </row>
    <row r="3" spans="1:14" s="2" customFormat="1" x14ac:dyDescent="0.25">
      <c r="A3" s="15" t="s">
        <v>2</v>
      </c>
      <c r="B3" s="16">
        <f>'Data Sheet'!B16</f>
        <v>42094</v>
      </c>
      <c r="C3" s="16">
        <f>'Data Sheet'!C16</f>
        <v>42460</v>
      </c>
      <c r="D3" s="16">
        <f>'Data Sheet'!D16</f>
        <v>42825</v>
      </c>
      <c r="E3" s="16">
        <f>'Data Sheet'!E16</f>
        <v>43190</v>
      </c>
      <c r="F3" s="16">
        <f>'Data Sheet'!F16</f>
        <v>43555</v>
      </c>
      <c r="G3" s="16">
        <f>'Data Sheet'!G16</f>
        <v>43921</v>
      </c>
      <c r="H3" s="16">
        <f>'Data Sheet'!H16</f>
        <v>44286</v>
      </c>
      <c r="I3" s="16">
        <f>'Data Sheet'!I16</f>
        <v>44651</v>
      </c>
      <c r="J3" s="16">
        <f>'Data Sheet'!J16</f>
        <v>45016</v>
      </c>
      <c r="K3" s="16">
        <f>'Data Sheet'!K16</f>
        <v>45382</v>
      </c>
      <c r="L3" s="17" t="s">
        <v>3</v>
      </c>
      <c r="M3" s="17" t="s">
        <v>4</v>
      </c>
      <c r="N3" s="17" t="s">
        <v>5</v>
      </c>
    </row>
    <row r="4" spans="1:14" s="8" customFormat="1" x14ac:dyDescent="0.25">
      <c r="A4" s="8" t="s">
        <v>6</v>
      </c>
      <c r="B4" s="1">
        <f>'Data Sheet'!B17</f>
        <v>71448</v>
      </c>
      <c r="C4" s="1">
        <f>'Data Sheet'!C17</f>
        <v>75841.42</v>
      </c>
      <c r="D4" s="1">
        <f>'Data Sheet'!D17</f>
        <v>83773.05</v>
      </c>
      <c r="E4" s="1">
        <f>'Data Sheet'!E17</f>
        <v>92093.95</v>
      </c>
      <c r="F4" s="1">
        <f>'Data Sheet'!F17</f>
        <v>104720.68</v>
      </c>
      <c r="G4" s="1">
        <f>'Data Sheet'!G17</f>
        <v>75381.929999999993</v>
      </c>
      <c r="H4" s="1">
        <f>'Data Sheet'!H17</f>
        <v>74277.78</v>
      </c>
      <c r="I4" s="1">
        <f>'Data Sheet'!I17</f>
        <v>90170.57</v>
      </c>
      <c r="J4" s="1">
        <f>'Data Sheet'!J17</f>
        <v>121268.55</v>
      </c>
      <c r="K4" s="1">
        <f>'Data Sheet'!K17</f>
        <v>139078.26999999999</v>
      </c>
      <c r="L4" s="1">
        <f>SUM(Quarters!H4:K4)</f>
        <v>142404.36000000002</v>
      </c>
      <c r="M4" s="1">
        <f>$K4+M23*K4</f>
        <v>171419.17531048277</v>
      </c>
      <c r="N4" s="1">
        <f>$K4+N23*L4</f>
        <v>147393.13474004206</v>
      </c>
    </row>
    <row r="5" spans="1:14" x14ac:dyDescent="0.25">
      <c r="A5" s="6" t="s">
        <v>7</v>
      </c>
      <c r="B5" s="9">
        <f>SUM('Data Sheet'!B18,'Data Sheet'!B20:B24, -1*'Data Sheet'!B19)</f>
        <v>62654.709999999992</v>
      </c>
      <c r="C5" s="9">
        <f>SUM('Data Sheet'!C18,'Data Sheet'!C20:C24, -1*'Data Sheet'!C19)</f>
        <v>65758.98000000001</v>
      </c>
      <c r="D5" s="9">
        <f>SUM('Data Sheet'!D18,'Data Sheet'!D20:D24, -1*'Data Sheet'!D19)</f>
        <v>73038.22</v>
      </c>
      <c r="E5" s="9">
        <f>SUM('Data Sheet'!E18,'Data Sheet'!E20:E24, -1*'Data Sheet'!E19)</f>
        <v>78867.850000000006</v>
      </c>
      <c r="F5" s="9">
        <f>SUM('Data Sheet'!F18,'Data Sheet'!F20:F24, -1*'Data Sheet'!F19)</f>
        <v>89514.17</v>
      </c>
      <c r="G5" s="9">
        <f>SUM('Data Sheet'!G18,'Data Sheet'!G20:G24, -1*'Data Sheet'!G19)</f>
        <v>65224.180000000008</v>
      </c>
      <c r="H5" s="9">
        <f>SUM('Data Sheet'!H18,'Data Sheet'!H20:H24, -1*'Data Sheet'!H19)</f>
        <v>62790.759999999995</v>
      </c>
      <c r="I5" s="9">
        <f>SUM('Data Sheet'!I18,'Data Sheet'!I20:I24, -1*'Data Sheet'!I19)</f>
        <v>75487.719999999987</v>
      </c>
      <c r="J5" s="9">
        <f>SUM('Data Sheet'!J18,'Data Sheet'!J20:J24, -1*'Data Sheet'!J19)</f>
        <v>100983.25999999998</v>
      </c>
      <c r="K5" s="9">
        <f>SUM('Data Sheet'!K18,'Data Sheet'!K20:K24, -1*'Data Sheet'!K19)</f>
        <v>114186.34</v>
      </c>
      <c r="L5" s="9">
        <f>SUM(Quarters!H5:K5)</f>
        <v>116603.76999999999</v>
      </c>
      <c r="M5" s="9">
        <f t="shared" ref="M5:N5" si="0">M4-M6</f>
        <v>140361.72833116353</v>
      </c>
      <c r="N5" s="9">
        <f t="shared" si="0"/>
        <v>125230.18494612406</v>
      </c>
    </row>
    <row r="6" spans="1:14" s="8" customFormat="1" x14ac:dyDescent="0.25">
      <c r="A6" s="8" t="s">
        <v>8</v>
      </c>
      <c r="B6" s="1">
        <f>B4-B5</f>
        <v>8793.2900000000081</v>
      </c>
      <c r="C6" s="1">
        <f t="shared" ref="C6:K6" si="1">C4-C5</f>
        <v>10082.439999999988</v>
      </c>
      <c r="D6" s="1">
        <f t="shared" si="1"/>
        <v>10734.830000000002</v>
      </c>
      <c r="E6" s="1">
        <f t="shared" si="1"/>
        <v>13226.099999999991</v>
      </c>
      <c r="F6" s="1">
        <f t="shared" si="1"/>
        <v>15206.509999999995</v>
      </c>
      <c r="G6" s="1">
        <f t="shared" si="1"/>
        <v>10157.749999999985</v>
      </c>
      <c r="H6" s="1">
        <f t="shared" si="1"/>
        <v>11487.020000000004</v>
      </c>
      <c r="I6" s="1">
        <f t="shared" si="1"/>
        <v>14682.85000000002</v>
      </c>
      <c r="J6" s="1">
        <f t="shared" si="1"/>
        <v>20285.290000000023</v>
      </c>
      <c r="K6" s="1">
        <f t="shared" si="1"/>
        <v>24891.929999999993</v>
      </c>
      <c r="L6" s="1">
        <f>SUM(Quarters!H6:K6)</f>
        <v>25800.59</v>
      </c>
      <c r="M6" s="1">
        <f>M4*M24</f>
        <v>31057.446979319229</v>
      </c>
      <c r="N6" s="1">
        <f>N4*N24</f>
        <v>22162.949793918007</v>
      </c>
    </row>
    <row r="7" spans="1:14" x14ac:dyDescent="0.25">
      <c r="A7" s="6" t="s">
        <v>9</v>
      </c>
      <c r="B7" s="9">
        <f>'Data Sheet'!B25</f>
        <v>799.93</v>
      </c>
      <c r="C7" s="9">
        <f>'Data Sheet'!C25</f>
        <v>1398.83</v>
      </c>
      <c r="D7" s="9">
        <f>'Data Sheet'!D25</f>
        <v>2076.61</v>
      </c>
      <c r="E7" s="9">
        <f>'Data Sheet'!E25</f>
        <v>4366.41</v>
      </c>
      <c r="F7" s="9">
        <f>'Data Sheet'!F25</f>
        <v>2676.45</v>
      </c>
      <c r="G7" s="9">
        <f>'Data Sheet'!G25</f>
        <v>884.69</v>
      </c>
      <c r="H7" s="9">
        <f>'Data Sheet'!H25</f>
        <v>1151.51</v>
      </c>
      <c r="I7" s="9">
        <f>'Data Sheet'!I25</f>
        <v>3204.47</v>
      </c>
      <c r="J7" s="9">
        <f>'Data Sheet'!J25</f>
        <v>3961.45</v>
      </c>
      <c r="K7" s="9">
        <f>'Data Sheet'!K25</f>
        <v>3297.85</v>
      </c>
      <c r="L7" s="9">
        <f>SUM(Quarters!H7:K7)</f>
        <v>3051.29</v>
      </c>
      <c r="M7" s="9">
        <v>0</v>
      </c>
      <c r="N7" s="9">
        <v>0</v>
      </c>
    </row>
    <row r="8" spans="1:14" x14ac:dyDescent="0.25">
      <c r="A8" s="6" t="s">
        <v>10</v>
      </c>
      <c r="B8" s="9">
        <f>'Data Sheet'!B26</f>
        <v>2123.83</v>
      </c>
      <c r="C8" s="9">
        <f>'Data Sheet'!C26</f>
        <v>2441.65</v>
      </c>
      <c r="D8" s="9">
        <f>'Data Sheet'!D26</f>
        <v>2812.72</v>
      </c>
      <c r="E8" s="9">
        <f>'Data Sheet'!E26</f>
        <v>3279.9</v>
      </c>
      <c r="F8" s="9">
        <f>'Data Sheet'!F26</f>
        <v>3990.77</v>
      </c>
      <c r="G8" s="9">
        <f>'Data Sheet'!G26</f>
        <v>3366.68</v>
      </c>
      <c r="H8" s="9">
        <f>'Data Sheet'!H26</f>
        <v>3378.11</v>
      </c>
      <c r="I8" s="9">
        <f>'Data Sheet'!I26</f>
        <v>3507.5</v>
      </c>
      <c r="J8" s="9">
        <f>'Data Sheet'!J26</f>
        <v>4356.8100000000004</v>
      </c>
      <c r="K8" s="9">
        <f>'Data Sheet'!K26</f>
        <v>4723.78</v>
      </c>
      <c r="L8" s="9">
        <f>SUM(Quarters!H8:K8)</f>
        <v>4844.0499999999993</v>
      </c>
      <c r="M8" s="9">
        <f>+$L8</f>
        <v>4844.0499999999993</v>
      </c>
      <c r="N8" s="9">
        <f>+$L8</f>
        <v>4844.0499999999993</v>
      </c>
    </row>
    <row r="9" spans="1:14" x14ac:dyDescent="0.25">
      <c r="A9" s="6" t="s">
        <v>11</v>
      </c>
      <c r="B9" s="9">
        <f>'Data Sheet'!B27</f>
        <v>3156.69</v>
      </c>
      <c r="C9" s="9">
        <f>'Data Sheet'!C27</f>
        <v>3367.59</v>
      </c>
      <c r="D9" s="9">
        <f>'Data Sheet'!D27</f>
        <v>3648.46</v>
      </c>
      <c r="E9" s="9">
        <f>'Data Sheet'!E27</f>
        <v>3987.09</v>
      </c>
      <c r="F9" s="9">
        <f>'Data Sheet'!F27</f>
        <v>5021.3500000000004</v>
      </c>
      <c r="G9" s="9">
        <f>'Data Sheet'!G27</f>
        <v>6021.15</v>
      </c>
      <c r="H9" s="9">
        <f>'Data Sheet'!H27</f>
        <v>6102.22</v>
      </c>
      <c r="I9" s="9">
        <f>'Data Sheet'!I27</f>
        <v>5018.05</v>
      </c>
      <c r="J9" s="9">
        <f>'Data Sheet'!J27</f>
        <v>5829.7</v>
      </c>
      <c r="K9" s="9">
        <f>'Data Sheet'!K27</f>
        <v>7488.21</v>
      </c>
      <c r="L9" s="9">
        <f>SUM(Quarters!H9:K9)</f>
        <v>7877.0599999999995</v>
      </c>
      <c r="M9" s="9">
        <f>+$L9</f>
        <v>7877.0599999999995</v>
      </c>
      <c r="N9" s="9">
        <f>+$L9</f>
        <v>7877.0599999999995</v>
      </c>
    </row>
    <row r="10" spans="1:14" x14ac:dyDescent="0.25">
      <c r="A10" s="6" t="s">
        <v>12</v>
      </c>
      <c r="B10" s="9">
        <f>'Data Sheet'!B28</f>
        <v>4312.7</v>
      </c>
      <c r="C10" s="9">
        <f>'Data Sheet'!C28</f>
        <v>5672.03</v>
      </c>
      <c r="D10" s="9">
        <f>'Data Sheet'!D28</f>
        <v>6350.26</v>
      </c>
      <c r="E10" s="9">
        <f>'Data Sheet'!E28</f>
        <v>10325.52</v>
      </c>
      <c r="F10" s="9">
        <f>'Data Sheet'!F28</f>
        <v>8870.84</v>
      </c>
      <c r="G10" s="9">
        <f>'Data Sheet'!G28</f>
        <v>1654.61</v>
      </c>
      <c r="H10" s="9">
        <f>'Data Sheet'!H28</f>
        <v>3158.2</v>
      </c>
      <c r="I10" s="9">
        <f>'Data Sheet'!I28</f>
        <v>9361.77</v>
      </c>
      <c r="J10" s="9">
        <f>'Data Sheet'!J28</f>
        <v>14060.23</v>
      </c>
      <c r="K10" s="9">
        <f>'Data Sheet'!K28</f>
        <v>15977.79</v>
      </c>
      <c r="L10" s="9">
        <f>SUM(Quarters!H10:K10)</f>
        <v>16130.77</v>
      </c>
      <c r="M10" s="9">
        <f>M6+M7-SUM(M8:M9)</f>
        <v>18336.336979319232</v>
      </c>
      <c r="N10" s="9">
        <f>N6+N7-SUM(N8:N9)</f>
        <v>9441.8397939180086</v>
      </c>
    </row>
    <row r="11" spans="1:14" x14ac:dyDescent="0.25">
      <c r="A11" s="6" t="s">
        <v>13</v>
      </c>
      <c r="B11" s="9">
        <f>'Data Sheet'!B29</f>
        <v>1720.02</v>
      </c>
      <c r="C11" s="9">
        <f>'Data Sheet'!C29</f>
        <v>2117.5300000000002</v>
      </c>
      <c r="D11" s="9">
        <f>'Data Sheet'!D29</f>
        <v>2299.73</v>
      </c>
      <c r="E11" s="9">
        <f>'Data Sheet'!E29</f>
        <v>2367.73</v>
      </c>
      <c r="F11" s="9">
        <f>'Data Sheet'!F29</f>
        <v>2853.99</v>
      </c>
      <c r="G11" s="9">
        <f>'Data Sheet'!G29</f>
        <v>1975.61</v>
      </c>
      <c r="H11" s="9">
        <f>'Data Sheet'!H29</f>
        <v>1645.81</v>
      </c>
      <c r="I11" s="9">
        <f>'Data Sheet'!I29</f>
        <v>2108.7600000000002</v>
      </c>
      <c r="J11" s="9">
        <f>'Data Sheet'!J29</f>
        <v>2685.75</v>
      </c>
      <c r="K11" s="9">
        <f>'Data Sheet'!K29</f>
        <v>3707.97</v>
      </c>
      <c r="L11" s="9">
        <f>SUM(Quarters!H11:K11)</f>
        <v>3999.04</v>
      </c>
      <c r="M11" s="10">
        <f>IF($L10&gt;0,$L11/$L10,0)</f>
        <v>0.24791376977044494</v>
      </c>
      <c r="N11" s="10">
        <f>IF($L10&gt;0,$L11/$L10,0)</f>
        <v>0.24791376977044494</v>
      </c>
    </row>
    <row r="12" spans="1:14" s="8" customFormat="1" x14ac:dyDescent="0.25">
      <c r="A12" s="8" t="s">
        <v>14</v>
      </c>
      <c r="B12" s="1">
        <f>'Data Sheet'!B30</f>
        <v>3137.47</v>
      </c>
      <c r="C12" s="1">
        <f>'Data Sheet'!C30</f>
        <v>3148.43</v>
      </c>
      <c r="D12" s="1">
        <f>'Data Sheet'!D30</f>
        <v>3698.04</v>
      </c>
      <c r="E12" s="1">
        <f>'Data Sheet'!E30</f>
        <v>7510.39</v>
      </c>
      <c r="F12" s="1">
        <f>'Data Sheet'!F30</f>
        <v>5315.46</v>
      </c>
      <c r="G12" s="1">
        <f>'Data Sheet'!G30</f>
        <v>127.04</v>
      </c>
      <c r="H12" s="1">
        <f>'Data Sheet'!H30</f>
        <v>1812.49</v>
      </c>
      <c r="I12" s="1">
        <f>'Data Sheet'!I30</f>
        <v>6577.32</v>
      </c>
      <c r="J12" s="1">
        <f>'Data Sheet'!J30</f>
        <v>10281.5</v>
      </c>
      <c r="K12" s="1">
        <f>'Data Sheet'!K30</f>
        <v>11268.64</v>
      </c>
      <c r="L12" s="1">
        <f>SUM(Quarters!H12:K12)</f>
        <v>11042.86</v>
      </c>
      <c r="M12" s="1">
        <f>M10-M11*M10</f>
        <v>13790.506554994989</v>
      </c>
      <c r="N12" s="1">
        <f>N10-N11*N10</f>
        <v>7101.0776970391944</v>
      </c>
    </row>
    <row r="13" spans="1:14" x14ac:dyDescent="0.25">
      <c r="A13" s="11" t="s">
        <v>57</v>
      </c>
      <c r="B13" s="9">
        <f>IF('Data Sheet'!B93&gt;0,B12/'Data Sheet'!B93,0)</f>
        <v>25.257365963612944</v>
      </c>
      <c r="C13" s="9">
        <f>IF('Data Sheet'!C93&gt;0,C12/'Data Sheet'!C93,0)</f>
        <v>25.345596522299147</v>
      </c>
      <c r="D13" s="9">
        <f>IF('Data Sheet'!D93&gt;0,D12/'Data Sheet'!D93,0)</f>
        <v>29.770085332474643</v>
      </c>
      <c r="E13" s="9">
        <f>IF('Data Sheet'!E93&gt;0,E12/'Data Sheet'!E93,0)</f>
        <v>60.411759974259979</v>
      </c>
      <c r="F13" s="9">
        <f>IF('Data Sheet'!F93&gt;0,F12/'Data Sheet'!F93,0)</f>
        <v>42.756274131274132</v>
      </c>
      <c r="G13" s="9">
        <f>IF('Data Sheet'!G93&gt;0,G12/'Data Sheet'!G93,0)</f>
        <v>1.0218790218790219</v>
      </c>
      <c r="H13" s="9">
        <f>IF('Data Sheet'!H93&gt;0,H12/'Data Sheet'!H93,0)</f>
        <v>14.579231016731018</v>
      </c>
      <c r="I13" s="9">
        <f>IF('Data Sheet'!I93&gt;0,I12/'Data Sheet'!I93,0)</f>
        <v>52.906370656370655</v>
      </c>
      <c r="J13" s="9">
        <f>IF('Data Sheet'!J93&gt;0,J12/'Data Sheet'!J93,0)</f>
        <v>82.681946119823081</v>
      </c>
      <c r="K13" s="9">
        <f>IF('Data Sheet'!K93&gt;0,K12/'Data Sheet'!K93,0)</f>
        <v>90.620345798150382</v>
      </c>
      <c r="L13" s="9">
        <f>IF('Data Sheet'!$B6&gt;0,'Profit &amp; Loss'!L12/'Data Sheet'!$B6,0)</f>
        <v>88.802604499271865</v>
      </c>
      <c r="M13" s="9">
        <f>IF('Data Sheet'!$B6&gt;0,'Profit &amp; Loss'!M12/'Data Sheet'!$B6,0)</f>
        <v>110.89816401256886</v>
      </c>
      <c r="N13" s="9">
        <f>IF('Data Sheet'!$B6&gt;0,'Profit &amp; Loss'!N12/'Data Sheet'!$B6,0)</f>
        <v>57.104246024016589</v>
      </c>
    </row>
    <row r="14" spans="1:14" x14ac:dyDescent="0.25">
      <c r="A14" s="6" t="s">
        <v>16</v>
      </c>
      <c r="B14" s="9">
        <f>IF(B15&gt;0,B15/B13,"")</f>
        <v>23.513932563498614</v>
      </c>
      <c r="C14" s="9">
        <f t="shared" ref="C14:K14" si="2">IF(C15&gt;0,C15/C13,"")</f>
        <v>23.883833212108893</v>
      </c>
      <c r="D14" s="9">
        <f t="shared" si="2"/>
        <v>21.613979026727673</v>
      </c>
      <c r="E14" s="9">
        <f t="shared" si="2"/>
        <v>12.231062301691388</v>
      </c>
      <c r="F14" s="9">
        <f t="shared" si="2"/>
        <v>15.761429490580307</v>
      </c>
      <c r="G14" s="9">
        <f t="shared" si="2"/>
        <v>278.8490554156171</v>
      </c>
      <c r="H14" s="9">
        <f t="shared" si="2"/>
        <v>54.546772671849219</v>
      </c>
      <c r="I14" s="9">
        <f t="shared" si="2"/>
        <v>15.24485595957016</v>
      </c>
      <c r="J14" s="9">
        <f t="shared" si="2"/>
        <v>14.013942031804698</v>
      </c>
      <c r="K14" s="9">
        <f t="shared" si="2"/>
        <v>21.202192323119736</v>
      </c>
      <c r="L14" s="9">
        <f t="shared" ref="L14" si="3">IF(L13&gt;0,L15/L13,0)</f>
        <v>35.850862910514124</v>
      </c>
      <c r="M14" s="9">
        <f>M25</f>
        <v>35.850862910514124</v>
      </c>
      <c r="N14" s="9">
        <f>N25</f>
        <v>21.57796330625218</v>
      </c>
    </row>
    <row r="15" spans="1:14" s="8" customFormat="1" x14ac:dyDescent="0.25">
      <c r="A15" s="8" t="s">
        <v>58</v>
      </c>
      <c r="B15" s="1">
        <f>'Data Sheet'!B90</f>
        <v>593.9</v>
      </c>
      <c r="C15" s="1">
        <f>'Data Sheet'!C90</f>
        <v>605.35</v>
      </c>
      <c r="D15" s="1">
        <f>'Data Sheet'!D90</f>
        <v>643.45000000000005</v>
      </c>
      <c r="E15" s="1">
        <f>'Data Sheet'!E90</f>
        <v>738.9</v>
      </c>
      <c r="F15" s="1">
        <f>'Data Sheet'!F90</f>
        <v>673.9</v>
      </c>
      <c r="G15" s="1">
        <f>'Data Sheet'!G90</f>
        <v>284.95</v>
      </c>
      <c r="H15" s="1">
        <f>'Data Sheet'!H90</f>
        <v>795.25</v>
      </c>
      <c r="I15" s="1">
        <f>'Data Sheet'!I90</f>
        <v>806.55</v>
      </c>
      <c r="J15" s="1">
        <f>'Data Sheet'!J90</f>
        <v>1158.7</v>
      </c>
      <c r="K15" s="1">
        <f>'Data Sheet'!K90</f>
        <v>1921.35</v>
      </c>
      <c r="L15" s="1">
        <f>'Data Sheet'!B8</f>
        <v>3183.65</v>
      </c>
      <c r="M15" s="12">
        <f>M13*M14</f>
        <v>3975.794875042317</v>
      </c>
      <c r="N15" s="13">
        <f>N13*N14</f>
        <v>1232.1933253374268</v>
      </c>
    </row>
    <row r="17" spans="1:14" s="8" customFormat="1" x14ac:dyDescent="0.25">
      <c r="A17" s="8" t="s">
        <v>15</v>
      </c>
    </row>
    <row r="18" spans="1:14" x14ac:dyDescent="0.25">
      <c r="A18" s="6" t="s">
        <v>17</v>
      </c>
      <c r="B18" s="7">
        <f>IF('Data Sheet'!B30&gt;0, 'Data Sheet'!B31/'Data Sheet'!B30, 0)</f>
        <v>0.22619499150589487</v>
      </c>
      <c r="C18" s="7">
        <f>IF('Data Sheet'!C30&gt;0, 'Data Sheet'!C31/'Data Sheet'!C30, 0)</f>
        <v>0.20612178133228309</v>
      </c>
      <c r="D18" s="7">
        <f>IF('Data Sheet'!D30&gt;0, 'Data Sheet'!D31/'Data Sheet'!D30, 0)</f>
        <v>0.2183399855058355</v>
      </c>
      <c r="E18" s="7">
        <f>IF('Data Sheet'!E30&gt;0, 'Data Sheet'!E31/'Data Sheet'!E30, 0)</f>
        <v>0.10847639070674094</v>
      </c>
      <c r="F18" s="7">
        <f>IF('Data Sheet'!F30&gt;0, 'Data Sheet'!F31/'Data Sheet'!F30, 0)</f>
        <v>0.17396989159922188</v>
      </c>
      <c r="G18" s="7">
        <f>IF('Data Sheet'!G30&gt;0, 'Data Sheet'!G31/'Data Sheet'!G30, 0)</f>
        <v>2.0506139798488663</v>
      </c>
      <c r="H18" s="7">
        <f>IF('Data Sheet'!H30&gt;0, 'Data Sheet'!H31/'Data Sheet'!H30, 0)</f>
        <v>0.53600847452951461</v>
      </c>
      <c r="I18" s="7">
        <f>IF('Data Sheet'!I30&gt;0, 'Data Sheet'!I31/'Data Sheet'!I30, 0)</f>
        <v>0.1952923075051845</v>
      </c>
      <c r="J18" s="7">
        <f>IF('Data Sheet'!J30&gt;0, 'Data Sheet'!J31/'Data Sheet'!J30, 0)</f>
        <v>0.17601128240042796</v>
      </c>
      <c r="K18" s="7">
        <f>IF('Data Sheet'!K30&gt;0, 'Data Sheet'!K31/'Data Sheet'!K30, 0)</f>
        <v>0.2087332632864303</v>
      </c>
    </row>
    <row r="19" spans="1:14" x14ac:dyDescent="0.25">
      <c r="A19" s="6" t="s">
        <v>18</v>
      </c>
      <c r="B19" s="7">
        <f t="shared" ref="B19:L19" si="4">IF(B6&gt;0,B6/B4,0)</f>
        <v>0.12307258425708219</v>
      </c>
      <c r="C19" s="7">
        <f t="shared" ref="C19:K19" si="5">IF(C6&gt;0,C6/C4,0)</f>
        <v>0.1329410762614939</v>
      </c>
      <c r="D19" s="7">
        <f t="shared" si="5"/>
        <v>0.12814180694149255</v>
      </c>
      <c r="E19" s="7">
        <f t="shared" si="5"/>
        <v>0.143615297204648</v>
      </c>
      <c r="F19" s="7">
        <f t="shared" si="5"/>
        <v>0.14521019153045986</v>
      </c>
      <c r="G19" s="7">
        <f t="shared" si="5"/>
        <v>0.13475046340681363</v>
      </c>
      <c r="H19" s="7">
        <f t="shared" si="5"/>
        <v>0.15464947929246142</v>
      </c>
      <c r="I19" s="7">
        <f t="shared" si="5"/>
        <v>0.16283417083866741</v>
      </c>
      <c r="J19" s="7">
        <f t="shared" si="5"/>
        <v>0.16727576935652336</v>
      </c>
      <c r="K19" s="7">
        <f t="shared" si="5"/>
        <v>0.17897785182401243</v>
      </c>
      <c r="L19" s="7">
        <f t="shared" si="4"/>
        <v>0.18117837122402711</v>
      </c>
    </row>
    <row r="20" spans="1:14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5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5">
      <c r="A23" s="6"/>
      <c r="B23" s="6"/>
      <c r="C23" s="6"/>
      <c r="D23" s="6"/>
      <c r="E23" s="6"/>
      <c r="F23" s="6"/>
      <c r="G23" s="6" t="s">
        <v>22</v>
      </c>
      <c r="H23" s="7">
        <f>IF(B4=0,"",POWER($K4/B4,1/9)-1)</f>
        <v>7.6814816465736957E-2</v>
      </c>
      <c r="I23" s="7">
        <f>IF(D4=0,"",POWER($K4/D4,1/7)-1)</f>
        <v>7.5104568861602994E-2</v>
      </c>
      <c r="J23" s="7">
        <f>IF(F4=0,"",POWER($K4/F4,1/5)-1)</f>
        <v>5.8389116316677869E-2</v>
      </c>
      <c r="K23" s="7">
        <f>IF(H4=0,"",POWER($K4/H4, 1/3)-1)</f>
        <v>0.23253744320002534</v>
      </c>
      <c r="L23" s="7">
        <f>IF(ISERROR(MAX(IF(J4=0,"",(K4-J4)/J4),IF(K4=0,"",(L4-K4)/K4))),"",MAX(IF(J4=0,"",(K4-J4)/J4),IF(K4=0,"",(L4-K4)/K4)))</f>
        <v>0.14686182031532485</v>
      </c>
      <c r="M23" s="22">
        <f>MAX(K23:L23)</f>
        <v>0.23253744320002534</v>
      </c>
      <c r="N23" s="22">
        <f>MIN(H23:L23)</f>
        <v>5.8389116316677869E-2</v>
      </c>
    </row>
    <row r="24" spans="1:14" x14ac:dyDescent="0.25">
      <c r="G24" s="6" t="s">
        <v>18</v>
      </c>
      <c r="H24" s="7">
        <f>IF(SUM(B4:$K$4)=0,"",SUMPRODUCT(B19:$K$19,B4:$K$4)/SUM(B4:$K$4))</f>
        <v>0.1503662286103549</v>
      </c>
      <c r="I24" s="7">
        <f>IF(SUM(E4:$K$4)=0,"",SUMPRODUCT(E19:$K$19,E4:$K$4)/SUM(E4:$K$4))</f>
        <v>0.15773135500474306</v>
      </c>
      <c r="J24" s="7">
        <f>IF(SUM(G4:$K$4)=0,"",SUMPRODUCT(G19:$K$19,G4:$K$4)/SUM(G4:$K$4))</f>
        <v>0.16295196241491269</v>
      </c>
      <c r="K24" s="7">
        <f>IF(SUM(I4:$K$4)=0, "", SUMPRODUCT(I19:$K$19,I4:$K$4)/SUM(I4:$K$4))</f>
        <v>0.17077632011353283</v>
      </c>
      <c r="L24" s="7">
        <f>L19</f>
        <v>0.18117837122402711</v>
      </c>
      <c r="M24" s="22">
        <f>MAX(K24:L24)</f>
        <v>0.18117837122402711</v>
      </c>
      <c r="N24" s="22">
        <f>MIN(H24:L24)</f>
        <v>0.1503662286103549</v>
      </c>
    </row>
    <row r="25" spans="1:14" x14ac:dyDescent="0.25">
      <c r="G25" s="6" t="s">
        <v>23</v>
      </c>
      <c r="H25" s="9">
        <f>IF(ISERROR(AVERAGEIF(B14:$L14,"&gt;0")),"",AVERAGEIF(B14:$L14,"&gt;0"))</f>
        <v>46.973810718825625</v>
      </c>
      <c r="I25" s="9">
        <f>IF(ISERROR(AVERAGEIF(E14:$L14,"&gt;0")),"",AVERAGEIF(E14:$L14,"&gt;0"))</f>
        <v>55.962521638093335</v>
      </c>
      <c r="J25" s="9">
        <f>IF(ISERROR(AVERAGEIF(G14:$L14,"&gt;0")),"",AVERAGEIF(G14:$L14,"&gt;0"))</f>
        <v>69.951280218745836</v>
      </c>
      <c r="K25" s="9">
        <f>IF(ISERROR(AVERAGEIF(I14:$L14,"&gt;0")),"",AVERAGEIF(I14:$L14,"&gt;0"))</f>
        <v>21.57796330625218</v>
      </c>
      <c r="L25" s="9">
        <f>L14</f>
        <v>35.850862910514124</v>
      </c>
      <c r="M25" s="1">
        <f>MAX(K25:L25)</f>
        <v>35.850862910514124</v>
      </c>
      <c r="N25" s="1">
        <f>MIN(H25:L25)</f>
        <v>21.57796330625218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showGridLines="0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" sqref="A1:XFD1048576"/>
    </sheetView>
  </sheetViews>
  <sheetFormatPr defaultColWidth="8.85546875" defaultRowHeight="15" x14ac:dyDescent="0.25"/>
  <cols>
    <col min="1" max="1" width="29.140625" style="6" bestFit="1" customWidth="1"/>
    <col min="2" max="9" width="10.85546875" style="6" bestFit="1" customWidth="1"/>
    <col min="10" max="10" width="13" style="6" bestFit="1" customWidth="1"/>
    <col min="11" max="11" width="10.85546875" style="6" bestFit="1" customWidth="1"/>
    <col min="12" max="16384" width="8.85546875" style="6"/>
  </cols>
  <sheetData>
    <row r="1" spans="1:11" s="8" customFormat="1" x14ac:dyDescent="0.25">
      <c r="A1" s="8" t="str">
        <f>'Profit &amp; Loss'!A1</f>
        <v>MAHINDRA &amp; MAHINDRA LTD</v>
      </c>
      <c r="E1" t="str">
        <f>UPDATE</f>
        <v/>
      </c>
      <c r="J1" s="4" t="s">
        <v>1</v>
      </c>
      <c r="K1" s="4"/>
    </row>
    <row r="3" spans="1:11" s="2" customFormat="1" x14ac:dyDescent="0.25">
      <c r="A3" s="15" t="s">
        <v>2</v>
      </c>
      <c r="B3" s="16">
        <f>'Data Sheet'!B41</f>
        <v>44651</v>
      </c>
      <c r="C3" s="16">
        <f>'Data Sheet'!C41</f>
        <v>44742</v>
      </c>
      <c r="D3" s="16">
        <f>'Data Sheet'!D41</f>
        <v>44834</v>
      </c>
      <c r="E3" s="16">
        <f>'Data Sheet'!E41</f>
        <v>44926</v>
      </c>
      <c r="F3" s="16">
        <f>'Data Sheet'!F41</f>
        <v>45016</v>
      </c>
      <c r="G3" s="16">
        <f>'Data Sheet'!G41</f>
        <v>45107</v>
      </c>
      <c r="H3" s="16">
        <f>'Data Sheet'!H41</f>
        <v>45199</v>
      </c>
      <c r="I3" s="16">
        <f>'Data Sheet'!I41</f>
        <v>45291</v>
      </c>
      <c r="J3" s="16">
        <f>'Data Sheet'!J41</f>
        <v>45382</v>
      </c>
      <c r="K3" s="16">
        <f>'Data Sheet'!K41</f>
        <v>45473</v>
      </c>
    </row>
    <row r="4" spans="1:11" s="8" customFormat="1" x14ac:dyDescent="0.25">
      <c r="A4" s="8" t="s">
        <v>6</v>
      </c>
      <c r="B4" s="1">
        <f>'Data Sheet'!B42</f>
        <v>25934.400000000001</v>
      </c>
      <c r="C4" s="1">
        <f>'Data Sheet'!C42</f>
        <v>28414.27</v>
      </c>
      <c r="D4" s="1">
        <f>'Data Sheet'!D42</f>
        <v>29870.38</v>
      </c>
      <c r="E4" s="1">
        <f>'Data Sheet'!E42</f>
        <v>30621.279999999999</v>
      </c>
      <c r="F4" s="1">
        <f>'Data Sheet'!F42</f>
        <v>32455.65</v>
      </c>
      <c r="G4" s="1">
        <f>'Data Sheet'!G42</f>
        <v>33891.629999999997</v>
      </c>
      <c r="H4" s="1">
        <f>'Data Sheet'!H42</f>
        <v>34435.519999999997</v>
      </c>
      <c r="I4" s="1">
        <f>'Data Sheet'!I42</f>
        <v>35299.39</v>
      </c>
      <c r="J4" s="1">
        <f>'Data Sheet'!J42</f>
        <v>35451.730000000003</v>
      </c>
      <c r="K4" s="1">
        <f>'Data Sheet'!K42</f>
        <v>37217.72</v>
      </c>
    </row>
    <row r="5" spans="1:11" x14ac:dyDescent="0.25">
      <c r="A5" s="6" t="s">
        <v>7</v>
      </c>
      <c r="B5" s="9">
        <f>'Data Sheet'!B43</f>
        <v>21656.71</v>
      </c>
      <c r="C5" s="9">
        <f>'Data Sheet'!C43</f>
        <v>24015.65</v>
      </c>
      <c r="D5" s="9">
        <f>'Data Sheet'!D43</f>
        <v>24802.13</v>
      </c>
      <c r="E5" s="9">
        <f>'Data Sheet'!E43</f>
        <v>25367.56</v>
      </c>
      <c r="F5" s="9">
        <f>'Data Sheet'!F43</f>
        <v>26797.919999999998</v>
      </c>
      <c r="G5" s="9">
        <f>'Data Sheet'!G43</f>
        <v>27642.400000000001</v>
      </c>
      <c r="H5" s="9">
        <f>'Data Sheet'!H43</f>
        <v>28705.94</v>
      </c>
      <c r="I5" s="9">
        <f>'Data Sheet'!I43</f>
        <v>29075.41</v>
      </c>
      <c r="J5" s="9">
        <f>'Data Sheet'!J43</f>
        <v>28847.82</v>
      </c>
      <c r="K5" s="9">
        <f>'Data Sheet'!K43</f>
        <v>29974.6</v>
      </c>
    </row>
    <row r="6" spans="1:11" s="8" customFormat="1" x14ac:dyDescent="0.25">
      <c r="A6" s="8" t="s">
        <v>8</v>
      </c>
      <c r="B6" s="1">
        <f>'Data Sheet'!B50</f>
        <v>4277.6899999999996</v>
      </c>
      <c r="C6" s="1">
        <f>'Data Sheet'!C50</f>
        <v>4398.62</v>
      </c>
      <c r="D6" s="1">
        <f>'Data Sheet'!D50</f>
        <v>5068.25</v>
      </c>
      <c r="E6" s="1">
        <f>'Data Sheet'!E50</f>
        <v>5253.72</v>
      </c>
      <c r="F6" s="1">
        <f>'Data Sheet'!F50</f>
        <v>5657.73</v>
      </c>
      <c r="G6" s="1">
        <f>'Data Sheet'!G50</f>
        <v>6249.23</v>
      </c>
      <c r="H6" s="1">
        <f>'Data Sheet'!H50</f>
        <v>5729.58</v>
      </c>
      <c r="I6" s="1">
        <f>'Data Sheet'!I50</f>
        <v>6223.98</v>
      </c>
      <c r="J6" s="1">
        <f>'Data Sheet'!J50</f>
        <v>6603.91</v>
      </c>
      <c r="K6" s="1">
        <f>'Data Sheet'!K50</f>
        <v>7243.12</v>
      </c>
    </row>
    <row r="7" spans="1:11" x14ac:dyDescent="0.25">
      <c r="A7" s="6" t="s">
        <v>9</v>
      </c>
      <c r="B7" s="9">
        <f>'Data Sheet'!B44</f>
        <v>1135.18</v>
      </c>
      <c r="C7" s="9">
        <f>'Data Sheet'!C44</f>
        <v>674.7</v>
      </c>
      <c r="D7" s="9">
        <f>'Data Sheet'!D44</f>
        <v>1348.27</v>
      </c>
      <c r="E7" s="9">
        <f>'Data Sheet'!E44</f>
        <v>1183.71</v>
      </c>
      <c r="F7" s="9">
        <f>'Data Sheet'!F44</f>
        <v>661.74</v>
      </c>
      <c r="G7" s="9">
        <f>'Data Sheet'!G44</f>
        <v>1065</v>
      </c>
      <c r="H7" s="9">
        <f>'Data Sheet'!H44</f>
        <v>811.95</v>
      </c>
      <c r="I7" s="9">
        <f>'Data Sheet'!I44</f>
        <v>755.69</v>
      </c>
      <c r="J7" s="9">
        <f>'Data Sheet'!J44</f>
        <v>750.44</v>
      </c>
      <c r="K7" s="9">
        <f>'Data Sheet'!K44</f>
        <v>733.21</v>
      </c>
    </row>
    <row r="8" spans="1:11" x14ac:dyDescent="0.25">
      <c r="A8" s="6" t="s">
        <v>10</v>
      </c>
      <c r="B8" s="9">
        <f>'Data Sheet'!B45</f>
        <v>935.1</v>
      </c>
      <c r="C8" s="9">
        <f>'Data Sheet'!C45</f>
        <v>960.48</v>
      </c>
      <c r="D8" s="9">
        <f>'Data Sheet'!D45</f>
        <v>1091.77</v>
      </c>
      <c r="E8" s="9">
        <f>'Data Sheet'!E45</f>
        <v>1110.1600000000001</v>
      </c>
      <c r="F8" s="9">
        <f>'Data Sheet'!F45</f>
        <v>1194.4000000000001</v>
      </c>
      <c r="G8" s="9">
        <f>'Data Sheet'!G45</f>
        <v>1127.5</v>
      </c>
      <c r="H8" s="9">
        <f>'Data Sheet'!H45</f>
        <v>1138.6400000000001</v>
      </c>
      <c r="I8" s="9">
        <f>'Data Sheet'!I45</f>
        <v>1122.5899999999999</v>
      </c>
      <c r="J8" s="9">
        <f>'Data Sheet'!J45</f>
        <v>1335.05</v>
      </c>
      <c r="K8" s="9">
        <f>'Data Sheet'!K45</f>
        <v>1247.77</v>
      </c>
    </row>
    <row r="9" spans="1:11" x14ac:dyDescent="0.25">
      <c r="A9" s="6" t="s">
        <v>11</v>
      </c>
      <c r="B9" s="9">
        <f>'Data Sheet'!B46</f>
        <v>1222.1199999999999</v>
      </c>
      <c r="C9" s="9">
        <f>'Data Sheet'!C46</f>
        <v>1218.8800000000001</v>
      </c>
      <c r="D9" s="9">
        <f>'Data Sheet'!D46</f>
        <v>1381.7</v>
      </c>
      <c r="E9" s="9">
        <f>'Data Sheet'!E46</f>
        <v>1595.56</v>
      </c>
      <c r="F9" s="9">
        <f>'Data Sheet'!F46</f>
        <v>1633.56</v>
      </c>
      <c r="G9" s="9">
        <f>'Data Sheet'!G46</f>
        <v>1718.84</v>
      </c>
      <c r="H9" s="9">
        <f>'Data Sheet'!H46</f>
        <v>1835.19</v>
      </c>
      <c r="I9" s="9">
        <f>'Data Sheet'!I46</f>
        <v>1944.88</v>
      </c>
      <c r="J9" s="9">
        <f>'Data Sheet'!J46</f>
        <v>1989.3</v>
      </c>
      <c r="K9" s="9">
        <f>'Data Sheet'!K46</f>
        <v>2107.69</v>
      </c>
    </row>
    <row r="10" spans="1:11" x14ac:dyDescent="0.25">
      <c r="A10" s="6" t="s">
        <v>12</v>
      </c>
      <c r="B10" s="9">
        <f>'Data Sheet'!B47</f>
        <v>3255.65</v>
      </c>
      <c r="C10" s="9">
        <f>'Data Sheet'!C47</f>
        <v>2893.96</v>
      </c>
      <c r="D10" s="9">
        <f>'Data Sheet'!D47</f>
        <v>3943.05</v>
      </c>
      <c r="E10" s="9">
        <f>'Data Sheet'!E47</f>
        <v>3731.71</v>
      </c>
      <c r="F10" s="9">
        <f>'Data Sheet'!F47</f>
        <v>3491.51</v>
      </c>
      <c r="G10" s="9">
        <f>'Data Sheet'!G47</f>
        <v>4467.8900000000003</v>
      </c>
      <c r="H10" s="9">
        <f>'Data Sheet'!H47</f>
        <v>3567.7</v>
      </c>
      <c r="I10" s="9">
        <f>'Data Sheet'!I47</f>
        <v>3912.2</v>
      </c>
      <c r="J10" s="9">
        <f>'Data Sheet'!J47</f>
        <v>4030</v>
      </c>
      <c r="K10" s="9">
        <f>'Data Sheet'!K47</f>
        <v>4620.87</v>
      </c>
    </row>
    <row r="11" spans="1:11" x14ac:dyDescent="0.25">
      <c r="A11" s="6" t="s">
        <v>13</v>
      </c>
      <c r="B11" s="9">
        <f>'Data Sheet'!B48</f>
        <v>647.52</v>
      </c>
      <c r="C11" s="9">
        <f>'Data Sheet'!C48</f>
        <v>533.26</v>
      </c>
      <c r="D11" s="9">
        <f>'Data Sheet'!D48</f>
        <v>921.67</v>
      </c>
      <c r="E11" s="9">
        <f>'Data Sheet'!E48</f>
        <v>737.68</v>
      </c>
      <c r="F11" s="9">
        <f>'Data Sheet'!F48</f>
        <v>493.14</v>
      </c>
      <c r="G11" s="9">
        <f>'Data Sheet'!G48</f>
        <v>784.02</v>
      </c>
      <c r="H11" s="9">
        <f>'Data Sheet'!H48</f>
        <v>1083.73</v>
      </c>
      <c r="I11" s="9">
        <f>'Data Sheet'!I48</f>
        <v>935.16</v>
      </c>
      <c r="J11" s="9">
        <f>'Data Sheet'!J48</f>
        <v>905.06</v>
      </c>
      <c r="K11" s="9">
        <f>'Data Sheet'!K48</f>
        <v>1075.0899999999999</v>
      </c>
    </row>
    <row r="12" spans="1:11" s="8" customFormat="1" x14ac:dyDescent="0.25">
      <c r="A12" s="8" t="s">
        <v>14</v>
      </c>
      <c r="B12" s="1">
        <f>'Data Sheet'!B49</f>
        <v>2237.36</v>
      </c>
      <c r="C12" s="1">
        <f>'Data Sheet'!C49</f>
        <v>2195.54</v>
      </c>
      <c r="D12" s="1">
        <f>'Data Sheet'!D49</f>
        <v>2772.73</v>
      </c>
      <c r="E12" s="1">
        <f>'Data Sheet'!E49</f>
        <v>2676.56</v>
      </c>
      <c r="F12" s="1">
        <f>'Data Sheet'!F49</f>
        <v>2636.67</v>
      </c>
      <c r="G12" s="1">
        <f>'Data Sheet'!G49</f>
        <v>3508.41</v>
      </c>
      <c r="H12" s="1">
        <f>'Data Sheet'!H49</f>
        <v>2347.75</v>
      </c>
      <c r="I12" s="1">
        <f>'Data Sheet'!I49</f>
        <v>2658.4</v>
      </c>
      <c r="J12" s="1">
        <f>'Data Sheet'!J49</f>
        <v>2754.08</v>
      </c>
      <c r="K12" s="1">
        <f>'Data Sheet'!K49</f>
        <v>3282.63</v>
      </c>
    </row>
    <row r="14" spans="1:11" s="8" customFormat="1" x14ac:dyDescent="0.25">
      <c r="A14" s="2" t="s">
        <v>18</v>
      </c>
      <c r="B14" s="14">
        <f>IF(B4&gt;0,B6/B4,"")</f>
        <v>0.16494270158553886</v>
      </c>
      <c r="C14" s="14">
        <f t="shared" ref="C14:K14" si="0">IF(C4&gt;0,C6/C4,"")</f>
        <v>0.15480320275692461</v>
      </c>
      <c r="D14" s="14">
        <f t="shared" si="0"/>
        <v>0.16967477481036397</v>
      </c>
      <c r="E14" s="14">
        <f t="shared" si="0"/>
        <v>0.17157088142624999</v>
      </c>
      <c r="F14" s="14">
        <f t="shared" si="0"/>
        <v>0.17432188232249238</v>
      </c>
      <c r="G14" s="14">
        <f t="shared" si="0"/>
        <v>0.18438859387996387</v>
      </c>
      <c r="H14" s="14">
        <f t="shared" si="0"/>
        <v>0.16638575517372761</v>
      </c>
      <c r="I14" s="14">
        <f t="shared" si="0"/>
        <v>0.17631976076640418</v>
      </c>
      <c r="J14" s="14">
        <f t="shared" si="0"/>
        <v>0.18627892066198179</v>
      </c>
      <c r="K14" s="14">
        <f t="shared" si="0"/>
        <v>0.19461482326160764</v>
      </c>
    </row>
    <row r="22" s="30" customFormat="1" x14ac:dyDescent="0.2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showGridLines="0" zoomScale="80" zoomScaleNormal="80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F2" sqref="A1:XFD1048576"/>
    </sheetView>
  </sheetViews>
  <sheetFormatPr defaultColWidth="8.85546875" defaultRowHeight="15" x14ac:dyDescent="0.25"/>
  <cols>
    <col min="1" max="1" width="29.140625" style="11" bestFit="1" customWidth="1"/>
    <col min="2" max="3" width="10.85546875" style="11" bestFit="1" customWidth="1"/>
    <col min="4" max="9" width="12" style="11" bestFit="1" customWidth="1"/>
    <col min="10" max="10" width="13" style="11" bestFit="1" customWidth="1"/>
    <col min="11" max="11" width="12" style="11" bestFit="1" customWidth="1"/>
    <col min="12" max="16384" width="8.85546875" style="11"/>
  </cols>
  <sheetData>
    <row r="1" spans="1:11" s="8" customFormat="1" x14ac:dyDescent="0.25">
      <c r="A1" s="8" t="str">
        <f>'Profit &amp; Loss'!A1</f>
        <v>MAHINDRA &amp; MAHINDRA LTD</v>
      </c>
      <c r="E1" t="str">
        <f>UPDATE</f>
        <v/>
      </c>
      <c r="G1"/>
      <c r="J1" s="4" t="s">
        <v>1</v>
      </c>
      <c r="K1" s="4"/>
    </row>
    <row r="2" spans="1:11" x14ac:dyDescent="0.25">
      <c r="G2" s="8"/>
      <c r="H2" s="8"/>
    </row>
    <row r="3" spans="1:11" s="18" customFormat="1" x14ac:dyDescent="0.25">
      <c r="A3" s="15" t="s">
        <v>2</v>
      </c>
      <c r="B3" s="16">
        <f>'Data Sheet'!B56</f>
        <v>42094</v>
      </c>
      <c r="C3" s="16">
        <f>'Data Sheet'!C56</f>
        <v>42460</v>
      </c>
      <c r="D3" s="16">
        <f>'Data Sheet'!D56</f>
        <v>42825</v>
      </c>
      <c r="E3" s="16">
        <f>'Data Sheet'!E56</f>
        <v>43190</v>
      </c>
      <c r="F3" s="16">
        <f>'Data Sheet'!F56</f>
        <v>43555</v>
      </c>
      <c r="G3" s="16">
        <f>'Data Sheet'!G56</f>
        <v>43921</v>
      </c>
      <c r="H3" s="16">
        <f>'Data Sheet'!H56</f>
        <v>44286</v>
      </c>
      <c r="I3" s="16">
        <f>'Data Sheet'!I56</f>
        <v>44651</v>
      </c>
      <c r="J3" s="16">
        <f>'Data Sheet'!J56</f>
        <v>45016</v>
      </c>
      <c r="K3" s="16">
        <f>'Data Sheet'!K56</f>
        <v>45382</v>
      </c>
    </row>
    <row r="4" spans="1:11" x14ac:dyDescent="0.25">
      <c r="A4" s="6" t="s">
        <v>24</v>
      </c>
      <c r="B4" s="19">
        <f>'Data Sheet'!B57</f>
        <v>295.7</v>
      </c>
      <c r="C4" s="19">
        <f>'Data Sheet'!C57</f>
        <v>270.39999999999998</v>
      </c>
      <c r="D4" s="19">
        <f>'Data Sheet'!D57</f>
        <v>310.55</v>
      </c>
      <c r="E4" s="19">
        <f>'Data Sheet'!E57</f>
        <v>543.13</v>
      </c>
      <c r="F4" s="19">
        <f>'Data Sheet'!F57</f>
        <v>543.96</v>
      </c>
      <c r="G4" s="19">
        <f>'Data Sheet'!G57</f>
        <v>554.28</v>
      </c>
      <c r="H4" s="19">
        <f>'Data Sheet'!H57</f>
        <v>555.15</v>
      </c>
      <c r="I4" s="19">
        <f>'Data Sheet'!I57</f>
        <v>556.05999999999995</v>
      </c>
      <c r="J4" s="19">
        <f>'Data Sheet'!J57</f>
        <v>556.82000000000005</v>
      </c>
      <c r="K4" s="19">
        <f>'Data Sheet'!K57</f>
        <v>557.38</v>
      </c>
    </row>
    <row r="5" spans="1:11" s="6" customFormat="1" x14ac:dyDescent="0.25">
      <c r="A5" s="6" t="s">
        <v>25</v>
      </c>
      <c r="B5" s="19">
        <f>'Data Sheet'!B58</f>
        <v>25560.68</v>
      </c>
      <c r="C5" s="19">
        <f>'Data Sheet'!C58</f>
        <v>26222.25</v>
      </c>
      <c r="D5" s="19">
        <f>'Data Sheet'!D58</f>
        <v>29467.1</v>
      </c>
      <c r="E5" s="19">
        <f>'Data Sheet'!E58</f>
        <v>36232.06</v>
      </c>
      <c r="F5" s="19">
        <f>'Data Sheet'!F58</f>
        <v>39439.449999999997</v>
      </c>
      <c r="G5" s="19">
        <f>'Data Sheet'!G58</f>
        <v>39415.03</v>
      </c>
      <c r="H5" s="19">
        <f>'Data Sheet'!H58</f>
        <v>41026.769999999997</v>
      </c>
      <c r="I5" s="19">
        <f>'Data Sheet'!I58</f>
        <v>46566.58</v>
      </c>
      <c r="J5" s="19">
        <f>'Data Sheet'!J58</f>
        <v>55808.97</v>
      </c>
      <c r="K5" s="19">
        <f>'Data Sheet'!K58</f>
        <v>65633.17</v>
      </c>
    </row>
    <row r="6" spans="1:11" x14ac:dyDescent="0.25">
      <c r="A6" s="11" t="s">
        <v>71</v>
      </c>
      <c r="B6" s="19">
        <f>'Data Sheet'!B59</f>
        <v>37911.46</v>
      </c>
      <c r="C6" s="19">
        <f>'Data Sheet'!C59</f>
        <v>41552.93</v>
      </c>
      <c r="D6" s="19">
        <f>'Data Sheet'!D59</f>
        <v>48761.91</v>
      </c>
      <c r="E6" s="19">
        <f>'Data Sheet'!E59</f>
        <v>55897.919999999998</v>
      </c>
      <c r="F6" s="19">
        <f>'Data Sheet'!F59</f>
        <v>70848.3</v>
      </c>
      <c r="G6" s="19">
        <f>'Data Sheet'!G59</f>
        <v>82092.28</v>
      </c>
      <c r="H6" s="19">
        <f>'Data Sheet'!H59</f>
        <v>80624.83</v>
      </c>
      <c r="I6" s="19">
        <f>'Data Sheet'!I59</f>
        <v>77605.210000000006</v>
      </c>
      <c r="J6" s="19">
        <f>'Data Sheet'!J59</f>
        <v>92246.85</v>
      </c>
      <c r="K6" s="19">
        <f>'Data Sheet'!K59</f>
        <v>108647.25</v>
      </c>
    </row>
    <row r="7" spans="1:11" s="6" customFormat="1" x14ac:dyDescent="0.25">
      <c r="A7" s="11" t="s">
        <v>72</v>
      </c>
      <c r="B7" s="19">
        <f>'Data Sheet'!B60</f>
        <v>30608.37</v>
      </c>
      <c r="C7" s="19">
        <f>'Data Sheet'!C60</f>
        <v>31806.240000000002</v>
      </c>
      <c r="D7" s="19">
        <f>'Data Sheet'!D60</f>
        <v>35295.919999999998</v>
      </c>
      <c r="E7" s="19">
        <f>'Data Sheet'!E60</f>
        <v>43696.2</v>
      </c>
      <c r="F7" s="19">
        <f>'Data Sheet'!F60</f>
        <v>51056.95</v>
      </c>
      <c r="G7" s="19">
        <f>'Data Sheet'!G60</f>
        <v>43654.54</v>
      </c>
      <c r="H7" s="19">
        <f>'Data Sheet'!H60</f>
        <v>42761.58</v>
      </c>
      <c r="I7" s="19">
        <f>'Data Sheet'!I60</f>
        <v>47660.639999999999</v>
      </c>
      <c r="J7" s="19">
        <f>'Data Sheet'!J60</f>
        <v>55670.49</v>
      </c>
      <c r="K7" s="19">
        <f>'Data Sheet'!K60</f>
        <v>59883.94</v>
      </c>
    </row>
    <row r="8" spans="1:11" s="8" customFormat="1" x14ac:dyDescent="0.25">
      <c r="A8" s="8" t="s">
        <v>26</v>
      </c>
      <c r="B8" s="20">
        <f>'Data Sheet'!B61</f>
        <v>94376.21</v>
      </c>
      <c r="C8" s="20">
        <f>'Data Sheet'!C61</f>
        <v>99851.82</v>
      </c>
      <c r="D8" s="20">
        <f>'Data Sheet'!D61</f>
        <v>113835.48</v>
      </c>
      <c r="E8" s="20">
        <f>'Data Sheet'!E61</f>
        <v>136369.31</v>
      </c>
      <c r="F8" s="20">
        <f>'Data Sheet'!F61</f>
        <v>161888.66</v>
      </c>
      <c r="G8" s="20">
        <f>'Data Sheet'!G61</f>
        <v>165716.13</v>
      </c>
      <c r="H8" s="20">
        <f>'Data Sheet'!H61</f>
        <v>164968.32999999999</v>
      </c>
      <c r="I8" s="20">
        <f>'Data Sheet'!I61</f>
        <v>172388.49</v>
      </c>
      <c r="J8" s="20">
        <f>'Data Sheet'!J61</f>
        <v>204283.13</v>
      </c>
      <c r="K8" s="20">
        <f>'Data Sheet'!K61</f>
        <v>234721.74</v>
      </c>
    </row>
    <row r="9" spans="1:11" s="8" customFormat="1" x14ac:dyDescent="0.25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6" t="s">
        <v>27</v>
      </c>
      <c r="B10" s="19">
        <f>'Data Sheet'!B62</f>
        <v>19046.740000000002</v>
      </c>
      <c r="C10" s="19">
        <f>'Data Sheet'!C62</f>
        <v>20584.71</v>
      </c>
      <c r="D10" s="19">
        <f>'Data Sheet'!D62</f>
        <v>20989.01</v>
      </c>
      <c r="E10" s="19">
        <f>'Data Sheet'!E62</f>
        <v>26181.9</v>
      </c>
      <c r="F10" s="19">
        <f>'Data Sheet'!F62</f>
        <v>28982.74</v>
      </c>
      <c r="G10" s="19">
        <f>'Data Sheet'!G62</f>
        <v>29689.27</v>
      </c>
      <c r="H10" s="19">
        <f>'Data Sheet'!H62</f>
        <v>21379.68</v>
      </c>
      <c r="I10" s="19">
        <f>'Data Sheet'!I62</f>
        <v>26018.49</v>
      </c>
      <c r="J10" s="19">
        <f>'Data Sheet'!J62</f>
        <v>27139.98</v>
      </c>
      <c r="K10" s="19">
        <f>'Data Sheet'!K62</f>
        <v>28129.41</v>
      </c>
    </row>
    <row r="11" spans="1:11" x14ac:dyDescent="0.25">
      <c r="A11" s="6" t="s">
        <v>28</v>
      </c>
      <c r="B11" s="19">
        <f>'Data Sheet'!B63</f>
        <v>3032.14</v>
      </c>
      <c r="C11" s="19">
        <f>'Data Sheet'!C63</f>
        <v>2371.35</v>
      </c>
      <c r="D11" s="19">
        <f>'Data Sheet'!D63</f>
        <v>4278.9399999999996</v>
      </c>
      <c r="E11" s="19">
        <f>'Data Sheet'!E63</f>
        <v>4269.47</v>
      </c>
      <c r="F11" s="19">
        <f>'Data Sheet'!F63</f>
        <v>4759.84</v>
      </c>
      <c r="G11" s="19">
        <f>'Data Sheet'!G63</f>
        <v>6856.48</v>
      </c>
      <c r="H11" s="19">
        <f>'Data Sheet'!H63</f>
        <v>7872.61</v>
      </c>
      <c r="I11" s="19">
        <f>'Data Sheet'!I63</f>
        <v>6702.81</v>
      </c>
      <c r="J11" s="19">
        <f>'Data Sheet'!J63</f>
        <v>3968.58</v>
      </c>
      <c r="K11" s="19">
        <f>'Data Sheet'!K63</f>
        <v>8039.3</v>
      </c>
    </row>
    <row r="12" spans="1:11" x14ac:dyDescent="0.25">
      <c r="A12" s="6" t="s">
        <v>29</v>
      </c>
      <c r="B12" s="19">
        <f>'Data Sheet'!B64</f>
        <v>10027.14</v>
      </c>
      <c r="C12" s="19">
        <f>'Data Sheet'!C64</f>
        <v>11602.58</v>
      </c>
      <c r="D12" s="19">
        <f>'Data Sheet'!D64</f>
        <v>14662.44</v>
      </c>
      <c r="E12" s="19">
        <f>'Data Sheet'!E64</f>
        <v>16017.61</v>
      </c>
      <c r="F12" s="19">
        <f>'Data Sheet'!F64</f>
        <v>18268.099999999999</v>
      </c>
      <c r="G12" s="19">
        <f>'Data Sheet'!G64</f>
        <v>19210.34</v>
      </c>
      <c r="H12" s="19">
        <f>'Data Sheet'!H64</f>
        <v>28777.66</v>
      </c>
      <c r="I12" s="19">
        <f>'Data Sheet'!I64</f>
        <v>30060.43</v>
      </c>
      <c r="J12" s="19">
        <f>'Data Sheet'!J64</f>
        <v>35272.42</v>
      </c>
      <c r="K12" s="19">
        <f>'Data Sheet'!K64</f>
        <v>35208.1</v>
      </c>
    </row>
    <row r="13" spans="1:11" x14ac:dyDescent="0.25">
      <c r="A13" s="11" t="s">
        <v>73</v>
      </c>
      <c r="B13" s="19">
        <f>'Data Sheet'!B65</f>
        <v>62270.19</v>
      </c>
      <c r="C13" s="19">
        <f>'Data Sheet'!C65</f>
        <v>65293.18</v>
      </c>
      <c r="D13" s="19">
        <f>'Data Sheet'!D65</f>
        <v>73905.09</v>
      </c>
      <c r="E13" s="19">
        <f>'Data Sheet'!E65</f>
        <v>89900.33</v>
      </c>
      <c r="F13" s="19">
        <f>'Data Sheet'!F65</f>
        <v>109877.98</v>
      </c>
      <c r="G13" s="19">
        <f>'Data Sheet'!G65</f>
        <v>109960.04</v>
      </c>
      <c r="H13" s="19">
        <f>'Data Sheet'!H65</f>
        <v>106938.38</v>
      </c>
      <c r="I13" s="19">
        <f>'Data Sheet'!I65</f>
        <v>109606.76</v>
      </c>
      <c r="J13" s="19">
        <f>'Data Sheet'!J65</f>
        <v>137902.15</v>
      </c>
      <c r="K13" s="19">
        <f>'Data Sheet'!K65</f>
        <v>163344.93</v>
      </c>
    </row>
    <row r="14" spans="1:11" s="8" customFormat="1" x14ac:dyDescent="0.25">
      <c r="A14" s="8" t="s">
        <v>26</v>
      </c>
      <c r="B14" s="19">
        <f>'Data Sheet'!B66</f>
        <v>94376.21</v>
      </c>
      <c r="C14" s="19">
        <f>'Data Sheet'!C66</f>
        <v>99851.82</v>
      </c>
      <c r="D14" s="19">
        <f>'Data Sheet'!D66</f>
        <v>113835.48</v>
      </c>
      <c r="E14" s="19">
        <f>'Data Sheet'!E66</f>
        <v>136369.31</v>
      </c>
      <c r="F14" s="19">
        <f>'Data Sheet'!F66</f>
        <v>161888.66</v>
      </c>
      <c r="G14" s="19">
        <f>'Data Sheet'!G66</f>
        <v>165716.13</v>
      </c>
      <c r="H14" s="19">
        <f>'Data Sheet'!H66</f>
        <v>164968.32999999999</v>
      </c>
      <c r="I14" s="19">
        <f>'Data Sheet'!I66</f>
        <v>172388.49</v>
      </c>
      <c r="J14" s="19">
        <f>'Data Sheet'!J66</f>
        <v>204283.13</v>
      </c>
      <c r="K14" s="19">
        <f>'Data Sheet'!K66</f>
        <v>234721.74</v>
      </c>
    </row>
    <row r="15" spans="1:11" x14ac:dyDescent="0.25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9" t="s">
        <v>30</v>
      </c>
      <c r="B16" s="21">
        <f>B13-B7</f>
        <v>31661.820000000003</v>
      </c>
      <c r="C16" s="21">
        <f t="shared" ref="C16:K16" si="0">C13-C7</f>
        <v>33486.94</v>
      </c>
      <c r="D16" s="21">
        <f t="shared" si="0"/>
        <v>38609.17</v>
      </c>
      <c r="E16" s="21">
        <f t="shared" si="0"/>
        <v>46204.130000000005</v>
      </c>
      <c r="F16" s="21">
        <f t="shared" si="0"/>
        <v>58821.03</v>
      </c>
      <c r="G16" s="21">
        <f t="shared" si="0"/>
        <v>66305.5</v>
      </c>
      <c r="H16" s="21">
        <f t="shared" si="0"/>
        <v>64176.800000000003</v>
      </c>
      <c r="I16" s="21">
        <f t="shared" si="0"/>
        <v>61946.119999999995</v>
      </c>
      <c r="J16" s="21">
        <f t="shared" si="0"/>
        <v>82231.66</v>
      </c>
      <c r="K16" s="21">
        <f t="shared" si="0"/>
        <v>103460.98999999999</v>
      </c>
    </row>
    <row r="17" spans="1:11" x14ac:dyDescent="0.25">
      <c r="A17" s="11" t="s">
        <v>44</v>
      </c>
      <c r="B17" s="21">
        <f>'Data Sheet'!B67</f>
        <v>5476.16</v>
      </c>
      <c r="C17" s="21">
        <f>'Data Sheet'!C67</f>
        <v>5817.6</v>
      </c>
      <c r="D17" s="21">
        <f>'Data Sheet'!D67</f>
        <v>7199.26</v>
      </c>
      <c r="E17" s="21">
        <f>'Data Sheet'!E67</f>
        <v>8489.82</v>
      </c>
      <c r="F17" s="21">
        <f>'Data Sheet'!F67</f>
        <v>8677.89</v>
      </c>
      <c r="G17" s="21">
        <f>'Data Sheet'!G67</f>
        <v>6928.28</v>
      </c>
      <c r="H17" s="21">
        <f>'Data Sheet'!H67</f>
        <v>6007.76</v>
      </c>
      <c r="I17" s="21">
        <f>'Data Sheet'!I67</f>
        <v>6373.95</v>
      </c>
      <c r="J17" s="21">
        <f>'Data Sheet'!J67</f>
        <v>7028.02</v>
      </c>
      <c r="K17" s="21">
        <f>'Data Sheet'!K67</f>
        <v>7459.4</v>
      </c>
    </row>
    <row r="18" spans="1:11" x14ac:dyDescent="0.25">
      <c r="A18" s="11" t="s">
        <v>45</v>
      </c>
      <c r="B18" s="21">
        <f>'Data Sheet'!B68</f>
        <v>8453.39</v>
      </c>
      <c r="C18" s="21">
        <f>'Data Sheet'!C68</f>
        <v>9116.1200000000008</v>
      </c>
      <c r="D18" s="21">
        <f>'Data Sheet'!D68</f>
        <v>8886.01</v>
      </c>
      <c r="E18" s="21">
        <f>'Data Sheet'!E68</f>
        <v>9335.57</v>
      </c>
      <c r="F18" s="21">
        <f>'Data Sheet'!F68</f>
        <v>12200.16</v>
      </c>
      <c r="G18" s="21">
        <f>'Data Sheet'!G68</f>
        <v>11111.86</v>
      </c>
      <c r="H18" s="21">
        <f>'Data Sheet'!H68</f>
        <v>9615.41</v>
      </c>
      <c r="I18" s="21">
        <f>'Data Sheet'!I68</f>
        <v>11595.82</v>
      </c>
      <c r="J18" s="21">
        <f>'Data Sheet'!J68</f>
        <v>16854.97</v>
      </c>
      <c r="K18" s="21">
        <f>'Data Sheet'!K68</f>
        <v>18590.47</v>
      </c>
    </row>
    <row r="20" spans="1:11" x14ac:dyDescent="0.25">
      <c r="A20" s="11" t="s">
        <v>46</v>
      </c>
      <c r="B20" s="5">
        <f>IF('Profit &amp; Loss'!B4&gt;0,'Balance Sheet'!B17/('Profit &amp; Loss'!B4/365),0)</f>
        <v>27.975568245437241</v>
      </c>
      <c r="C20" s="5">
        <f>IF('Profit &amp; Loss'!C4&gt;0,'Balance Sheet'!C17/('Profit &amp; Loss'!C4/365),0)</f>
        <v>27.998209949128064</v>
      </c>
      <c r="D20" s="5">
        <f>IF('Profit &amp; Loss'!D4&gt;0,'Balance Sheet'!D17/('Profit &amp; Loss'!D4/365),0)</f>
        <v>31.367246387710608</v>
      </c>
      <c r="E20" s="5">
        <f>IF('Profit &amp; Loss'!E4&gt;0,'Balance Sheet'!E17/('Profit &amp; Loss'!E4/365),0)</f>
        <v>33.648076773772871</v>
      </c>
      <c r="F20" s="5">
        <f>IF('Profit &amp; Loss'!F4&gt;0,'Balance Sheet'!F17/('Profit &amp; Loss'!F4/365),0)</f>
        <v>30.246459916035686</v>
      </c>
      <c r="G20" s="5">
        <f>IF('Profit &amp; Loss'!G4&gt;0,'Balance Sheet'!G17/('Profit &amp; Loss'!G4/365),0)</f>
        <v>33.5467956312607</v>
      </c>
      <c r="H20" s="5">
        <f>IF('Profit &amp; Loss'!H4&gt;0,'Balance Sheet'!H17/('Profit &amp; Loss'!H4/365),0)</f>
        <v>29.522050874433784</v>
      </c>
      <c r="I20" s="5">
        <f>IF('Profit &amp; Loss'!I4&gt;0,'Balance Sheet'!I17/('Profit &amp; Loss'!I4/365),0)</f>
        <v>25.801009686419857</v>
      </c>
      <c r="J20" s="5">
        <f>IF('Profit &amp; Loss'!J4&gt;0,'Balance Sheet'!J17/('Profit &amp; Loss'!J4/365),0)</f>
        <v>21.153277581038118</v>
      </c>
      <c r="K20" s="5">
        <f>IF('Profit &amp; Loss'!K4&gt;0,'Balance Sheet'!K17/('Profit &amp; Loss'!K4/365),0)</f>
        <v>19.576609631396767</v>
      </c>
    </row>
    <row r="21" spans="1:11" x14ac:dyDescent="0.25">
      <c r="A21" s="11" t="s">
        <v>47</v>
      </c>
      <c r="B21" s="5">
        <f>IF('Balance Sheet'!B18&gt;0,'Profit &amp; Loss'!B4/'Balance Sheet'!B18,0)</f>
        <v>8.4519938154988719</v>
      </c>
      <c r="C21" s="5">
        <f>IF('Balance Sheet'!C18&gt;0,'Profit &amp; Loss'!C4/'Balance Sheet'!C18,0)</f>
        <v>8.319484605292601</v>
      </c>
      <c r="D21" s="5">
        <f>IF('Balance Sheet'!D18&gt;0,'Profit &amp; Loss'!D4/'Balance Sheet'!D18,0)</f>
        <v>9.4275214635139957</v>
      </c>
      <c r="E21" s="5">
        <f>IF('Balance Sheet'!E18&gt;0,'Profit &amp; Loss'!E4/'Balance Sheet'!E18,0)</f>
        <v>9.8648448889569682</v>
      </c>
      <c r="F21" s="5">
        <f>IF('Balance Sheet'!F18&gt;0,'Profit &amp; Loss'!F4/'Balance Sheet'!F18,0)</f>
        <v>8.5835497239380469</v>
      </c>
      <c r="G21" s="5">
        <f>IF('Balance Sheet'!G18&gt;0,'Profit &amp; Loss'!G4/'Balance Sheet'!G18,0)</f>
        <v>6.7839164640303231</v>
      </c>
      <c r="H21" s="5">
        <f>IF('Balance Sheet'!H18&gt;0,'Profit &amp; Loss'!H4/'Balance Sheet'!H18,0)</f>
        <v>7.7248687263465623</v>
      </c>
      <c r="I21" s="5">
        <f>IF('Balance Sheet'!I18&gt;0,'Profit &amp; Loss'!I4/'Balance Sheet'!I18,0)</f>
        <v>7.7761270871745172</v>
      </c>
      <c r="J21" s="5">
        <f>IF('Balance Sheet'!J18&gt;0,'Profit &amp; Loss'!J4/'Balance Sheet'!J18,0)</f>
        <v>7.1948244345733032</v>
      </c>
      <c r="K21" s="5">
        <f>IF('Balance Sheet'!K18&gt;0,'Profit &amp; Loss'!K4/'Balance Sheet'!K18,0)</f>
        <v>7.4811594327631301</v>
      </c>
    </row>
    <row r="23" spans="1:11" s="8" customFormat="1" x14ac:dyDescent="0.25">
      <c r="A23" s="8" t="s">
        <v>59</v>
      </c>
      <c r="B23" s="14">
        <f>IF(SUM('Balance Sheet'!B4:B5)&gt;0,'Profit &amp; Loss'!B12/SUM('Balance Sheet'!B4:B5),"")</f>
        <v>0.1213421987145919</v>
      </c>
      <c r="C23" s="14">
        <f>IF(SUM('Balance Sheet'!C4:C5)&gt;0,'Profit &amp; Loss'!C12/SUM('Balance Sheet'!C4:C5),"")</f>
        <v>0.11884164098344256</v>
      </c>
      <c r="D23" s="14">
        <f>IF(SUM('Balance Sheet'!D4:D5)&gt;0,'Profit &amp; Loss'!D12/SUM('Balance Sheet'!D4:D5),"")</f>
        <v>0.12418844334593228</v>
      </c>
      <c r="E23" s="14">
        <f>IF(SUM('Balance Sheet'!E4:E5)&gt;0,'Profit &amp; Loss'!E12/SUM('Balance Sheet'!E4:E5),"")</f>
        <v>0.20422436974492861</v>
      </c>
      <c r="F23" s="14">
        <f>IF(SUM('Balance Sheet'!F4:F5)&gt;0,'Profit &amp; Loss'!F12/SUM('Balance Sheet'!F4:F5),"")</f>
        <v>0.13294163754417146</v>
      </c>
      <c r="G23" s="14">
        <f>IF(SUM('Balance Sheet'!G4:G5)&gt;0,'Profit &amp; Loss'!G12/SUM('Balance Sheet'!G4:G5),"")</f>
        <v>3.1784386570596294E-3</v>
      </c>
      <c r="H23" s="14">
        <f>IF(SUM('Balance Sheet'!H4:H5)&gt;0,'Profit &amp; Loss'!H12/SUM('Balance Sheet'!H4:H5),"")</f>
        <v>4.3588415349748159E-2</v>
      </c>
      <c r="I23" s="14">
        <f>IF(SUM('Balance Sheet'!I4:I5)&gt;0,'Profit &amp; Loss'!I12/SUM('Balance Sheet'!I4:I5),"")</f>
        <v>0.13957876723375431</v>
      </c>
      <c r="J23" s="14">
        <f>IF(SUM('Balance Sheet'!J4:J5)&gt;0,'Profit &amp; Loss'!J12/SUM('Balance Sheet'!J4:J5),"")</f>
        <v>0.18240673997472581</v>
      </c>
      <c r="K23" s="14">
        <f>IF(SUM('Balance Sheet'!K4:K5)&gt;0,'Profit &amp; Loss'!K12/SUM('Balance Sheet'!K4:K5),"")</f>
        <v>0.1702454504457207</v>
      </c>
    </row>
    <row r="24" spans="1:11" s="8" customFormat="1" x14ac:dyDescent="0.25">
      <c r="A24" s="8" t="s">
        <v>60</v>
      </c>
      <c r="B24" s="14"/>
      <c r="C24" s="14">
        <f>IF((B4+B5+B6+C4+C5+C6)&gt;0,('Profit &amp; Loss'!C10+'Profit &amp; Loss'!C9)*2/(B4+B5+B6+C4+C5+C6),"")</f>
        <v>0.13715780988005621</v>
      </c>
      <c r="D24" s="14">
        <f>IF((C4+C5+C6+D4+D5+D6)&gt;0,('Profit &amp; Loss'!D10+'Profit &amp; Loss'!D9)*2/(C4+C5+C6+D4+D5+D6),"")</f>
        <v>0.13642201385488326</v>
      </c>
      <c r="E24" s="14">
        <f>IF((D4+D5+D6+E4+E5+E6)&gt;0,('Profit &amp; Loss'!E10+'Profit &amp; Loss'!E9)*2/(D4+D5+D6+E4+E5+E6),"")</f>
        <v>0.16719101454349147</v>
      </c>
      <c r="F24" s="14">
        <f>IF((E4+E5+E6+F4+F5+F6)&gt;0,('Profit &amp; Loss'!F10+'Profit &amp; Loss'!F9)*2/(E4+E5+E6+F4+F5+F6),"")</f>
        <v>0.13652934608624995</v>
      </c>
      <c r="G24" s="14">
        <f>IF((F4+F5+F6+G4+G5+G6)&gt;0,('Profit &amp; Loss'!G10+'Profit &amp; Loss'!G9)*2/(F4+F5+F6+G4+G5+G6),"")</f>
        <v>6.5916537744967321E-2</v>
      </c>
      <c r="H24" s="14">
        <f>IF((G4+G5+G6+H4+H5+H6)&gt;0,('Profit &amp; Loss'!H10+'Profit &amp; Loss'!H9)*2/(G4+G5+G6+H4+H5+H6),"")</f>
        <v>7.5821696745472636E-2</v>
      </c>
      <c r="I24" s="14">
        <f>IF((H4+H5+H6+I4+I5+I6)&gt;0,('Profit &amp; Loss'!I10+'Profit &amp; Loss'!I9)*2/(H4+H5+H6+I4+I5+I6),"")</f>
        <v>0.11646662719602678</v>
      </c>
      <c r="J24" s="14">
        <f>IF((I4+I5+I6+J4+J5+J6)&gt;0,('Profit &amp; Loss'!J10+'Profit &amp; Loss'!J9)*2/(I4+I5+I6+J4+J5+J6),"")</f>
        <v>0.14553226271014588</v>
      </c>
      <c r="K24" s="14">
        <f>IF((J4+J5+J6+K4+K5+K6)&gt;0,('Profit &amp; Loss'!K10+'Profit &amp; Loss'!K9)*2/(J4+J5+J6+K4+K5+K6),"")</f>
        <v>0.14509796307588885</v>
      </c>
    </row>
    <row r="25" spans="1:11" s="18" customFormat="1" x14ac:dyDescent="0.25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showGridLines="0" zoomScale="80" zoomScaleNormal="80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" sqref="A1:XFD1048576"/>
    </sheetView>
  </sheetViews>
  <sheetFormatPr defaultColWidth="8.85546875" defaultRowHeight="15" x14ac:dyDescent="0.25"/>
  <cols>
    <col min="1" max="1" width="29.140625" style="6" bestFit="1" customWidth="1"/>
    <col min="2" max="5" width="10.5703125" style="6" bestFit="1" customWidth="1"/>
    <col min="6" max="6" width="10.85546875" style="6" bestFit="1" customWidth="1"/>
    <col min="7" max="7" width="10.5703125" style="6" bestFit="1" customWidth="1"/>
    <col min="8" max="8" width="11.5703125" style="6" bestFit="1" customWidth="1"/>
    <col min="9" max="9" width="10.5703125" style="6" bestFit="1" customWidth="1"/>
    <col min="10" max="10" width="13" style="6" bestFit="1" customWidth="1"/>
    <col min="11" max="11" width="10.85546875" style="6" bestFit="1" customWidth="1"/>
    <col min="12" max="16384" width="8.85546875" style="6"/>
  </cols>
  <sheetData>
    <row r="1" spans="1:11" s="8" customFormat="1" x14ac:dyDescent="0.25">
      <c r="A1" s="8" t="str">
        <f>'Balance Sheet'!A1</f>
        <v>MAHINDRA &amp; MAHINDRA LTD</v>
      </c>
      <c r="E1" t="str">
        <f>UPDATE</f>
        <v/>
      </c>
      <c r="F1"/>
      <c r="J1" s="4" t="s">
        <v>1</v>
      </c>
      <c r="K1" s="4"/>
    </row>
    <row r="3" spans="1:11" s="2" customFormat="1" x14ac:dyDescent="0.25">
      <c r="A3" s="15" t="s">
        <v>2</v>
      </c>
      <c r="B3" s="16">
        <f>'Data Sheet'!B81</f>
        <v>42094</v>
      </c>
      <c r="C3" s="16">
        <f>'Data Sheet'!C81</f>
        <v>42460</v>
      </c>
      <c r="D3" s="16">
        <f>'Data Sheet'!D81</f>
        <v>42825</v>
      </c>
      <c r="E3" s="16">
        <f>'Data Sheet'!E81</f>
        <v>43190</v>
      </c>
      <c r="F3" s="16">
        <f>'Data Sheet'!F81</f>
        <v>43555</v>
      </c>
      <c r="G3" s="16">
        <f>'Data Sheet'!G81</f>
        <v>43921</v>
      </c>
      <c r="H3" s="16">
        <f>'Data Sheet'!H81</f>
        <v>44286</v>
      </c>
      <c r="I3" s="16">
        <f>'Data Sheet'!I81</f>
        <v>44651</v>
      </c>
      <c r="J3" s="16">
        <f>'Data Sheet'!J81</f>
        <v>45016</v>
      </c>
      <c r="K3" s="16">
        <f>'Data Sheet'!K81</f>
        <v>45382</v>
      </c>
    </row>
    <row r="4" spans="1:11" s="8" customFormat="1" x14ac:dyDescent="0.25">
      <c r="A4" s="8" t="s">
        <v>32</v>
      </c>
      <c r="B4" s="1">
        <f>'Data Sheet'!B82</f>
        <v>1054.8599999999999</v>
      </c>
      <c r="C4" s="1">
        <f>'Data Sheet'!C82</f>
        <v>2384.7600000000002</v>
      </c>
      <c r="D4" s="1">
        <f>'Data Sheet'!D82</f>
        <v>183.09</v>
      </c>
      <c r="E4" s="1">
        <f>'Data Sheet'!E82</f>
        <v>681.86</v>
      </c>
      <c r="F4" s="1">
        <f>'Data Sheet'!F82</f>
        <v>-4347.29</v>
      </c>
      <c r="G4" s="1">
        <f>'Data Sheet'!G82</f>
        <v>-1456.93</v>
      </c>
      <c r="H4" s="1">
        <f>'Data Sheet'!H82</f>
        <v>17908.830000000002</v>
      </c>
      <c r="I4" s="1">
        <f>'Data Sheet'!I82</f>
        <v>9247.5499999999993</v>
      </c>
      <c r="J4" s="1">
        <f>'Data Sheet'!J82</f>
        <v>-7074.02</v>
      </c>
      <c r="K4" s="1">
        <f>'Data Sheet'!K82</f>
        <v>-5629.95</v>
      </c>
    </row>
    <row r="5" spans="1:11" x14ac:dyDescent="0.25">
      <c r="A5" s="6" t="s">
        <v>33</v>
      </c>
      <c r="B5" s="9">
        <f>'Data Sheet'!B83</f>
        <v>-4357.45</v>
      </c>
      <c r="C5" s="9">
        <f>'Data Sheet'!C83</f>
        <v>-5505.97</v>
      </c>
      <c r="D5" s="9">
        <f>'Data Sheet'!D83</f>
        <v>-5875.29</v>
      </c>
      <c r="E5" s="9">
        <f>'Data Sheet'!E83</f>
        <v>-5467.22</v>
      </c>
      <c r="F5" s="9">
        <f>'Data Sheet'!F83</f>
        <v>-7173.97</v>
      </c>
      <c r="G5" s="9">
        <f>'Data Sheet'!G83</f>
        <v>-6869.79</v>
      </c>
      <c r="H5" s="9">
        <f>'Data Sheet'!H83</f>
        <v>-19685.5</v>
      </c>
      <c r="I5" s="9">
        <f>'Data Sheet'!I83</f>
        <v>-3251.95</v>
      </c>
      <c r="J5" s="9">
        <f>'Data Sheet'!J83</f>
        <v>-8866.27</v>
      </c>
      <c r="K5" s="9">
        <f>'Data Sheet'!K83</f>
        <v>-5614.77</v>
      </c>
    </row>
    <row r="6" spans="1:11" x14ac:dyDescent="0.25">
      <c r="A6" s="6" t="s">
        <v>34</v>
      </c>
      <c r="B6" s="9">
        <f>'Data Sheet'!B84</f>
        <v>1669.38</v>
      </c>
      <c r="C6" s="9">
        <f>'Data Sheet'!C84</f>
        <v>2966.81</v>
      </c>
      <c r="D6" s="9">
        <f>'Data Sheet'!D84</f>
        <v>6107.97</v>
      </c>
      <c r="E6" s="9">
        <f>'Data Sheet'!E84</f>
        <v>6314.5</v>
      </c>
      <c r="F6" s="9">
        <f>'Data Sheet'!F84</f>
        <v>13193.63</v>
      </c>
      <c r="G6" s="9">
        <f>'Data Sheet'!G84</f>
        <v>6932.75</v>
      </c>
      <c r="H6" s="9">
        <f>'Data Sheet'!H84</f>
        <v>406.23</v>
      </c>
      <c r="I6" s="9">
        <f>'Data Sheet'!I84</f>
        <v>-5882.6</v>
      </c>
      <c r="J6" s="9">
        <f>'Data Sheet'!J84</f>
        <v>15946.11</v>
      </c>
      <c r="K6" s="9">
        <f>'Data Sheet'!K84</f>
        <v>12281.41</v>
      </c>
    </row>
    <row r="7" spans="1:11" s="8" customFormat="1" x14ac:dyDescent="0.25">
      <c r="A7" s="8" t="s">
        <v>35</v>
      </c>
      <c r="B7" s="1">
        <f>'Data Sheet'!B85</f>
        <v>-1633.21</v>
      </c>
      <c r="C7" s="1">
        <f>'Data Sheet'!C85</f>
        <v>-154.4</v>
      </c>
      <c r="D7" s="1">
        <f>'Data Sheet'!D85</f>
        <v>415.77</v>
      </c>
      <c r="E7" s="1">
        <f>'Data Sheet'!E85</f>
        <v>1529.14</v>
      </c>
      <c r="F7" s="1">
        <f>'Data Sheet'!F85</f>
        <v>1672.37</v>
      </c>
      <c r="G7" s="1">
        <f>'Data Sheet'!G85</f>
        <v>-1393.97</v>
      </c>
      <c r="H7" s="1">
        <f>'Data Sheet'!H85</f>
        <v>-1370.44</v>
      </c>
      <c r="I7" s="1">
        <f>'Data Sheet'!I85</f>
        <v>113</v>
      </c>
      <c r="J7" s="1">
        <f>'Data Sheet'!J85</f>
        <v>5.82</v>
      </c>
      <c r="K7" s="1">
        <f>'Data Sheet'!K85</f>
        <v>1036.69</v>
      </c>
    </row>
    <row r="8" spans="1:11" x14ac:dyDescent="0.25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showGridLines="0" zoomScale="80" zoomScaleNormal="80" zoomScalePageLayoutView="150" workbookViewId="0">
      <selection activeCell="C8" sqref="C8"/>
    </sheetView>
  </sheetViews>
  <sheetFormatPr defaultColWidth="8.85546875" defaultRowHeight="15" x14ac:dyDescent="0.25"/>
  <cols>
    <col min="1" max="1" width="8.85546875" style="8"/>
    <col min="2" max="2" width="10.42578125" style="11" customWidth="1"/>
    <col min="3" max="3" width="13.28515625" style="26" customWidth="1"/>
    <col min="4" max="5" width="8.85546875" style="11"/>
    <col min="6" max="6" width="6.85546875" style="11" customWidth="1"/>
    <col min="7" max="16384" width="8.85546875" style="11"/>
  </cols>
  <sheetData>
    <row r="1" spans="1:7" ht="21" x14ac:dyDescent="0.35">
      <c r="A1" s="25" t="s">
        <v>56</v>
      </c>
    </row>
    <row r="3" spans="1:7" x14ac:dyDescent="0.25">
      <c r="A3" s="8" t="s">
        <v>48</v>
      </c>
    </row>
    <row r="4" spans="1:7" x14ac:dyDescent="0.25">
      <c r="B4" s="11" t="s">
        <v>90</v>
      </c>
    </row>
    <row r="5" spans="1:7" x14ac:dyDescent="0.25">
      <c r="B5" s="11" t="s">
        <v>49</v>
      </c>
    </row>
    <row r="7" spans="1:7" x14ac:dyDescent="0.25">
      <c r="A7" s="8" t="s">
        <v>50</v>
      </c>
    </row>
    <row r="8" spans="1:7" x14ac:dyDescent="0.25">
      <c r="B8" s="11" t="s">
        <v>51</v>
      </c>
      <c r="C8" s="27" t="s">
        <v>91</v>
      </c>
    </row>
    <row r="10" spans="1:7" x14ac:dyDescent="0.25">
      <c r="A10" s="8" t="s">
        <v>52</v>
      </c>
    </row>
    <row r="11" spans="1:7" x14ac:dyDescent="0.25">
      <c r="B11" s="11" t="s">
        <v>53</v>
      </c>
    </row>
    <row r="14" spans="1:7" x14ac:dyDescent="0.25">
      <c r="A14" s="8" t="s">
        <v>54</v>
      </c>
    </row>
    <row r="15" spans="1:7" x14ac:dyDescent="0.25">
      <c r="B15" s="11" t="s">
        <v>55</v>
      </c>
    </row>
    <row r="16" spans="1:7" x14ac:dyDescent="0.25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Charts</vt:lpstr>
      <vt:lpstr>Ratios Summary</vt:lpstr>
      <vt:lpstr>BS Summary</vt:lpstr>
      <vt:lpstr>P&amp;L Summary</vt:lpstr>
      <vt:lpstr>Data Sheet</vt:lpstr>
      <vt:lpstr>Profit &amp; Loss</vt:lpstr>
      <vt:lpstr>Quarters</vt:lpstr>
      <vt:lpstr>Balance Sheet</vt:lpstr>
      <vt:lpstr>Cash Flow</vt:lpstr>
      <vt:lpstr>Customization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Chinmay Panda</cp:lastModifiedBy>
  <cp:lastPrinted>2012-12-06T18:14:13Z</cp:lastPrinted>
  <dcterms:created xsi:type="dcterms:W3CDTF">2012-08-17T09:55:37Z</dcterms:created>
  <dcterms:modified xsi:type="dcterms:W3CDTF">2025-03-05T18:24:30Z</dcterms:modified>
</cp:coreProperties>
</file>