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IMARTICUS\Netflix Project\"/>
    </mc:Choice>
  </mc:AlternateContent>
  <xr:revisionPtr revIDLastSave="0" documentId="13_ncr:1_{B711CA9F-EC7C-480B-90A8-B56199876376}" xr6:coauthVersionLast="47" xr6:coauthVersionMax="47" xr10:uidLastSave="{00000000-0000-0000-0000-000000000000}"/>
  <bookViews>
    <workbookView xWindow="-120" yWindow="-120" windowWidth="20730" windowHeight="11760" tabRatio="938" xr2:uid="{00000000-000D-0000-FFFF-FFFF00000000}"/>
  </bookViews>
  <sheets>
    <sheet name="Revenue Estimations" sheetId="1" r:id="rId1"/>
    <sheet name="FA Schedule" sheetId="5" r:id="rId2"/>
    <sheet name="Debt Schedule" sheetId="7" r:id="rId3"/>
    <sheet name="Income Statement" sheetId="2" r:id="rId4"/>
    <sheet name="Balance Sheet" sheetId="4" r:id="rId5"/>
    <sheet name="Cash Flow Statement" sheetId="10" r:id="rId6"/>
    <sheet name="FCFF" sheetId="11" r:id="rId7"/>
    <sheet name="WACC" sheetId="12" r:id="rId8"/>
    <sheet name="Regression Beta" sheetId="13" r:id="rId9"/>
    <sheet name="Bottom-Up Beta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1" l="1"/>
  <c r="D2" i="11" s="1"/>
  <c r="E2" i="11" s="1"/>
  <c r="F2" i="11" s="1"/>
  <c r="G2" i="11" s="1"/>
  <c r="H2" i="11" s="1"/>
  <c r="K2" i="11"/>
  <c r="E6" i="14"/>
  <c r="K14" i="11"/>
  <c r="J14" i="11"/>
  <c r="D15" i="7"/>
  <c r="G11" i="14"/>
  <c r="F11" i="14"/>
  <c r="E11" i="14"/>
  <c r="D16" i="14"/>
  <c r="D17" i="14"/>
  <c r="D18" i="14"/>
  <c r="D20" i="14"/>
  <c r="D21" i="14"/>
  <c r="D22" i="14"/>
  <c r="D24" i="14"/>
  <c r="D25" i="14"/>
  <c r="D26" i="14"/>
  <c r="D28" i="14"/>
  <c r="D29" i="14"/>
  <c r="D30" i="14"/>
  <c r="D32" i="14"/>
  <c r="D33" i="14"/>
  <c r="D34" i="14"/>
  <c r="D35" i="14"/>
  <c r="D36" i="14"/>
  <c r="D37" i="14"/>
  <c r="D38" i="14"/>
  <c r="AA19" i="13"/>
  <c r="W19" i="13"/>
  <c r="S19" i="13"/>
  <c r="O19" i="13"/>
  <c r="K19" i="13"/>
  <c r="G19" i="13"/>
  <c r="C19" i="13"/>
  <c r="E5" i="14"/>
  <c r="F5" i="14"/>
  <c r="G9" i="14"/>
  <c r="G8" i="14"/>
  <c r="G7" i="14"/>
  <c r="G6" i="14"/>
  <c r="G5" i="14"/>
  <c r="F9" i="14"/>
  <c r="F8" i="14"/>
  <c r="F7" i="14"/>
  <c r="F6" i="14"/>
  <c r="E9" i="14"/>
  <c r="E8" i="14"/>
  <c r="E7" i="14"/>
  <c r="B9" i="14"/>
  <c r="D31" i="14" s="1"/>
  <c r="B8" i="14"/>
  <c r="D27" i="14" s="1"/>
  <c r="B7" i="14"/>
  <c r="D23" i="14" s="1"/>
  <c r="B6" i="14"/>
  <c r="D19" i="14" s="1"/>
  <c r="B5" i="14"/>
  <c r="D15" i="14" s="1"/>
  <c r="K4" i="11" l="1"/>
  <c r="H6" i="14"/>
  <c r="H9" i="14"/>
  <c r="H8" i="14"/>
  <c r="H7" i="14"/>
  <c r="H5" i="14"/>
  <c r="H11" i="14"/>
  <c r="Y228" i="13" l="1"/>
  <c r="Y227" i="13"/>
  <c r="Y226" i="13"/>
  <c r="Y225" i="13"/>
  <c r="Y224" i="13"/>
  <c r="Y223" i="13"/>
  <c r="Y222" i="13"/>
  <c r="Y221" i="13"/>
  <c r="Y220" i="13"/>
  <c r="Y219" i="13"/>
  <c r="Y218" i="13"/>
  <c r="Y217" i="13"/>
  <c r="Y216" i="13"/>
  <c r="Y215" i="13"/>
  <c r="Y214" i="13"/>
  <c r="Y213" i="13"/>
  <c r="Y212" i="13"/>
  <c r="Y211" i="13"/>
  <c r="Y210" i="13"/>
  <c r="Y209" i="13"/>
  <c r="Y208" i="13"/>
  <c r="Y207" i="13"/>
  <c r="Y206" i="13"/>
  <c r="Y205" i="13"/>
  <c r="Y204" i="13"/>
  <c r="Y203" i="13"/>
  <c r="Y202" i="13"/>
  <c r="Y201" i="13"/>
  <c r="Y200" i="13"/>
  <c r="Y199" i="13"/>
  <c r="Y198" i="13"/>
  <c r="Y197" i="13"/>
  <c r="Y196" i="13"/>
  <c r="Y195" i="13"/>
  <c r="Y194" i="13"/>
  <c r="Y193" i="13"/>
  <c r="Y192" i="13"/>
  <c r="Y191" i="13"/>
  <c r="Y190" i="13"/>
  <c r="Y189" i="13"/>
  <c r="Y188" i="13"/>
  <c r="Y187" i="13"/>
  <c r="Y186" i="13"/>
  <c r="Y185" i="13"/>
  <c r="Y184" i="13"/>
  <c r="Y183" i="13"/>
  <c r="Y182" i="13"/>
  <c r="Y181" i="13"/>
  <c r="Y180" i="13"/>
  <c r="Y179" i="13"/>
  <c r="Y178" i="13"/>
  <c r="Y177" i="13"/>
  <c r="Y176" i="13"/>
  <c r="Y175" i="13"/>
  <c r="Y174" i="13"/>
  <c r="Y173" i="13"/>
  <c r="Y172" i="13"/>
  <c r="Y171" i="13"/>
  <c r="Y170" i="13"/>
  <c r="Y169" i="13"/>
  <c r="Y168" i="13"/>
  <c r="Y167" i="13"/>
  <c r="Y166" i="13"/>
  <c r="Y165" i="13"/>
  <c r="Y164" i="13"/>
  <c r="Y163" i="13"/>
  <c r="Y162" i="13"/>
  <c r="Y161" i="13"/>
  <c r="Y160" i="13"/>
  <c r="Y159" i="13"/>
  <c r="Y158" i="13"/>
  <c r="Y157" i="13"/>
  <c r="Y156" i="13"/>
  <c r="Y155" i="13"/>
  <c r="Y154" i="13"/>
  <c r="Y153" i="13"/>
  <c r="Y152" i="13"/>
  <c r="Y151" i="13"/>
  <c r="Y150" i="13"/>
  <c r="Y149" i="13"/>
  <c r="Y148" i="13"/>
  <c r="Y147" i="13"/>
  <c r="Y146" i="13"/>
  <c r="Y145" i="13"/>
  <c r="Y144" i="13"/>
  <c r="Y143" i="13"/>
  <c r="Y142" i="13"/>
  <c r="Y141" i="13"/>
  <c r="Y140" i="13"/>
  <c r="Y139" i="13"/>
  <c r="Y138" i="13"/>
  <c r="Y137" i="13"/>
  <c r="Y136" i="13"/>
  <c r="Y135" i="13"/>
  <c r="Y134" i="13"/>
  <c r="Y133" i="13"/>
  <c r="Y132" i="13"/>
  <c r="Y131" i="13"/>
  <c r="Y130" i="13"/>
  <c r="Y129" i="13"/>
  <c r="Y128" i="13"/>
  <c r="Y127" i="13"/>
  <c r="Y126" i="13"/>
  <c r="Y125" i="13"/>
  <c r="Y124" i="13"/>
  <c r="Y123" i="13"/>
  <c r="Y122" i="13"/>
  <c r="Y121" i="13"/>
  <c r="Y120" i="13"/>
  <c r="Y119" i="13"/>
  <c r="Y118" i="13"/>
  <c r="Y117" i="13"/>
  <c r="Y116" i="13"/>
  <c r="Y115" i="13"/>
  <c r="Y114" i="13"/>
  <c r="Y113" i="13"/>
  <c r="Y112" i="13"/>
  <c r="Y111" i="13"/>
  <c r="Y110" i="13"/>
  <c r="Y109" i="13"/>
  <c r="Y108" i="13"/>
  <c r="Y107" i="13"/>
  <c r="Y106" i="13"/>
  <c r="Y105" i="13"/>
  <c r="Y104" i="13"/>
  <c r="Y103" i="13"/>
  <c r="Y102" i="13"/>
  <c r="Y101" i="13"/>
  <c r="Y100" i="13"/>
  <c r="Y99" i="13"/>
  <c r="Y98" i="13"/>
  <c r="Y97" i="13"/>
  <c r="Y96" i="13"/>
  <c r="Y95" i="13"/>
  <c r="Y94" i="13"/>
  <c r="Y93" i="13"/>
  <c r="Y92" i="13"/>
  <c r="Y91" i="13"/>
  <c r="Y90" i="13"/>
  <c r="Y89" i="13"/>
  <c r="Y88" i="13"/>
  <c r="Y87" i="13"/>
  <c r="Y86" i="13"/>
  <c r="Y85" i="13"/>
  <c r="Y84" i="13"/>
  <c r="Y83" i="13"/>
  <c r="Y82" i="13"/>
  <c r="Y81" i="13"/>
  <c r="Y80" i="13"/>
  <c r="Y79" i="13"/>
  <c r="Y78" i="13"/>
  <c r="Y77" i="13"/>
  <c r="Y76" i="13"/>
  <c r="Y75" i="13"/>
  <c r="Y74" i="13"/>
  <c r="Y73" i="13"/>
  <c r="Y72" i="13"/>
  <c r="Y71" i="13"/>
  <c r="Y70" i="13"/>
  <c r="Y69" i="13"/>
  <c r="Y68" i="13"/>
  <c r="Y67" i="13"/>
  <c r="Y66" i="13"/>
  <c r="Y65" i="13"/>
  <c r="Y64" i="13"/>
  <c r="Y63" i="13"/>
  <c r="Y62" i="13"/>
  <c r="Y61" i="13"/>
  <c r="Y60" i="13"/>
  <c r="Y59" i="13"/>
  <c r="Y58" i="13"/>
  <c r="Y57" i="13"/>
  <c r="Y56" i="13"/>
  <c r="Y55" i="13"/>
  <c r="Y54" i="13"/>
  <c r="Y53" i="13"/>
  <c r="Y52" i="13"/>
  <c r="Y51" i="13"/>
  <c r="Y50" i="13"/>
  <c r="Y49" i="13"/>
  <c r="Y48" i="13"/>
  <c r="Y47" i="13"/>
  <c r="Y46" i="13"/>
  <c r="Y45" i="13"/>
  <c r="Y44" i="13"/>
  <c r="Y43" i="13"/>
  <c r="Y42" i="13"/>
  <c r="Y41" i="13"/>
  <c r="Y40" i="13"/>
  <c r="Y39" i="13"/>
  <c r="Y38" i="13"/>
  <c r="Y37" i="13"/>
  <c r="Y36" i="13"/>
  <c r="Y35" i="13"/>
  <c r="Y34" i="13"/>
  <c r="Y33" i="13"/>
  <c r="Y32" i="13"/>
  <c r="Y31" i="13"/>
  <c r="Y30" i="13"/>
  <c r="Y29" i="13"/>
  <c r="Y28" i="13"/>
  <c r="Y27" i="13"/>
  <c r="Y26" i="13"/>
  <c r="Y25" i="13"/>
  <c r="Y24" i="13"/>
  <c r="Y23" i="13"/>
  <c r="Y22" i="13"/>
  <c r="Y21" i="13"/>
  <c r="U228" i="13"/>
  <c r="U227" i="13"/>
  <c r="U226" i="13"/>
  <c r="U225" i="13"/>
  <c r="U224" i="13"/>
  <c r="U223" i="13"/>
  <c r="U222" i="13"/>
  <c r="U221" i="13"/>
  <c r="U220" i="13"/>
  <c r="U219" i="13"/>
  <c r="U218" i="13"/>
  <c r="U217" i="13"/>
  <c r="U216" i="13"/>
  <c r="U215" i="13"/>
  <c r="U214" i="13"/>
  <c r="U213" i="13"/>
  <c r="U212" i="13"/>
  <c r="U211" i="13"/>
  <c r="U210" i="13"/>
  <c r="U209" i="13"/>
  <c r="U208" i="13"/>
  <c r="U207" i="13"/>
  <c r="U206" i="13"/>
  <c r="U205" i="13"/>
  <c r="U204" i="13"/>
  <c r="U203" i="13"/>
  <c r="U202" i="13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Q228" i="13"/>
  <c r="Q227" i="13"/>
  <c r="Q226" i="13"/>
  <c r="Q225" i="13"/>
  <c r="Q224" i="13"/>
  <c r="Q223" i="13"/>
  <c r="Q222" i="13"/>
  <c r="Q221" i="13"/>
  <c r="Q220" i="13"/>
  <c r="Q219" i="13"/>
  <c r="Q218" i="13"/>
  <c r="Q217" i="13"/>
  <c r="Q216" i="13"/>
  <c r="Q215" i="13"/>
  <c r="Q214" i="13"/>
  <c r="Q213" i="13"/>
  <c r="Q212" i="13"/>
  <c r="Q211" i="13"/>
  <c r="Q210" i="13"/>
  <c r="Q209" i="13"/>
  <c r="Q208" i="13"/>
  <c r="Q207" i="13"/>
  <c r="Q206" i="13"/>
  <c r="Q205" i="13"/>
  <c r="Q204" i="13"/>
  <c r="Q203" i="13"/>
  <c r="Q202" i="13"/>
  <c r="Q201" i="13"/>
  <c r="Q200" i="13"/>
  <c r="Q199" i="13"/>
  <c r="Q198" i="13"/>
  <c r="Q197" i="13"/>
  <c r="Q196" i="13"/>
  <c r="Q195" i="13"/>
  <c r="Q194" i="13"/>
  <c r="Q193" i="13"/>
  <c r="Q192" i="13"/>
  <c r="Q191" i="13"/>
  <c r="Q190" i="13"/>
  <c r="Q189" i="13"/>
  <c r="Q188" i="13"/>
  <c r="Q187" i="13"/>
  <c r="Q186" i="13"/>
  <c r="Q185" i="13"/>
  <c r="Q184" i="13"/>
  <c r="Q183" i="13"/>
  <c r="Q182" i="13"/>
  <c r="Q181" i="13"/>
  <c r="Q180" i="13"/>
  <c r="Q179" i="13"/>
  <c r="Q178" i="13"/>
  <c r="Q177" i="13"/>
  <c r="Q176" i="13"/>
  <c r="Q175" i="13"/>
  <c r="Q174" i="13"/>
  <c r="Q173" i="13"/>
  <c r="Q172" i="13"/>
  <c r="Q171" i="13"/>
  <c r="Q170" i="13"/>
  <c r="Q169" i="13"/>
  <c r="Q168" i="13"/>
  <c r="Q167" i="13"/>
  <c r="Q166" i="13"/>
  <c r="Q165" i="13"/>
  <c r="Q164" i="13"/>
  <c r="Q163" i="13"/>
  <c r="Q162" i="13"/>
  <c r="Q161" i="13"/>
  <c r="Q160" i="13"/>
  <c r="Q159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Q114" i="13"/>
  <c r="Q113" i="13"/>
  <c r="Q112" i="13"/>
  <c r="Q111" i="13"/>
  <c r="Q110" i="13"/>
  <c r="Q109" i="13"/>
  <c r="Q108" i="13"/>
  <c r="Q107" i="13"/>
  <c r="Q106" i="13"/>
  <c r="Q105" i="13"/>
  <c r="Q104" i="13"/>
  <c r="Q103" i="13"/>
  <c r="Q102" i="13"/>
  <c r="Q101" i="13"/>
  <c r="Q100" i="13"/>
  <c r="Q99" i="13"/>
  <c r="Q98" i="13"/>
  <c r="Q97" i="13"/>
  <c r="Q96" i="13"/>
  <c r="Q95" i="13"/>
  <c r="Q94" i="13"/>
  <c r="Q93" i="13"/>
  <c r="Q92" i="13"/>
  <c r="Q91" i="13"/>
  <c r="Q90" i="13"/>
  <c r="Q89" i="13"/>
  <c r="Q88" i="13"/>
  <c r="Q87" i="13"/>
  <c r="Q86" i="13"/>
  <c r="Q85" i="13"/>
  <c r="Q84" i="13"/>
  <c r="Q83" i="13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K4" i="12"/>
  <c r="F13" i="12"/>
  <c r="F12" i="12"/>
  <c r="G11" i="12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G4" i="12"/>
  <c r="K5" i="12" s="1"/>
  <c r="AC228" i="13"/>
  <c r="AC227" i="13"/>
  <c r="AC226" i="13"/>
  <c r="AC225" i="13"/>
  <c r="AC224" i="13"/>
  <c r="AC223" i="13"/>
  <c r="AC222" i="13"/>
  <c r="AC221" i="13"/>
  <c r="AC220" i="13"/>
  <c r="AC219" i="13"/>
  <c r="AC218" i="13"/>
  <c r="AC217" i="13"/>
  <c r="AC216" i="13"/>
  <c r="AC215" i="13"/>
  <c r="AC214" i="13"/>
  <c r="AC213" i="13"/>
  <c r="AC212" i="13"/>
  <c r="AC211" i="13"/>
  <c r="AC210" i="13"/>
  <c r="AC209" i="13"/>
  <c r="AC208" i="13"/>
  <c r="AC207" i="13"/>
  <c r="AC206" i="13"/>
  <c r="AC205" i="13"/>
  <c r="AC204" i="13"/>
  <c r="AC203" i="13"/>
  <c r="AC202" i="13"/>
  <c r="AC201" i="13"/>
  <c r="AC200" i="13"/>
  <c r="AC199" i="13"/>
  <c r="AC198" i="13"/>
  <c r="AC197" i="13"/>
  <c r="AC196" i="13"/>
  <c r="AC195" i="13"/>
  <c r="AC194" i="13"/>
  <c r="AC193" i="13"/>
  <c r="AC192" i="13"/>
  <c r="AC191" i="13"/>
  <c r="AC190" i="13"/>
  <c r="AC189" i="13"/>
  <c r="AC188" i="13"/>
  <c r="AC187" i="13"/>
  <c r="AC186" i="13"/>
  <c r="AC185" i="13"/>
  <c r="AC184" i="13"/>
  <c r="AC183" i="13"/>
  <c r="AC182" i="13"/>
  <c r="AC181" i="13"/>
  <c r="AC180" i="13"/>
  <c r="AC179" i="13"/>
  <c r="AC178" i="13"/>
  <c r="AC177" i="13"/>
  <c r="AC176" i="13"/>
  <c r="AC175" i="13"/>
  <c r="AC174" i="13"/>
  <c r="AC173" i="13"/>
  <c r="AC172" i="13"/>
  <c r="AC171" i="13"/>
  <c r="AC170" i="13"/>
  <c r="AC169" i="13"/>
  <c r="AC168" i="13"/>
  <c r="AC167" i="13"/>
  <c r="AC166" i="13"/>
  <c r="AC165" i="13"/>
  <c r="AC164" i="13"/>
  <c r="AC163" i="13"/>
  <c r="AC162" i="13"/>
  <c r="AC161" i="13"/>
  <c r="AC160" i="13"/>
  <c r="AC159" i="13"/>
  <c r="AC158" i="13"/>
  <c r="AC157" i="13"/>
  <c r="AC156" i="13"/>
  <c r="AC155" i="13"/>
  <c r="AC154" i="13"/>
  <c r="AC153" i="13"/>
  <c r="AC152" i="13"/>
  <c r="AC151" i="13"/>
  <c r="AC150" i="13"/>
  <c r="AC149" i="13"/>
  <c r="AC148" i="13"/>
  <c r="AC147" i="13"/>
  <c r="AC146" i="13"/>
  <c r="AC145" i="13"/>
  <c r="AC144" i="13"/>
  <c r="AC143" i="13"/>
  <c r="AC142" i="13"/>
  <c r="AC141" i="13"/>
  <c r="AC140" i="13"/>
  <c r="AC139" i="13"/>
  <c r="AC138" i="13"/>
  <c r="AC137" i="13"/>
  <c r="AC136" i="13"/>
  <c r="AC135" i="13"/>
  <c r="AC134" i="13"/>
  <c r="AC133" i="13"/>
  <c r="AC132" i="13"/>
  <c r="AC131" i="13"/>
  <c r="AC130" i="13"/>
  <c r="AC129" i="13"/>
  <c r="AC128" i="13"/>
  <c r="AC127" i="13"/>
  <c r="AC126" i="13"/>
  <c r="AC125" i="13"/>
  <c r="AC124" i="13"/>
  <c r="AC123" i="13"/>
  <c r="AC122" i="13"/>
  <c r="AC121" i="13"/>
  <c r="AC120" i="13"/>
  <c r="AC119" i="13"/>
  <c r="AC118" i="13"/>
  <c r="AC117" i="13"/>
  <c r="AC116" i="13"/>
  <c r="AC115" i="13"/>
  <c r="AC114" i="13"/>
  <c r="AC113" i="13"/>
  <c r="AC112" i="13"/>
  <c r="AC111" i="13"/>
  <c r="AC110" i="13"/>
  <c r="AC109" i="13"/>
  <c r="AC108" i="13"/>
  <c r="AC107" i="13"/>
  <c r="AC106" i="13"/>
  <c r="AC105" i="13"/>
  <c r="AC104" i="13"/>
  <c r="AC103" i="13"/>
  <c r="AC102" i="13"/>
  <c r="AC101" i="13"/>
  <c r="AC100" i="13"/>
  <c r="AC99" i="13"/>
  <c r="AC98" i="13"/>
  <c r="AC97" i="13"/>
  <c r="AC96" i="13"/>
  <c r="AC95" i="13"/>
  <c r="AC94" i="13"/>
  <c r="AC93" i="13"/>
  <c r="AC92" i="13"/>
  <c r="AC91" i="13"/>
  <c r="AC90" i="13"/>
  <c r="AC89" i="13"/>
  <c r="AC88" i="13"/>
  <c r="AC87" i="13"/>
  <c r="AC86" i="13"/>
  <c r="AC85" i="13"/>
  <c r="AC84" i="13"/>
  <c r="AC83" i="13"/>
  <c r="AC82" i="13"/>
  <c r="AC81" i="13"/>
  <c r="AC80" i="13"/>
  <c r="AC79" i="13"/>
  <c r="AC78" i="13"/>
  <c r="AC77" i="13"/>
  <c r="AC76" i="13"/>
  <c r="AC75" i="13"/>
  <c r="AC74" i="13"/>
  <c r="AC73" i="13"/>
  <c r="AC72" i="13"/>
  <c r="AC71" i="13"/>
  <c r="AC70" i="13"/>
  <c r="AC69" i="13"/>
  <c r="AC68" i="13"/>
  <c r="AC67" i="13"/>
  <c r="AC66" i="13"/>
  <c r="AC65" i="13"/>
  <c r="AC64" i="13"/>
  <c r="AC63" i="13"/>
  <c r="AC62" i="13"/>
  <c r="AC61" i="13"/>
  <c r="AC60" i="13"/>
  <c r="AC59" i="13"/>
  <c r="AC58" i="13"/>
  <c r="AC57" i="13"/>
  <c r="AC56" i="13"/>
  <c r="AC55" i="13"/>
  <c r="AC54" i="13"/>
  <c r="AC53" i="13"/>
  <c r="AC52" i="13"/>
  <c r="AC51" i="13"/>
  <c r="AC50" i="13"/>
  <c r="AC49" i="13"/>
  <c r="AC48" i="13"/>
  <c r="AC47" i="13"/>
  <c r="AC46" i="13"/>
  <c r="AC45" i="13"/>
  <c r="AC44" i="13"/>
  <c r="AC43" i="13"/>
  <c r="AC42" i="13"/>
  <c r="AC41" i="13"/>
  <c r="AC40" i="13"/>
  <c r="AC39" i="13"/>
  <c r="AC38" i="13"/>
  <c r="AC37" i="13"/>
  <c r="AC36" i="13"/>
  <c r="AC35" i="13"/>
  <c r="AC34" i="13"/>
  <c r="AC33" i="13"/>
  <c r="AC32" i="13"/>
  <c r="AC31" i="13"/>
  <c r="AC30" i="13"/>
  <c r="AC29" i="13"/>
  <c r="AC28" i="13"/>
  <c r="AC27" i="13"/>
  <c r="AC26" i="13"/>
  <c r="AC25" i="13"/>
  <c r="AC24" i="13"/>
  <c r="AC23" i="13"/>
  <c r="AC22" i="13"/>
  <c r="AC21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D7" i="12"/>
  <c r="D8" i="12"/>
  <c r="D44" i="11"/>
  <c r="D45" i="11" s="1"/>
  <c r="G13" i="12" s="1"/>
  <c r="D43" i="11"/>
  <c r="D42" i="11"/>
  <c r="F36" i="11"/>
  <c r="F33" i="11"/>
  <c r="F32" i="11"/>
  <c r="F34" i="11" s="1"/>
  <c r="D36" i="11"/>
  <c r="D33" i="11"/>
  <c r="D32" i="11"/>
  <c r="F29" i="11"/>
  <c r="D29" i="11"/>
  <c r="B29" i="11"/>
  <c r="B4" i="11"/>
  <c r="B3" i="11"/>
  <c r="D4" i="11"/>
  <c r="D5" i="11"/>
  <c r="B40" i="2"/>
  <c r="H8" i="11"/>
  <c r="G8" i="11"/>
  <c r="F8" i="11"/>
  <c r="E8" i="11"/>
  <c r="D8" i="11"/>
  <c r="H5" i="11"/>
  <c r="G5" i="11"/>
  <c r="F5" i="11"/>
  <c r="E5" i="11"/>
  <c r="H4" i="11"/>
  <c r="G4" i="11"/>
  <c r="F4" i="11"/>
  <c r="E4" i="11"/>
  <c r="H3" i="11"/>
  <c r="G3" i="11"/>
  <c r="F3" i="11"/>
  <c r="E3" i="11"/>
  <c r="D3" i="11"/>
  <c r="M25" i="2"/>
  <c r="L25" i="2"/>
  <c r="K25" i="2"/>
  <c r="J25" i="2"/>
  <c r="I25" i="2"/>
  <c r="I25" i="7"/>
  <c r="I24" i="7"/>
  <c r="I23" i="7"/>
  <c r="I22" i="7"/>
  <c r="I21" i="7"/>
  <c r="I20" i="7"/>
  <c r="I19" i="7"/>
  <c r="B38" i="2"/>
  <c r="B37" i="2"/>
  <c r="B36" i="2"/>
  <c r="B35" i="2"/>
  <c r="K231" i="13" l="1"/>
  <c r="D12" i="13" s="1"/>
  <c r="S231" i="13"/>
  <c r="D14" i="13" s="1"/>
  <c r="AA231" i="13"/>
  <c r="D16" i="13" s="1"/>
  <c r="O231" i="13"/>
  <c r="D13" i="13" s="1"/>
  <c r="W231" i="13"/>
  <c r="D15" i="13" s="1"/>
  <c r="G12" i="12"/>
  <c r="G231" i="13"/>
  <c r="D11" i="13" s="1"/>
  <c r="C231" i="13"/>
  <c r="K6" i="12"/>
  <c r="D34" i="11"/>
  <c r="H49" i="4"/>
  <c r="G49" i="4"/>
  <c r="F49" i="4"/>
  <c r="E49" i="4"/>
  <c r="D49" i="4"/>
  <c r="H50" i="4"/>
  <c r="G50" i="4"/>
  <c r="F50" i="4"/>
  <c r="E50" i="4"/>
  <c r="D50" i="4"/>
  <c r="I39" i="4"/>
  <c r="J39" i="4" s="1"/>
  <c r="K39" i="4" s="1"/>
  <c r="L39" i="4" s="1"/>
  <c r="M39" i="4" s="1"/>
  <c r="I38" i="4"/>
  <c r="J38" i="4" s="1"/>
  <c r="K38" i="4" s="1"/>
  <c r="L38" i="4" s="1"/>
  <c r="M38" i="4" s="1"/>
  <c r="I36" i="4"/>
  <c r="J36" i="4" s="1"/>
  <c r="K36" i="4" s="1"/>
  <c r="I33" i="4"/>
  <c r="J33" i="4" s="1"/>
  <c r="K33" i="4" s="1"/>
  <c r="L33" i="4" s="1"/>
  <c r="I25" i="4"/>
  <c r="J25" i="4" s="1"/>
  <c r="K25" i="4" s="1"/>
  <c r="L25" i="4" s="1"/>
  <c r="M25" i="4" s="1"/>
  <c r="I27" i="4"/>
  <c r="J27" i="4" s="1"/>
  <c r="K27" i="4" s="1"/>
  <c r="L27" i="4" s="1"/>
  <c r="M27" i="4" s="1"/>
  <c r="I22" i="4"/>
  <c r="J22" i="4" s="1"/>
  <c r="K22" i="4" s="1"/>
  <c r="L22" i="4" s="1"/>
  <c r="M22" i="4" s="1"/>
  <c r="I19" i="4"/>
  <c r="J19" i="4" s="1"/>
  <c r="K19" i="4" s="1"/>
  <c r="L19" i="4" s="1"/>
  <c r="M19" i="4" s="1"/>
  <c r="I14" i="4"/>
  <c r="J14" i="4" s="1"/>
  <c r="K14" i="4" s="1"/>
  <c r="L14" i="4" s="1"/>
  <c r="M14" i="4" s="1"/>
  <c r="I10" i="4"/>
  <c r="J10" i="4" s="1"/>
  <c r="K10" i="4" s="1"/>
  <c r="L10" i="4" s="1"/>
  <c r="M10" i="4" s="1"/>
  <c r="I9" i="4"/>
  <c r="J9" i="4" s="1"/>
  <c r="K9" i="4" s="1"/>
  <c r="L9" i="4" s="1"/>
  <c r="D34" i="10"/>
  <c r="D5" i="14" l="1"/>
  <c r="I5" i="14" s="1"/>
  <c r="D9" i="14"/>
  <c r="I9" i="14" s="1"/>
  <c r="D8" i="14"/>
  <c r="I8" i="14" s="1"/>
  <c r="D6" i="14"/>
  <c r="I6" i="14" s="1"/>
  <c r="D7" i="14"/>
  <c r="I7" i="14" s="1"/>
  <c r="G5" i="12"/>
  <c r="G7" i="12" s="1"/>
  <c r="G10" i="12" s="1"/>
  <c r="D15" i="11" s="1"/>
  <c r="E19" i="11" s="1"/>
  <c r="D10" i="13"/>
  <c r="H52" i="4"/>
  <c r="H53" i="4" s="1"/>
  <c r="E52" i="4"/>
  <c r="E53" i="4" s="1"/>
  <c r="F52" i="4"/>
  <c r="F53" i="4" s="1"/>
  <c r="G52" i="4"/>
  <c r="G53" i="4" s="1"/>
  <c r="D52" i="4"/>
  <c r="L36" i="4"/>
  <c r="M36" i="4" s="1"/>
  <c r="M33" i="4"/>
  <c r="M9" i="4"/>
  <c r="I10" i="14" l="1"/>
  <c r="J11" i="14" s="1"/>
  <c r="D11" i="14"/>
  <c r="I11" i="14" s="1"/>
  <c r="H19" i="11"/>
  <c r="F19" i="11"/>
  <c r="G19" i="11"/>
  <c r="D19" i="11"/>
  <c r="D53" i="4"/>
  <c r="I53" i="4" s="1"/>
  <c r="C11" i="7"/>
  <c r="D8" i="7" s="1"/>
  <c r="D10" i="7" s="1"/>
  <c r="D29" i="10" s="1"/>
  <c r="D31" i="10" s="1"/>
  <c r="E33" i="7"/>
  <c r="J25" i="7"/>
  <c r="J24" i="7"/>
  <c r="J23" i="7"/>
  <c r="J22" i="7"/>
  <c r="J21" i="7"/>
  <c r="J20" i="7"/>
  <c r="J19" i="7"/>
  <c r="H24" i="5"/>
  <c r="G24" i="5"/>
  <c r="F24" i="5"/>
  <c r="E24" i="5"/>
  <c r="D24" i="5"/>
  <c r="H11" i="5"/>
  <c r="G11" i="5"/>
  <c r="F11" i="5"/>
  <c r="E11" i="5"/>
  <c r="D11" i="5"/>
  <c r="H25" i="5"/>
  <c r="G25" i="5"/>
  <c r="F25" i="5"/>
  <c r="G21" i="5" s="1"/>
  <c r="E25" i="5"/>
  <c r="F21" i="5" s="1"/>
  <c r="D25" i="5"/>
  <c r="E21" i="5" s="1"/>
  <c r="D21" i="5"/>
  <c r="D8" i="5"/>
  <c r="H12" i="5"/>
  <c r="G12" i="5"/>
  <c r="F12" i="5"/>
  <c r="G8" i="5" s="1"/>
  <c r="E12" i="5"/>
  <c r="D12" i="5"/>
  <c r="E8" i="5" s="1"/>
  <c r="H21" i="2"/>
  <c r="H15" i="2" s="1"/>
  <c r="G21" i="2"/>
  <c r="G15" i="2" s="1"/>
  <c r="F21" i="2"/>
  <c r="F15" i="2" s="1"/>
  <c r="E21" i="2"/>
  <c r="E15" i="2" s="1"/>
  <c r="D21" i="2"/>
  <c r="D15" i="2" s="1"/>
  <c r="E10" i="5" l="1"/>
  <c r="E16" i="5" s="1"/>
  <c r="H23" i="5"/>
  <c r="H27" i="5" s="1"/>
  <c r="G10" i="5"/>
  <c r="G16" i="5" s="1"/>
  <c r="H10" i="5"/>
  <c r="G23" i="5"/>
  <c r="G27" i="5" s="1"/>
  <c r="E55" i="4"/>
  <c r="E56" i="4"/>
  <c r="E57" i="4" s="1"/>
  <c r="H21" i="5"/>
  <c r="I8" i="5"/>
  <c r="D23" i="5"/>
  <c r="D22" i="5" s="1"/>
  <c r="E23" i="5"/>
  <c r="E27" i="5" s="1"/>
  <c r="F23" i="5"/>
  <c r="F27" i="5" s="1"/>
  <c r="I21" i="5"/>
  <c r="I23" i="5" s="1"/>
  <c r="F8" i="5"/>
  <c r="D10" i="5"/>
  <c r="H8" i="5"/>
  <c r="F10" i="5"/>
  <c r="D11" i="7"/>
  <c r="E8" i="7" s="1"/>
  <c r="E10" i="7" s="1"/>
  <c r="K24" i="7"/>
  <c r="K25" i="7"/>
  <c r="J15" i="7" s="1"/>
  <c r="K21" i="7"/>
  <c r="I26" i="7"/>
  <c r="K20" i="7"/>
  <c r="K22" i="7"/>
  <c r="K23" i="7"/>
  <c r="K19" i="7"/>
  <c r="H22" i="5" l="1"/>
  <c r="E9" i="5"/>
  <c r="K26" i="7"/>
  <c r="I15" i="7"/>
  <c r="G9" i="5"/>
  <c r="G22" i="5"/>
  <c r="H9" i="5"/>
  <c r="H16" i="5"/>
  <c r="F22" i="5"/>
  <c r="E22" i="5"/>
  <c r="D27" i="5"/>
  <c r="I27" i="5" s="1"/>
  <c r="I24" i="5" s="1"/>
  <c r="F16" i="5"/>
  <c r="F9" i="5"/>
  <c r="D12" i="7"/>
  <c r="E29" i="10"/>
  <c r="E31" i="10" s="1"/>
  <c r="D16" i="5"/>
  <c r="D9" i="5"/>
  <c r="H15" i="7"/>
  <c r="G15" i="7"/>
  <c r="E11" i="7"/>
  <c r="E15" i="7"/>
  <c r="F15" i="7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B4" i="2"/>
  <c r="M3" i="2"/>
  <c r="L3" i="2"/>
  <c r="K3" i="2"/>
  <c r="J3" i="2"/>
  <c r="I3" i="2"/>
  <c r="H3" i="2"/>
  <c r="G3" i="2"/>
  <c r="F3" i="2"/>
  <c r="E3" i="2"/>
  <c r="D3" i="2"/>
  <c r="B3" i="2"/>
  <c r="H41" i="4"/>
  <c r="F41" i="4"/>
  <c r="E41" i="4"/>
  <c r="D41" i="4"/>
  <c r="G41" i="4"/>
  <c r="D24" i="4"/>
  <c r="D28" i="4" s="1"/>
  <c r="E24" i="4"/>
  <c r="E28" i="4" s="1"/>
  <c r="F24" i="4"/>
  <c r="F28" i="4" s="1"/>
  <c r="G24" i="4"/>
  <c r="G28" i="4" s="1"/>
  <c r="H24" i="4"/>
  <c r="H28" i="4" s="1"/>
  <c r="D11" i="4"/>
  <c r="E11" i="4"/>
  <c r="F11" i="4"/>
  <c r="G11" i="4"/>
  <c r="H11" i="4"/>
  <c r="F15" i="4" l="1"/>
  <c r="D15" i="4"/>
  <c r="H15" i="4"/>
  <c r="G15" i="4"/>
  <c r="E15" i="4"/>
  <c r="L27" i="2"/>
  <c r="M27" i="2"/>
  <c r="K27" i="2"/>
  <c r="J27" i="2"/>
  <c r="I27" i="2"/>
  <c r="G4" i="7"/>
  <c r="G4" i="10"/>
  <c r="H4" i="10"/>
  <c r="H4" i="7"/>
  <c r="D3" i="7"/>
  <c r="D3" i="10"/>
  <c r="G5" i="7"/>
  <c r="G5" i="10"/>
  <c r="E3" i="7"/>
  <c r="E3" i="10"/>
  <c r="H5" i="10"/>
  <c r="H5" i="7"/>
  <c r="B3" i="10"/>
  <c r="B3" i="7"/>
  <c r="F3" i="10"/>
  <c r="F3" i="7"/>
  <c r="E5" i="10"/>
  <c r="E5" i="7"/>
  <c r="F5" i="10"/>
  <c r="F5" i="7"/>
  <c r="G3" i="10"/>
  <c r="G3" i="7"/>
  <c r="D4" i="10"/>
  <c r="D4" i="7"/>
  <c r="H3" i="7"/>
  <c r="H3" i="10"/>
  <c r="E4" i="10"/>
  <c r="E4" i="7"/>
  <c r="B4" i="10"/>
  <c r="B4" i="7"/>
  <c r="F4" i="7"/>
  <c r="F4" i="10"/>
  <c r="D5" i="10"/>
  <c r="D5" i="7"/>
  <c r="G43" i="4"/>
  <c r="H43" i="4"/>
  <c r="I16" i="5"/>
  <c r="I25" i="5"/>
  <c r="I12" i="4" s="1"/>
  <c r="I19" i="2"/>
  <c r="D13" i="7"/>
  <c r="I26" i="4" s="1"/>
  <c r="I23" i="4"/>
  <c r="F8" i="7"/>
  <c r="F10" i="7" s="1"/>
  <c r="F29" i="10" s="1"/>
  <c r="F31" i="10" s="1"/>
  <c r="I3" i="4"/>
  <c r="I3" i="5"/>
  <c r="F4" i="4"/>
  <c r="F4" i="5"/>
  <c r="D5" i="4"/>
  <c r="D5" i="5"/>
  <c r="L5" i="4"/>
  <c r="L5" i="5"/>
  <c r="H3" i="4"/>
  <c r="H3" i="5"/>
  <c r="M5" i="4"/>
  <c r="M5" i="5"/>
  <c r="E4" i="4"/>
  <c r="E4" i="5"/>
  <c r="G4" i="4"/>
  <c r="G4" i="5"/>
  <c r="B3" i="4"/>
  <c r="B3" i="5"/>
  <c r="K3" i="4"/>
  <c r="K3" i="5"/>
  <c r="H4" i="4"/>
  <c r="H4" i="5"/>
  <c r="F5" i="4"/>
  <c r="F5" i="5"/>
  <c r="M4" i="4"/>
  <c r="M4" i="5"/>
  <c r="D3" i="4"/>
  <c r="D3" i="5"/>
  <c r="I4" i="4"/>
  <c r="I4" i="5"/>
  <c r="G5" i="4"/>
  <c r="G5" i="5"/>
  <c r="E5" i="4"/>
  <c r="E5" i="5"/>
  <c r="E3" i="4"/>
  <c r="E3" i="5"/>
  <c r="M3" i="4"/>
  <c r="M3" i="5"/>
  <c r="J4" i="4"/>
  <c r="J4" i="5"/>
  <c r="H5" i="4"/>
  <c r="H5" i="5"/>
  <c r="K5" i="4"/>
  <c r="K5" i="5"/>
  <c r="L3" i="4"/>
  <c r="L3" i="5"/>
  <c r="F3" i="4"/>
  <c r="F3" i="5"/>
  <c r="B4" i="4"/>
  <c r="B4" i="5"/>
  <c r="K4" i="4"/>
  <c r="K4" i="5"/>
  <c r="I5" i="4"/>
  <c r="I5" i="5"/>
  <c r="J3" i="4"/>
  <c r="J3" i="5"/>
  <c r="G3" i="4"/>
  <c r="G3" i="5"/>
  <c r="D4" i="4"/>
  <c r="D4" i="5"/>
  <c r="L4" i="4"/>
  <c r="L4" i="5"/>
  <c r="J5" i="4"/>
  <c r="J5" i="5"/>
  <c r="D43" i="4"/>
  <c r="F43" i="4"/>
  <c r="E43" i="4"/>
  <c r="H27" i="2"/>
  <c r="G27" i="2"/>
  <c r="F27" i="2"/>
  <c r="E27" i="2"/>
  <c r="D27" i="2"/>
  <c r="D46" i="4" l="1"/>
  <c r="H45" i="4"/>
  <c r="G45" i="4"/>
  <c r="G46" i="4"/>
  <c r="E45" i="4"/>
  <c r="E46" i="4"/>
  <c r="F45" i="4"/>
  <c r="F46" i="4"/>
  <c r="H46" i="4"/>
  <c r="E12" i="7"/>
  <c r="D45" i="4"/>
  <c r="E13" i="7" l="1"/>
  <c r="J26" i="4" s="1"/>
  <c r="J23" i="4"/>
  <c r="F11" i="7"/>
  <c r="G8" i="7" l="1"/>
  <c r="G10" i="7" s="1"/>
  <c r="G29" i="10" s="1"/>
  <c r="G31" i="10" s="1"/>
  <c r="G11" i="7" l="1"/>
  <c r="F12" i="7"/>
  <c r="H21" i="1"/>
  <c r="H6" i="2" s="1"/>
  <c r="G21" i="1"/>
  <c r="G6" i="2" s="1"/>
  <c r="G10" i="2" s="1"/>
  <c r="G11" i="2" s="1"/>
  <c r="F21" i="1"/>
  <c r="F6" i="2" s="1"/>
  <c r="E21" i="1"/>
  <c r="E6" i="2" s="1"/>
  <c r="D21" i="1"/>
  <c r="D6" i="2" s="1"/>
  <c r="H35" i="2" l="1"/>
  <c r="H10" i="2"/>
  <c r="H11" i="2" s="1"/>
  <c r="D38" i="2"/>
  <c r="D10" i="2"/>
  <c r="E37" i="2"/>
  <c r="E10" i="2"/>
  <c r="E11" i="2" s="1"/>
  <c r="F37" i="2"/>
  <c r="F10" i="2"/>
  <c r="F11" i="2" s="1"/>
  <c r="F36" i="2"/>
  <c r="F35" i="2"/>
  <c r="E38" i="2"/>
  <c r="F38" i="2"/>
  <c r="E35" i="2"/>
  <c r="E36" i="2"/>
  <c r="G14" i="5"/>
  <c r="G17" i="2"/>
  <c r="G38" i="2"/>
  <c r="D14" i="5"/>
  <c r="G35" i="2"/>
  <c r="H38" i="2"/>
  <c r="H37" i="2"/>
  <c r="D35" i="2"/>
  <c r="E14" i="5"/>
  <c r="E17" i="2"/>
  <c r="H14" i="5"/>
  <c r="H17" i="2"/>
  <c r="G36" i="2"/>
  <c r="H36" i="2"/>
  <c r="D37" i="2"/>
  <c r="F14" i="5"/>
  <c r="F17" i="2"/>
  <c r="D36" i="2"/>
  <c r="G37" i="2"/>
  <c r="F13" i="7"/>
  <c r="K26" i="4" s="1"/>
  <c r="K23" i="4"/>
  <c r="H8" i="7"/>
  <c r="H10" i="7" s="1"/>
  <c r="H29" i="10" s="1"/>
  <c r="H31" i="10" s="1"/>
  <c r="F22" i="1"/>
  <c r="H22" i="1"/>
  <c r="E22" i="1"/>
  <c r="G22" i="1"/>
  <c r="F23" i="2" l="1"/>
  <c r="F29" i="2" s="1"/>
  <c r="F40" i="2" s="1"/>
  <c r="F18" i="2"/>
  <c r="E23" i="2"/>
  <c r="E29" i="2" s="1"/>
  <c r="E32" i="2" s="1"/>
  <c r="E33" i="2" s="1"/>
  <c r="E18" i="2"/>
  <c r="G23" i="2"/>
  <c r="G29" i="2" s="1"/>
  <c r="G32" i="2" s="1"/>
  <c r="G33" i="2" s="1"/>
  <c r="G18" i="2"/>
  <c r="D17" i="2"/>
  <c r="D11" i="2"/>
  <c r="H23" i="2"/>
  <c r="H29" i="2" s="1"/>
  <c r="H40" i="2" s="1"/>
  <c r="H18" i="2"/>
  <c r="I35" i="2"/>
  <c r="I38" i="2"/>
  <c r="M38" i="2"/>
  <c r="M36" i="2"/>
  <c r="J35" i="2"/>
  <c r="M37" i="2"/>
  <c r="L38" i="2"/>
  <c r="I14" i="5"/>
  <c r="K37" i="2"/>
  <c r="K38" i="2"/>
  <c r="L36" i="2"/>
  <c r="L35" i="2"/>
  <c r="K36" i="2"/>
  <c r="M35" i="2"/>
  <c r="J38" i="2"/>
  <c r="K35" i="2"/>
  <c r="J36" i="2"/>
  <c r="L37" i="2"/>
  <c r="J37" i="2"/>
  <c r="I36" i="2"/>
  <c r="I37" i="2"/>
  <c r="G12" i="7"/>
  <c r="H19" i="1"/>
  <c r="G19" i="1"/>
  <c r="F19" i="1"/>
  <c r="E19" i="1"/>
  <c r="H15" i="1"/>
  <c r="G15" i="1"/>
  <c r="F15" i="1"/>
  <c r="E15" i="1"/>
  <c r="H11" i="1"/>
  <c r="G11" i="1"/>
  <c r="F11" i="1"/>
  <c r="E11" i="1"/>
  <c r="H7" i="1"/>
  <c r="G7" i="1"/>
  <c r="F7" i="1"/>
  <c r="E7" i="1"/>
  <c r="E40" i="2" l="1"/>
  <c r="G40" i="2"/>
  <c r="D23" i="2"/>
  <c r="D29" i="2" s="1"/>
  <c r="D18" i="2"/>
  <c r="F32" i="2"/>
  <c r="F33" i="2" s="1"/>
  <c r="H32" i="2"/>
  <c r="H33" i="2" s="1"/>
  <c r="G13" i="7"/>
  <c r="L26" i="4" s="1"/>
  <c r="L23" i="4"/>
  <c r="H11" i="7"/>
  <c r="I11" i="1"/>
  <c r="I10" i="1" s="1"/>
  <c r="J10" i="1" s="1"/>
  <c r="K10" i="1" s="1"/>
  <c r="L10" i="1" s="1"/>
  <c r="M10" i="1" s="1"/>
  <c r="I19" i="1"/>
  <c r="I18" i="1" s="1"/>
  <c r="J18" i="1" s="1"/>
  <c r="K18" i="1" s="1"/>
  <c r="L18" i="1" s="1"/>
  <c r="M18" i="1" s="1"/>
  <c r="I7" i="1"/>
  <c r="I6" i="1" s="1"/>
  <c r="I15" i="1"/>
  <c r="I14" i="1" s="1"/>
  <c r="J14" i="1" s="1"/>
  <c r="K14" i="1" s="1"/>
  <c r="L14" i="1" s="1"/>
  <c r="M14" i="1" s="1"/>
  <c r="D40" i="2" l="1"/>
  <c r="D32" i="2"/>
  <c r="D33" i="2" s="1"/>
  <c r="I8" i="7"/>
  <c r="I10" i="7" s="1"/>
  <c r="J6" i="1"/>
  <c r="I21" i="1"/>
  <c r="L40" i="2" l="1"/>
  <c r="J40" i="2"/>
  <c r="I40" i="2"/>
  <c r="M40" i="2"/>
  <c r="K40" i="2"/>
  <c r="H12" i="7"/>
  <c r="I22" i="1"/>
  <c r="I6" i="2"/>
  <c r="K6" i="1"/>
  <c r="J21" i="1"/>
  <c r="I10" i="5" l="1"/>
  <c r="I9" i="5" s="1"/>
  <c r="D20" i="10" s="1"/>
  <c r="H13" i="7"/>
  <c r="M26" i="4" s="1"/>
  <c r="M23" i="4"/>
  <c r="I11" i="7"/>
  <c r="I14" i="2"/>
  <c r="I13" i="2"/>
  <c r="I8" i="2"/>
  <c r="I12" i="2"/>
  <c r="J22" i="1"/>
  <c r="J6" i="2"/>
  <c r="L6" i="1"/>
  <c r="K21" i="1"/>
  <c r="D22" i="10" l="1"/>
  <c r="D12" i="11"/>
  <c r="I10" i="2"/>
  <c r="I11" i="2" s="1"/>
  <c r="I11" i="5"/>
  <c r="I20" i="2" s="1"/>
  <c r="I21" i="2" s="1"/>
  <c r="J10" i="5"/>
  <c r="J11" i="5" s="1"/>
  <c r="J20" i="2" s="1"/>
  <c r="I49" i="4"/>
  <c r="I50" i="4"/>
  <c r="I20" i="4" s="1"/>
  <c r="J8" i="7"/>
  <c r="J10" i="7" s="1"/>
  <c r="K22" i="1"/>
  <c r="K6" i="2"/>
  <c r="J8" i="2"/>
  <c r="J14" i="2"/>
  <c r="J12" i="2"/>
  <c r="J13" i="2"/>
  <c r="M6" i="1"/>
  <c r="M21" i="1" s="1"/>
  <c r="L21" i="1"/>
  <c r="D9" i="10" l="1"/>
  <c r="D10" i="11"/>
  <c r="M6" i="2"/>
  <c r="M10" i="5" s="1"/>
  <c r="M11" i="5" s="1"/>
  <c r="M20" i="2" s="1"/>
  <c r="I12" i="5"/>
  <c r="I13" i="4" s="1"/>
  <c r="J10" i="2"/>
  <c r="J11" i="2" s="1"/>
  <c r="I15" i="2"/>
  <c r="I17" i="2" s="1"/>
  <c r="K10" i="5"/>
  <c r="K11" i="5" s="1"/>
  <c r="K20" i="2" s="1"/>
  <c r="J12" i="5"/>
  <c r="J13" i="4" s="1"/>
  <c r="J49" i="4"/>
  <c r="J50" i="4"/>
  <c r="J20" i="4" s="1"/>
  <c r="D15" i="10"/>
  <c r="D11" i="11" s="1"/>
  <c r="I24" i="4"/>
  <c r="I28" i="4" s="1"/>
  <c r="I12" i="7"/>
  <c r="I13" i="7" s="1"/>
  <c r="L22" i="1"/>
  <c r="L6" i="2"/>
  <c r="K13" i="2"/>
  <c r="K14" i="2"/>
  <c r="K8" i="2"/>
  <c r="K12" i="2"/>
  <c r="M22" i="1"/>
  <c r="M12" i="2" l="1"/>
  <c r="M8" i="2"/>
  <c r="M10" i="2" s="1"/>
  <c r="M11" i="2" s="1"/>
  <c r="M14" i="2"/>
  <c r="M13" i="2"/>
  <c r="J8" i="5"/>
  <c r="J9" i="5" s="1"/>
  <c r="E20" i="10" s="1"/>
  <c r="I23" i="2"/>
  <c r="I18" i="2"/>
  <c r="K10" i="2"/>
  <c r="K11" i="2" s="1"/>
  <c r="L10" i="5"/>
  <c r="L11" i="5" s="1"/>
  <c r="L20" i="2" s="1"/>
  <c r="K8" i="5"/>
  <c r="K9" i="5" s="1"/>
  <c r="F20" i="10" s="1"/>
  <c r="M12" i="5"/>
  <c r="K49" i="4"/>
  <c r="K50" i="4"/>
  <c r="K20" i="4" s="1"/>
  <c r="M49" i="4"/>
  <c r="M50" i="4"/>
  <c r="M20" i="4" s="1"/>
  <c r="E15" i="10"/>
  <c r="E11" i="11" s="1"/>
  <c r="J24" i="4"/>
  <c r="J28" i="4" s="1"/>
  <c r="K12" i="5"/>
  <c r="J11" i="7"/>
  <c r="L13" i="2"/>
  <c r="L8" i="2"/>
  <c r="L10" i="2" s="1"/>
  <c r="L11" i="2" s="1"/>
  <c r="L12" i="2"/>
  <c r="L14" i="2"/>
  <c r="M13" i="4" l="1"/>
  <c r="F22" i="10"/>
  <c r="F12" i="11"/>
  <c r="I29" i="2"/>
  <c r="I31" i="2" s="1"/>
  <c r="D7" i="11"/>
  <c r="D9" i="11" s="1"/>
  <c r="D13" i="11" s="1"/>
  <c r="E22" i="10"/>
  <c r="E12" i="11"/>
  <c r="L49" i="4"/>
  <c r="L50" i="4"/>
  <c r="L20" i="4" s="1"/>
  <c r="H15" i="10" s="1"/>
  <c r="H11" i="11" s="1"/>
  <c r="M24" i="4"/>
  <c r="M28" i="4" s="1"/>
  <c r="K13" i="4"/>
  <c r="L8" i="5"/>
  <c r="L9" i="5" s="1"/>
  <c r="G20" i="10" s="1"/>
  <c r="F15" i="10"/>
  <c r="F11" i="11" s="1"/>
  <c r="K24" i="4"/>
  <c r="K28" i="4" s="1"/>
  <c r="L12" i="5"/>
  <c r="I32" i="2" l="1"/>
  <c r="I33" i="2" s="1"/>
  <c r="J12" i="7"/>
  <c r="J13" i="7" s="1"/>
  <c r="G22" i="10"/>
  <c r="G12" i="11"/>
  <c r="D18" i="11"/>
  <c r="D20" i="11"/>
  <c r="D8" i="10"/>
  <c r="G15" i="10"/>
  <c r="G11" i="11" s="1"/>
  <c r="L24" i="4"/>
  <c r="L28" i="4" s="1"/>
  <c r="M8" i="5"/>
  <c r="M9" i="5" s="1"/>
  <c r="H20" i="10" s="1"/>
  <c r="L13" i="4"/>
  <c r="D33" i="10" l="1"/>
  <c r="D35" i="10" s="1"/>
  <c r="E34" i="10" s="1"/>
  <c r="D17" i="10"/>
  <c r="I40" i="4"/>
  <c r="I41" i="4" s="1"/>
  <c r="I43" i="4" s="1"/>
  <c r="H22" i="10"/>
  <c r="H12" i="11"/>
  <c r="J21" i="5"/>
  <c r="J23" i="5" s="1"/>
  <c r="I8" i="4" l="1"/>
  <c r="I11" i="4" s="1"/>
  <c r="I15" i="4" s="1"/>
  <c r="J24" i="5"/>
  <c r="I46" i="4" l="1"/>
  <c r="I45" i="4"/>
  <c r="J25" i="5"/>
  <c r="J12" i="4" s="1"/>
  <c r="J19" i="2"/>
  <c r="J21" i="2" s="1"/>
  <c r="J15" i="2" l="1"/>
  <c r="J17" i="2" s="1"/>
  <c r="E10" i="11"/>
  <c r="K21" i="5"/>
  <c r="K23" i="5" s="1"/>
  <c r="K24" i="5" s="1"/>
  <c r="E9" i="10"/>
  <c r="J23" i="2" l="1"/>
  <c r="J18" i="2"/>
  <c r="K25" i="5"/>
  <c r="K12" i="4" s="1"/>
  <c r="K19" i="2"/>
  <c r="K21" i="2" s="1"/>
  <c r="K15" i="2" l="1"/>
  <c r="K17" i="2" s="1"/>
  <c r="F10" i="11"/>
  <c r="J29" i="2"/>
  <c r="J31" i="2" s="1"/>
  <c r="E7" i="11"/>
  <c r="E9" i="11" s="1"/>
  <c r="E13" i="11" s="1"/>
  <c r="L21" i="5"/>
  <c r="L23" i="5" s="1"/>
  <c r="L24" i="5" s="1"/>
  <c r="F9" i="10"/>
  <c r="E18" i="11" l="1"/>
  <c r="E20" i="11"/>
  <c r="J32" i="2"/>
  <c r="J40" i="4" s="1"/>
  <c r="K23" i="2"/>
  <c r="K18" i="2"/>
  <c r="L25" i="5"/>
  <c r="L12" i="4" s="1"/>
  <c r="L19" i="2"/>
  <c r="L21" i="2" s="1"/>
  <c r="J33" i="2" l="1"/>
  <c r="L15" i="2"/>
  <c r="G10" i="11"/>
  <c r="K29" i="2"/>
  <c r="K31" i="2" s="1"/>
  <c r="F7" i="11"/>
  <c r="F9" i="11" s="1"/>
  <c r="F13" i="11" s="1"/>
  <c r="E8" i="10"/>
  <c r="E17" i="10" s="1"/>
  <c r="E33" i="10" s="1"/>
  <c r="E35" i="10" s="1"/>
  <c r="J8" i="4" s="1"/>
  <c r="J11" i="4" s="1"/>
  <c r="M21" i="5"/>
  <c r="M23" i="5" s="1"/>
  <c r="M24" i="5" s="1"/>
  <c r="M19" i="2" s="1"/>
  <c r="M21" i="2" s="1"/>
  <c r="L17" i="2"/>
  <c r="G9" i="10"/>
  <c r="J41" i="4"/>
  <c r="J43" i="4" s="1"/>
  <c r="F20" i="11" l="1"/>
  <c r="F18" i="11"/>
  <c r="K32" i="2"/>
  <c r="K40" i="4" s="1"/>
  <c r="K41" i="4" s="1"/>
  <c r="K43" i="4" s="1"/>
  <c r="F34" i="10"/>
  <c r="M15" i="2"/>
  <c r="M17" i="2" s="1"/>
  <c r="F24" i="11" s="1"/>
  <c r="F26" i="11" s="1"/>
  <c r="H10" i="11"/>
  <c r="J15" i="4"/>
  <c r="L23" i="2"/>
  <c r="L18" i="2"/>
  <c r="M25" i="5"/>
  <c r="M12" i="4" s="1"/>
  <c r="F8" i="10"/>
  <c r="F17" i="10" s="1"/>
  <c r="F33" i="10" s="1"/>
  <c r="H9" i="10"/>
  <c r="F35" i="10" l="1"/>
  <c r="G34" i="10" s="1"/>
  <c r="K33" i="2"/>
  <c r="L29" i="2"/>
  <c r="L31" i="2" s="1"/>
  <c r="G7" i="11"/>
  <c r="G9" i="11" s="1"/>
  <c r="G13" i="11" s="1"/>
  <c r="J46" i="4"/>
  <c r="J45" i="4"/>
  <c r="M23" i="2"/>
  <c r="M18" i="2"/>
  <c r="K8" i="4" l="1"/>
  <c r="K11" i="4" s="1"/>
  <c r="L32" i="2"/>
  <c r="G8" i="10" s="1"/>
  <c r="G17" i="10" s="1"/>
  <c r="G33" i="10" s="1"/>
  <c r="G35" i="10" s="1"/>
  <c r="G20" i="11"/>
  <c r="G18" i="11"/>
  <c r="M29" i="2"/>
  <c r="M31" i="2" s="1"/>
  <c r="H7" i="11"/>
  <c r="H9" i="11" s="1"/>
  <c r="H13" i="11" s="1"/>
  <c r="L33" i="2"/>
  <c r="K15" i="4"/>
  <c r="L40" i="4" l="1"/>
  <c r="H20" i="11"/>
  <c r="D21" i="11" s="1"/>
  <c r="F27" i="11" s="1"/>
  <c r="F30" i="11" s="1"/>
  <c r="F37" i="11" s="1"/>
  <c r="F40" i="11" s="1"/>
  <c r="H18" i="11"/>
  <c r="D24" i="11"/>
  <c r="D26" i="11" s="1"/>
  <c r="M32" i="2"/>
  <c r="M40" i="4" s="1"/>
  <c r="M41" i="4" s="1"/>
  <c r="M43" i="4" s="1"/>
  <c r="K45" i="4"/>
  <c r="K46" i="4"/>
  <c r="H34" i="10"/>
  <c r="L8" i="4"/>
  <c r="L11" i="4" s="1"/>
  <c r="L41" i="4"/>
  <c r="L43" i="4" s="1"/>
  <c r="D27" i="11" l="1"/>
  <c r="D30" i="11" s="1"/>
  <c r="D37" i="11" s="1"/>
  <c r="D40" i="11" s="1"/>
  <c r="M33" i="2"/>
  <c r="H8" i="10"/>
  <c r="H17" i="10" s="1"/>
  <c r="H33" i="10" s="1"/>
  <c r="H35" i="10" s="1"/>
  <c r="M8" i="4" s="1"/>
  <c r="M11" i="4" s="1"/>
  <c r="L15" i="4"/>
  <c r="L46" i="4" l="1"/>
  <c r="M15" i="4"/>
  <c r="M46" i="4" s="1"/>
  <c r="L45" i="4"/>
  <c r="M4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40" authorId="0" shapeId="0" xr:uid="{4A63C12F-BBFB-4C4D-A12C-27689E321203}">
      <text>
        <r>
          <rPr>
            <b/>
            <sz val="9"/>
            <color indexed="81"/>
            <rFont val="Tahoma"/>
            <family val="2"/>
          </rPr>
          <t>B.S.:</t>
        </r>
        <r>
          <rPr>
            <sz val="9"/>
            <color indexed="81"/>
            <rFont val="Tahoma"/>
            <family val="2"/>
          </rPr>
          <t xml:space="preserve">
Previous Year + This Year Profit - Dividend Paid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FEEF4290-70C8-4458-A54E-15BDA483F541}">
      <text>
        <r>
          <rPr>
            <b/>
            <sz val="9"/>
            <color indexed="81"/>
            <rFont val="Tahoma"/>
            <family val="2"/>
          </rPr>
          <t>FCFF:</t>
        </r>
        <r>
          <rPr>
            <sz val="9"/>
            <color indexed="81"/>
            <rFont val="Tahoma"/>
            <family val="2"/>
          </rPr>
          <t xml:space="preserve">
End of Projection starting Financial Year's End Date.</t>
        </r>
      </text>
    </comment>
    <comment ref="D27" authorId="0" shapeId="0" xr:uid="{6CA9296F-D161-4A34-B5A4-13CBC5AD3330}">
      <text>
        <r>
          <rPr>
            <b/>
            <sz val="9"/>
            <color indexed="81"/>
            <rFont val="Tahoma"/>
            <family val="2"/>
          </rPr>
          <t>Financial Valuation M3:
Sum of Explicit PV + PV of Future Cash Flows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 xr:uid="{5A22C7FA-3115-42D2-A3FE-8C70E1B57385}">
      <text>
        <r>
          <rPr>
            <b/>
            <sz val="9"/>
            <color indexed="81"/>
            <rFont val="Tahoma"/>
            <family val="2"/>
          </rPr>
          <t>Financial Statements M3:
Sum of Explicit Cash Flows + PV of Future Cash 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6" authorId="0" shapeId="0" xr:uid="{5B396232-CD16-4F0F-9E13-52A65D62B4A1}">
      <text>
        <r>
          <rPr>
            <b/>
            <sz val="9"/>
            <color indexed="81"/>
            <rFont val="Tahoma"/>
            <family val="2"/>
          </rPr>
          <t>WACC:</t>
        </r>
        <r>
          <rPr>
            <sz val="9"/>
            <color indexed="81"/>
            <rFont val="Tahoma"/>
            <family val="2"/>
          </rPr>
          <t xml:space="preserve">
equity risk premium of country + Damodaran: Search for this on google and download the XLS.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4" authorId="0" shapeId="0" xr:uid="{62E3E7F8-83B8-4FB5-8C72-678FCCA32F28}">
      <text>
        <r>
          <rPr>
            <b/>
            <sz val="9"/>
            <color indexed="81"/>
            <rFont val="Tahoma"/>
            <family val="2"/>
          </rPr>
          <t xml:space="preserve">Bottom-Up:
</t>
        </r>
        <r>
          <rPr>
            <sz val="9"/>
            <color indexed="81"/>
            <rFont val="Tahoma"/>
            <family val="2"/>
          </rPr>
          <t>Levered Beta = Regression Beta</t>
        </r>
      </text>
    </comment>
    <comment ref="E4" authorId="0" shapeId="0" xr:uid="{B9C04475-4C47-4CC3-B7FF-D96F38FF8E29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Last 3 Yrs Average of Long-Term Debt.</t>
        </r>
      </text>
    </comment>
    <comment ref="F4" authorId="0" shapeId="0" xr:uid="{8ED1A28A-D94A-4585-A4F1-903E9A463795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Last 3 Years Average of Equity or Market Cap.</t>
        </r>
      </text>
    </comment>
    <comment ref="G4" authorId="0" shapeId="0" xr:uid="{0938FAC9-CC57-4263-A41F-89D8A8D5C749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Last 3 Years Average of Tax Rate as per country and company.</t>
        </r>
      </text>
    </comment>
    <comment ref="H4" authorId="0" shapeId="0" xr:uid="{35F942E7-4F68-451D-8167-9362792BE2CA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Degree of Financial Leverage (DFL)
=1+(1-Tax Rate)*(Debt/Equity)</t>
        </r>
      </text>
    </comment>
    <comment ref="I4" authorId="0" shapeId="0" xr:uid="{9BE6635F-0230-4DCC-8BEF-94649B9FFA05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Levered Beta / DFL</t>
        </r>
      </text>
    </comment>
    <comment ref="J4" authorId="0" shapeId="0" xr:uid="{D070DE61-5B85-40D2-83E0-005FA38BA8C7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Average of Unlevered Beta of Competitors * Own DFL. </t>
        </r>
        <r>
          <rPr>
            <b/>
            <sz val="9"/>
            <color indexed="81"/>
            <rFont val="Tahoma"/>
            <family val="2"/>
          </rPr>
          <t>(Only for Main Company)</t>
        </r>
      </text>
    </comment>
    <comment ref="D11" authorId="0" shapeId="0" xr:uid="{106B4F80-C18B-4015-94ED-24D51C388B7E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Regression Beta of Netflix.</t>
        </r>
      </text>
    </comment>
    <comment ref="E11" authorId="0" shapeId="0" xr:uid="{A38032A9-9EAD-43A0-955E-788B29191AF9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Directly from Balance Sheet or MarketScreener➡️Financials➡️Long-Term Debt</t>
        </r>
      </text>
    </comment>
    <comment ref="F11" authorId="0" shapeId="0" xr:uid="{8A6E023A-45F1-4F2C-8074-E8F445D57C9D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Directly from Market Screener➡️Valuation➡️Capitalization</t>
        </r>
      </text>
    </comment>
    <comment ref="G11" authorId="0" shapeId="0" xr:uid="{165D12A0-6B32-469F-A39C-855BF0292B7F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From Income Statement.</t>
        </r>
      </text>
    </comment>
    <comment ref="J11" authorId="0" shapeId="0" xr:uid="{92FBAF72-0DF4-4453-A6C8-884C10A52A65}">
      <text>
        <r>
          <rPr>
            <b/>
            <sz val="9"/>
            <color indexed="81"/>
            <rFont val="Tahoma"/>
            <family val="2"/>
          </rPr>
          <t>Bottom-Up:</t>
        </r>
        <r>
          <rPr>
            <sz val="9"/>
            <color indexed="81"/>
            <rFont val="Tahoma"/>
            <family val="2"/>
          </rPr>
          <t xml:space="preserve">
Bottom-Up Beta of Netflix.</t>
        </r>
      </text>
    </comment>
  </commentList>
</comments>
</file>

<file path=xl/sharedStrings.xml><?xml version="1.0" encoding="utf-8"?>
<sst xmlns="http://schemas.openxmlformats.org/spreadsheetml/2006/main" count="370" uniqueCount="260">
  <si>
    <t>UCAN</t>
  </si>
  <si>
    <t>EMEA</t>
  </si>
  <si>
    <t>LATAM</t>
  </si>
  <si>
    <t>APAC</t>
  </si>
  <si>
    <t>Actual</t>
  </si>
  <si>
    <t>Total Revenue</t>
  </si>
  <si>
    <t>Year ➡️</t>
  </si>
  <si>
    <t>Growth</t>
  </si>
  <si>
    <t>Organic Growth</t>
  </si>
  <si>
    <t>Months ➡️</t>
  </si>
  <si>
    <t>Blue= Raw</t>
  </si>
  <si>
    <t>Note:</t>
  </si>
  <si>
    <t>Red= Projections</t>
  </si>
  <si>
    <t>Overall Growth</t>
  </si>
  <si>
    <t>Source:</t>
  </si>
  <si>
    <t>(In USD Thousands)</t>
  </si>
  <si>
    <t>Revenue</t>
  </si>
  <si>
    <t>Marketing</t>
  </si>
  <si>
    <t>Tech and Development</t>
  </si>
  <si>
    <t>General and Administrative</t>
  </si>
  <si>
    <t>Interest Expense</t>
  </si>
  <si>
    <t>Provision for Income Tax</t>
  </si>
  <si>
    <t>Interest and Other Income (Expense)</t>
  </si>
  <si>
    <t>Total Operating Expense</t>
  </si>
  <si>
    <t>Operating Income (EBITDA)</t>
  </si>
  <si>
    <t>Total Non-Operating Income/Expense</t>
  </si>
  <si>
    <t>Debt Schedule</t>
  </si>
  <si>
    <t>Income Before Income Tax (EBT)</t>
  </si>
  <si>
    <t>Net Income (EAT)</t>
  </si>
  <si>
    <t>Assets</t>
  </si>
  <si>
    <t>Current assets:</t>
  </si>
  <si>
    <t>Liabilities and Stockholders’ Equity</t>
  </si>
  <si>
    <t>Current liabilities:</t>
  </si>
  <si>
    <t>Cash and cash equivalents</t>
  </si>
  <si>
    <t>Short-term investments</t>
  </si>
  <si>
    <t>Other current assets</t>
  </si>
  <si>
    <t>Total current assets</t>
  </si>
  <si>
    <t xml:space="preserve">Content assets, net </t>
  </si>
  <si>
    <t>Property and equipment, net</t>
  </si>
  <si>
    <t>Other non-current assets</t>
  </si>
  <si>
    <t>Total assets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</si>
  <si>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</si>
  <si>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</si>
  <si>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</si>
  <si>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</si>
  <si>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</si>
  <si>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</si>
  <si>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</si>
  <si>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</si>
  <si>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</si>
  <si>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</si>
  <si>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Commitments and contingencies (Note 8)</t>
  </si>
  <si>
    <t>Stockholders’ equity:</t>
  </si>
  <si>
    <t>Total liabilities and stockholders’ equity</t>
  </si>
  <si>
    <t>Total stockholders’ equity</t>
  </si>
  <si>
    <t>Retained earnings</t>
  </si>
  <si>
    <t xml:space="preserve">Accumulated other comprehensive loss </t>
  </si>
  <si>
    <t>Preferred stock, $0.001 par value; 10,000,000 shares authorized at December 31, 2023 and December 31, 2022; no shares issued and outstanding at December 31, 2023 and December 31, 2022</t>
  </si>
  <si>
    <t>Common stock, $0.001 par value; 4,990,000,000 shares authorized at December 31, 2023 and December 31, 2022; 432,759,584 and 445,346,776 issued and outstanding at December 31, 2023 and December 31, 2022, respectively</t>
  </si>
  <si>
    <t>Treasury stock at cost (16,078,268 and 1,564,478 shares at December 31, 2023 and December 31, 2022)</t>
  </si>
  <si>
    <t>Checksum</t>
  </si>
  <si>
    <t>Projections</t>
  </si>
  <si>
    <t>10K 31-Dec-2023, 10K 31-Dec-2022, 10K 31-Dec-2021, 10K 31-Dec-2020</t>
  </si>
  <si>
    <t>Opening Balance-WDV</t>
  </si>
  <si>
    <t>Add: Net Addition during the Period</t>
  </si>
  <si>
    <t>Total Depreciable Assets During the Year</t>
  </si>
  <si>
    <t>Less: Depreciation during the year</t>
  </si>
  <si>
    <t>Closing Balance-WDV</t>
  </si>
  <si>
    <t>Depreciation Rate</t>
  </si>
  <si>
    <t>Amortizable Intangible Assets, net</t>
  </si>
  <si>
    <t>Total Amortizable Assets During the Year</t>
  </si>
  <si>
    <t>Less: Amortisation during the year</t>
  </si>
  <si>
    <t>Amortisation Rate</t>
  </si>
  <si>
    <t>Other Indefinite-lived Intangible Assets</t>
  </si>
  <si>
    <t>Property, Plant &amp; Equipment</t>
  </si>
  <si>
    <t>Amortization of content assets</t>
  </si>
  <si>
    <t>Depreciation and amortization of property, equipment and intangibles</t>
  </si>
  <si>
    <t>Total D&amp;A</t>
  </si>
  <si>
    <t>EBIT</t>
  </si>
  <si>
    <t>startting mein 2 Ac the</t>
  </si>
  <si>
    <t>5 ac khareed liye</t>
  </si>
  <si>
    <t>closing ac value</t>
  </si>
  <si>
    <t>saal mein dep kitna laga kitno pe laga</t>
  </si>
  <si>
    <t>total 7 ac are depreciable</t>
  </si>
  <si>
    <t>How will you prject ppe ratio?</t>
  </si>
  <si>
    <t>from FA schedule</t>
  </si>
  <si>
    <t>PPE Turnover Ratio (=Rev./Avg PPE)</t>
  </si>
  <si>
    <t>same example can be used</t>
  </si>
  <si>
    <t>assuming net addition is 0 in the case of Amortization</t>
  </si>
  <si>
    <t>Opening Debt</t>
  </si>
  <si>
    <t>Add: debt raised</t>
  </si>
  <si>
    <t>Closing Cash Balance (Total Debt)</t>
  </si>
  <si>
    <t>Long term debt</t>
  </si>
  <si>
    <t>To balance sheet in content assets</t>
  </si>
  <si>
    <t>to ppe in balance sheet</t>
  </si>
  <si>
    <t>Maturity Date</t>
  </si>
  <si>
    <t>Rate</t>
  </si>
  <si>
    <t>Maturity Year</t>
  </si>
  <si>
    <t>Avg Rate</t>
  </si>
  <si>
    <t>from Debt Schedule</t>
  </si>
  <si>
    <t>Total</t>
  </si>
  <si>
    <t>Interest expense</t>
  </si>
  <si>
    <t>Less: debt repaid</t>
  </si>
  <si>
    <t>short term debt</t>
  </si>
  <si>
    <t>Goodwil is never ammortized. Goodwill is always tested for impairment annually.</t>
  </si>
  <si>
    <t>Impairment is reduction in fair value of the asset.</t>
  </si>
  <si>
    <t>Cash From Operating Activities</t>
  </si>
  <si>
    <t>Net Income</t>
  </si>
  <si>
    <t>Depreciation and amortization</t>
  </si>
  <si>
    <t>Share-based compensation expense</t>
  </si>
  <si>
    <t>Change in assets and liabilities:</t>
  </si>
  <si>
    <t>Trade accounts receivable</t>
  </si>
  <si>
    <t>Inventories</t>
  </si>
  <si>
    <t>Prepaid expenses and other current assets</t>
  </si>
  <si>
    <t>Accounts payable and accrued expenses</t>
  </si>
  <si>
    <t>Net Cash Provided by Operating Activities</t>
  </si>
  <si>
    <t>Cash From Investing Activities</t>
  </si>
  <si>
    <t>Capital Expenditure</t>
  </si>
  <si>
    <t>Net Cash Used for Investing Activities</t>
  </si>
  <si>
    <t>Cash From Financing Activities</t>
  </si>
  <si>
    <t>Cash dividends paid</t>
  </si>
  <si>
    <t>Cash before Raising (Repayment) of Debt</t>
  </si>
  <si>
    <t>Debt Raised</t>
  </si>
  <si>
    <t>Debt Repaid</t>
  </si>
  <si>
    <t>Net Cash Provided by/(Used for) Financing Activities</t>
  </si>
  <si>
    <t>Net Increase/(Decrease) in Cash and Cash Equivalents</t>
  </si>
  <si>
    <t xml:space="preserve">Cash and Cash Equivalents, Beginning of Year </t>
  </si>
  <si>
    <t>Cash and Cash Equivalents, End of Period</t>
  </si>
  <si>
    <t>from CFS</t>
  </si>
  <si>
    <t>from DS</t>
  </si>
  <si>
    <t>Only those values are projected which can be projected via ratios</t>
  </si>
  <si>
    <t>closing balance FAS</t>
  </si>
  <si>
    <t>marketable securities and short term invt are same and will be projrcte vai last year</t>
  </si>
  <si>
    <t>same as last year bases</t>
  </si>
  <si>
    <t xml:space="preserve">BS cannot have items as 0 bec BS </t>
  </si>
  <si>
    <t>Intangible assets is are identifiable non-monetary assets.</t>
  </si>
  <si>
    <t>last year bases</t>
  </si>
  <si>
    <t>DPO ratio</t>
  </si>
  <si>
    <t>Other comprehensive income is unrealised gain or loss</t>
  </si>
  <si>
    <t>DPO</t>
  </si>
  <si>
    <t>Accounts Payables</t>
  </si>
  <si>
    <t>Historical APTR</t>
  </si>
  <si>
    <t>Historical DPO</t>
  </si>
  <si>
    <t>⬅️Projected DPO</t>
  </si>
  <si>
    <t>Projected DPO</t>
  </si>
  <si>
    <t>365/Projected APTR</t>
  </si>
  <si>
    <t>Projected APTR</t>
  </si>
  <si>
    <t>Cost of Revenue (COGS)</t>
  </si>
  <si>
    <t>Proj. AP</t>
  </si>
  <si>
    <t>=proj cogs*Avg DPO/365</t>
  </si>
  <si>
    <t>COGS</t>
  </si>
  <si>
    <t>White= Formulated</t>
  </si>
  <si>
    <t>NETFLIX</t>
  </si>
  <si>
    <t>Debt Repayment ➡️</t>
  </si>
  <si>
    <t>(In millions) ⬇️</t>
  </si>
  <si>
    <t>(in thousands) ⬇️</t>
  </si>
  <si>
    <t>Principle Amount</t>
  </si>
  <si>
    <t>Total Gross Profit</t>
  </si>
  <si>
    <t>Gross Profit Margin:::</t>
  </si>
  <si>
    <t>Operating Profit Margin:::</t>
  </si>
  <si>
    <t>Net Profit Margin:::</t>
  </si>
  <si>
    <t>Green= Ratios</t>
  </si>
  <si>
    <t>Sir made some adjustments her which I don’t remember</t>
  </si>
  <si>
    <t>Goodwill by definition is a non identifiable asset… goodwill is just a balancing figure to balance your BS</t>
  </si>
  <si>
    <t>Free Cash Flow to Firm</t>
  </si>
  <si>
    <t>NOPAT</t>
  </si>
  <si>
    <t>Non Cash Expenses</t>
  </si>
  <si>
    <t>Net Changes in Working Capital</t>
  </si>
  <si>
    <t>Capex</t>
  </si>
  <si>
    <t>Tax Rate</t>
  </si>
  <si>
    <t>FCFF (Explicit Cash Flows)</t>
  </si>
  <si>
    <t>WACC</t>
  </si>
  <si>
    <t>PV of Explicit Cash Flows</t>
  </si>
  <si>
    <t>Discount Factor</t>
  </si>
  <si>
    <t>TBD ➡️</t>
  </si>
  <si>
    <t>To Be Discussed</t>
  </si>
  <si>
    <t>Sum PV of Expicit Cash Flows</t>
  </si>
  <si>
    <t>Terminal Value</t>
  </si>
  <si>
    <t>Gordon Growth</t>
  </si>
  <si>
    <t>Exit Multiple</t>
  </si>
  <si>
    <t>EV/EBITDA ➡️</t>
  </si>
  <si>
    <t>PV of Future Cash Flows</t>
  </si>
  <si>
    <t>⬅️ From MarketScreener</t>
  </si>
  <si>
    <t>Operating EV</t>
  </si>
  <si>
    <t>Other Non-Operating Assets</t>
  </si>
  <si>
    <t>Total EV</t>
  </si>
  <si>
    <t>Long Term Debt</t>
  </si>
  <si>
    <t>Short Term Debt</t>
  </si>
  <si>
    <t>Debt &amp; Debt Equivalents</t>
  </si>
  <si>
    <t>Non-Current Investments (Minority Interest)</t>
  </si>
  <si>
    <t>Cash &amp; Cash Equivalents</t>
  </si>
  <si>
    <t>Market Value</t>
  </si>
  <si>
    <t>O/S Shares assuming Dilutions</t>
  </si>
  <si>
    <t>Value Per Share</t>
  </si>
  <si>
    <t>MV = Equity = CMP*O/S Shares</t>
  </si>
  <si>
    <t>CMP=</t>
  </si>
  <si>
    <t>shares=</t>
  </si>
  <si>
    <t>Debt = BookValue</t>
  </si>
  <si>
    <t>Wd</t>
  </si>
  <si>
    <t>We</t>
  </si>
  <si>
    <t>Credit Rate</t>
  </si>
  <si>
    <t>Credit Spread</t>
  </si>
  <si>
    <t>Date of Valuations</t>
  </si>
  <si>
    <t>A</t>
  </si>
  <si>
    <t>Cost Of Debt as per Book Value</t>
  </si>
  <si>
    <t>(interest expense / O/S Debt)</t>
  </si>
  <si>
    <t>Interest</t>
  </si>
  <si>
    <t>O/S Debt = Long Term + Short Term</t>
  </si>
  <si>
    <t>Step: 2 Download historical data of Netflix, its competitors and S&amp;P500 from Investing.com, using weekly data</t>
  </si>
  <si>
    <t>Step: 3 Calculate Weekly returns of the above companies</t>
  </si>
  <si>
    <t>Step: 4 Using Slope function, calculate beta of each stock</t>
  </si>
  <si>
    <t>Step: 1 Find out the competitors of Netflix (Market Screener)</t>
  </si>
  <si>
    <t>Price</t>
  </si>
  <si>
    <t>Competitors</t>
  </si>
  <si>
    <t>Date</t>
  </si>
  <si>
    <t>Returns</t>
  </si>
  <si>
    <t>Meta</t>
  </si>
  <si>
    <t>S&amp;P 500</t>
  </si>
  <si>
    <t>Regression Beta</t>
  </si>
  <si>
    <t>ERP</t>
  </si>
  <si>
    <t>Netflix</t>
  </si>
  <si>
    <t xml:space="preserve">WACC </t>
  </si>
  <si>
    <t>Rf</t>
  </si>
  <si>
    <t>E(Rm)</t>
  </si>
  <si>
    <t>Cost of Equity (Rating Based Method)</t>
  </si>
  <si>
    <t>Cost of Equity (Historical Method)</t>
  </si>
  <si>
    <t>ERP (From Damodaran)</t>
  </si>
  <si>
    <t>Cost Of Debt (Rd)</t>
  </si>
  <si>
    <t>Cost of Equity (Re)</t>
  </si>
  <si>
    <t>⬅️WACC = Wd * Rd * (1-Tax) + We * Re</t>
  </si>
  <si>
    <t>Alphabet</t>
  </si>
  <si>
    <t>Lookup Beta</t>
  </si>
  <si>
    <t>Risk Free Rate (Rf)</t>
  </si>
  <si>
    <t>Growth Rate</t>
  </si>
  <si>
    <t>From 20-12-2020 to 20-12-2024</t>
  </si>
  <si>
    <t>CAGR = RRI Function in Excel</t>
  </si>
  <si>
    <t>Long-Term Debt</t>
  </si>
  <si>
    <t>Short-Term Debt</t>
  </si>
  <si>
    <t>➡️</t>
  </si>
  <si>
    <t>5 Years Weekly Data ⬇️</t>
  </si>
  <si>
    <t>Unlevered Beta Calculation - Comparables</t>
  </si>
  <si>
    <t>⬅️ Beta</t>
  </si>
  <si>
    <t>Median/Average</t>
  </si>
  <si>
    <t>Debt</t>
  </si>
  <si>
    <t>Levered Beta</t>
  </si>
  <si>
    <t>Equity</t>
  </si>
  <si>
    <t>DFL</t>
  </si>
  <si>
    <t>Unlevered Beta</t>
  </si>
  <si>
    <t>Relevered Beta</t>
  </si>
  <si>
    <t>Calculation of Capital Structure of Competitors</t>
  </si>
  <si>
    <t>Market Cap.</t>
  </si>
  <si>
    <t>Walt Disney</t>
  </si>
  <si>
    <t>Comcast</t>
  </si>
  <si>
    <t>Paramount</t>
  </si>
  <si>
    <t>Bottom-Up Beta Only for Netflix ⬇️</t>
  </si>
  <si>
    <t>(In USD Billions)</t>
  </si>
  <si>
    <t>Add 2024 data also to this and GM.</t>
  </si>
  <si>
    <t>same as last year basis</t>
  </si>
  <si>
    <t>Valuation Date</t>
  </si>
  <si>
    <t>First Projection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</si>
</sst>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dd\-mmm\-yyyy"/>
    <numFmt numFmtId="165" formatCode="0.000%"/>
    <numFmt numFmtId="166" formatCode="0.00_);\(0.00\)"/>
    <numFmt numFmtId="167" formatCode="0.000"/>
    <numFmt numFmtId="168" formatCode="dd/mm/yy;@"/>
    <numFmt numFmtId="169" formatCode="0.0000"/>
    <numFmt numFmtId="170" formatCode="mmm\-yyyy"/>
    <numFmt numFmtId="171" formatCode="#,##0.000"/>
    <numFmt numFmtId="172" formatCode="0.0%"/>
    <numFmt numFmtId="173" formatCode="dd/mm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030A0"/>
      <name val="Calibri"/>
      <family val="2"/>
    </font>
    <font>
      <b/>
      <sz val="11"/>
      <color rgb="FF7030A0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u/>
      <sz val="18"/>
      <color theme="1"/>
      <name val="Calibri"/>
      <family val="2"/>
      <scheme val="minor"/>
    </font>
    <font>
      <sz val="10"/>
      <color theme="0"/>
      <name val="Calibri"/>
      <family val="2"/>
    </font>
    <font>
      <b/>
      <u/>
      <sz val="10"/>
      <color theme="0"/>
      <name val="Calibri"/>
      <family val="2"/>
    </font>
    <font>
      <b/>
      <u/>
      <sz val="1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theme="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 style="thin">
        <color indexed="64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/>
      <right style="thin">
        <color indexed="64"/>
      </right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/>
      <top style="mediumDashDot">
        <color rgb="FFFFC000"/>
      </top>
      <bottom style="mediumDashDot">
        <color rgb="FFFFC000"/>
      </bottom>
      <diagonal/>
    </border>
    <border>
      <left/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/>
    <xf numFmtId="0" fontId="0" fillId="2" borderId="2" xfId="0" applyFill="1" applyBorder="1"/>
    <xf numFmtId="5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13" fillId="2" borderId="0" xfId="0" applyFont="1" applyFill="1"/>
    <xf numFmtId="5" fontId="13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center"/>
    </xf>
    <xf numFmtId="10" fontId="13" fillId="2" borderId="0" xfId="1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0" fillId="3" borderId="3" xfId="0" applyFont="1" applyFill="1" applyBorder="1" applyAlignment="1">
      <alignment horizontal="center" vertical="top"/>
    </xf>
    <xf numFmtId="0" fontId="0" fillId="2" borderId="3" xfId="0" applyFill="1" applyBorder="1"/>
    <xf numFmtId="0" fontId="10" fillId="3" borderId="4" xfId="0" applyFont="1" applyFill="1" applyBorder="1" applyAlignment="1">
      <alignment horizontal="center" vertical="top" wrapText="1"/>
    </xf>
    <xf numFmtId="0" fontId="0" fillId="2" borderId="4" xfId="0" applyFill="1" applyBorder="1"/>
    <xf numFmtId="0" fontId="14" fillId="2" borderId="4" xfId="0" applyFont="1" applyFill="1" applyBorder="1" applyAlignment="1">
      <alignment horizontal="center"/>
    </xf>
    <xf numFmtId="0" fontId="0" fillId="2" borderId="6" xfId="0" applyFill="1" applyBorder="1"/>
    <xf numFmtId="5" fontId="13" fillId="2" borderId="6" xfId="0" applyNumberFormat="1" applyFont="1" applyFill="1" applyBorder="1" applyAlignment="1">
      <alignment horizontal="center"/>
    </xf>
    <xf numFmtId="5" fontId="2" fillId="2" borderId="6" xfId="0" applyNumberFormat="1" applyFont="1" applyFill="1" applyBorder="1" applyAlignment="1">
      <alignment horizontal="center"/>
    </xf>
    <xf numFmtId="5" fontId="13" fillId="2" borderId="4" xfId="0" applyNumberFormat="1" applyFont="1" applyFill="1" applyBorder="1" applyAlignment="1">
      <alignment horizontal="center"/>
    </xf>
    <xf numFmtId="5" fontId="2" fillId="2" borderId="4" xfId="0" applyNumberFormat="1" applyFont="1" applyFill="1" applyBorder="1" applyAlignment="1">
      <alignment horizontal="center"/>
    </xf>
    <xf numFmtId="5" fontId="5" fillId="2" borderId="7" xfId="0" applyNumberFormat="1" applyFont="1" applyFill="1" applyBorder="1" applyAlignment="1">
      <alignment horizontal="center"/>
    </xf>
    <xf numFmtId="5" fontId="12" fillId="2" borderId="7" xfId="0" applyNumberFormat="1" applyFont="1" applyFill="1" applyBorder="1" applyAlignment="1">
      <alignment horizontal="center"/>
    </xf>
    <xf numFmtId="5" fontId="6" fillId="2" borderId="7" xfId="0" applyNumberFormat="1" applyFont="1" applyFill="1" applyBorder="1" applyAlignment="1">
      <alignment horizontal="center"/>
    </xf>
    <xf numFmtId="0" fontId="12" fillId="2" borderId="0" xfId="0" applyFont="1" applyFill="1" applyAlignment="1"/>
    <xf numFmtId="5" fontId="0" fillId="2" borderId="13" xfId="0" applyNumberFormat="1" applyFill="1" applyBorder="1" applyAlignment="1">
      <alignment horizontal="center"/>
    </xf>
    <xf numFmtId="5" fontId="2" fillId="2" borderId="13" xfId="0" applyNumberFormat="1" applyFont="1" applyFill="1" applyBorder="1" applyAlignment="1">
      <alignment horizontal="center"/>
    </xf>
    <xf numFmtId="5" fontId="0" fillId="2" borderId="4" xfId="0" applyNumberFormat="1" applyFill="1" applyBorder="1" applyAlignment="1">
      <alignment horizontal="center"/>
    </xf>
    <xf numFmtId="0" fontId="13" fillId="2" borderId="0" xfId="0" applyFont="1" applyFill="1" applyAlignment="1"/>
    <xf numFmtId="5" fontId="0" fillId="2" borderId="3" xfId="0" applyNumberForma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5" fontId="4" fillId="2" borderId="4" xfId="0" applyNumberFormat="1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0" fillId="2" borderId="14" xfId="0" applyFill="1" applyBorder="1"/>
    <xf numFmtId="5" fontId="13" fillId="2" borderId="14" xfId="0" applyNumberFormat="1" applyFont="1" applyFill="1" applyBorder="1" applyAlignment="1">
      <alignment horizontal="center"/>
    </xf>
    <xf numFmtId="5" fontId="2" fillId="2" borderId="14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12" fillId="2" borderId="15" xfId="0" applyFont="1" applyFill="1" applyBorder="1" applyAlignment="1">
      <alignment horizontal="center"/>
    </xf>
    <xf numFmtId="0" fontId="0" fillId="2" borderId="15" xfId="0" applyFill="1" applyBorder="1"/>
    <xf numFmtId="5" fontId="0" fillId="2" borderId="15" xfId="0" applyNumberFormat="1" applyFill="1" applyBorder="1" applyAlignment="1">
      <alignment horizontal="center"/>
    </xf>
    <xf numFmtId="5" fontId="2" fillId="2" borderId="15" xfId="0" applyNumberFormat="1" applyFont="1" applyFill="1" applyBorder="1" applyAlignment="1">
      <alignment horizontal="center"/>
    </xf>
    <xf numFmtId="5" fontId="12" fillId="2" borderId="14" xfId="0" applyNumberFormat="1" applyFont="1" applyFill="1" applyBorder="1" applyAlignment="1">
      <alignment horizontal="center"/>
    </xf>
    <xf numFmtId="5" fontId="6" fillId="2" borderId="14" xfId="0" applyNumberFormat="1" applyFont="1" applyFill="1" applyBorder="1" applyAlignment="1">
      <alignment horizontal="center"/>
    </xf>
    <xf numFmtId="0" fontId="0" fillId="2" borderId="13" xfId="0" applyFill="1" applyBorder="1"/>
    <xf numFmtId="0" fontId="0" fillId="2" borderId="17" xfId="0" applyFill="1" applyBorder="1"/>
    <xf numFmtId="5" fontId="4" fillId="2" borderId="17" xfId="0" applyNumberFormat="1" applyFont="1" applyFill="1" applyBorder="1" applyAlignment="1">
      <alignment horizontal="center"/>
    </xf>
    <xf numFmtId="5" fontId="2" fillId="2" borderId="17" xfId="0" applyNumberFormat="1" applyFont="1" applyFill="1" applyBorder="1" applyAlignment="1">
      <alignment horizontal="center"/>
    </xf>
    <xf numFmtId="5" fontId="12" fillId="2" borderId="16" xfId="0" applyNumberFormat="1" applyFont="1" applyFill="1" applyBorder="1" applyAlignment="1">
      <alignment horizontal="center"/>
    </xf>
    <xf numFmtId="0" fontId="2" fillId="2" borderId="0" xfId="0" applyFont="1" applyFill="1"/>
    <xf numFmtId="0" fontId="13" fillId="2" borderId="9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13" fillId="2" borderId="19" xfId="0" applyFont="1" applyFill="1" applyBorder="1"/>
    <xf numFmtId="5" fontId="13" fillId="2" borderId="19" xfId="0" applyNumberFormat="1" applyFont="1" applyFill="1" applyBorder="1" applyAlignment="1">
      <alignment horizontal="center"/>
    </xf>
    <xf numFmtId="5" fontId="2" fillId="2" borderId="19" xfId="0" applyNumberFormat="1" applyFont="1" applyFill="1" applyBorder="1" applyAlignment="1">
      <alignment horizontal="center"/>
    </xf>
    <xf numFmtId="5" fontId="2" fillId="2" borderId="2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2" fontId="13" fillId="2" borderId="0" xfId="0" applyNumberFormat="1" applyFont="1" applyFill="1"/>
    <xf numFmtId="2" fontId="0" fillId="2" borderId="0" xfId="0" applyNumberFormat="1" applyFill="1"/>
    <xf numFmtId="2" fontId="13" fillId="2" borderId="0" xfId="0" quotePrefix="1" applyNumberFormat="1" applyFont="1" applyFill="1"/>
    <xf numFmtId="0" fontId="5" fillId="2" borderId="0" xfId="0" applyFont="1" applyFill="1"/>
    <xf numFmtId="0" fontId="12" fillId="2" borderId="0" xfId="0" applyFont="1" applyFill="1"/>
    <xf numFmtId="0" fontId="6" fillId="2" borderId="0" xfId="0" applyFont="1" applyFill="1"/>
    <xf numFmtId="0" fontId="12" fillId="4" borderId="3" xfId="0" applyFont="1" applyFill="1" applyBorder="1" applyAlignment="1">
      <alignment horizontal="center"/>
    </xf>
    <xf numFmtId="164" fontId="12" fillId="4" borderId="4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4" fontId="12" fillId="4" borderId="5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 vertical="top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0" fillId="3" borderId="25" xfId="0" applyFont="1" applyFill="1" applyBorder="1" applyAlignment="1">
      <alignment horizontal="center" vertical="top" wrapText="1"/>
    </xf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14" fillId="5" borderId="4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3" fillId="2" borderId="3" xfId="0" applyFont="1" applyFill="1" applyBorder="1"/>
    <xf numFmtId="5" fontId="5" fillId="2" borderId="3" xfId="0" applyNumberFormat="1" applyFont="1" applyFill="1" applyBorder="1" applyAlignment="1">
      <alignment horizontal="center"/>
    </xf>
    <xf numFmtId="5" fontId="6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13" fillId="2" borderId="14" xfId="0" applyFont="1" applyFill="1" applyBorder="1"/>
    <xf numFmtId="9" fontId="12" fillId="2" borderId="14" xfId="1" applyFont="1" applyFill="1" applyBorder="1"/>
    <xf numFmtId="9" fontId="3" fillId="2" borderId="4" xfId="1" applyFont="1" applyFill="1" applyBorder="1"/>
    <xf numFmtId="0" fontId="12" fillId="2" borderId="14" xfId="0" applyFont="1" applyFill="1" applyBorder="1"/>
    <xf numFmtId="6" fontId="12" fillId="2" borderId="7" xfId="0" applyNumberFormat="1" applyFont="1" applyFill="1" applyBorder="1"/>
    <xf numFmtId="5" fontId="13" fillId="2" borderId="0" xfId="0" applyNumberFormat="1" applyFont="1" applyFill="1"/>
    <xf numFmtId="10" fontId="2" fillId="2" borderId="0" xfId="1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/>
    <xf numFmtId="0" fontId="12" fillId="5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5" fontId="12" fillId="2" borderId="4" xfId="0" applyNumberFormat="1" applyFont="1" applyFill="1" applyBorder="1" applyAlignment="1">
      <alignment horizontal="center"/>
    </xf>
    <xf numFmtId="5" fontId="6" fillId="2" borderId="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0" fillId="2" borderId="0" xfId="0" applyFill="1" applyBorder="1" applyAlignment="1"/>
    <xf numFmtId="164" fontId="0" fillId="2" borderId="1" xfId="0" applyNumberFormat="1" applyFill="1" applyBorder="1" applyAlignment="1">
      <alignment horizontal="center"/>
    </xf>
    <xf numFmtId="6" fontId="4" fillId="2" borderId="0" xfId="0" applyNumberFormat="1" applyFont="1" applyFill="1" applyBorder="1"/>
    <xf numFmtId="6" fontId="4" fillId="2" borderId="3" xfId="0" applyNumberFormat="1" applyFont="1" applyFill="1" applyBorder="1" applyAlignment="1">
      <alignment horizontal="center"/>
    </xf>
    <xf numFmtId="6" fontId="2" fillId="2" borderId="3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10" fontId="13" fillId="2" borderId="4" xfId="1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6" fontId="4" fillId="2" borderId="4" xfId="0" applyNumberFormat="1" applyFont="1" applyFill="1" applyBorder="1" applyAlignment="1">
      <alignment horizontal="center"/>
    </xf>
    <xf numFmtId="6" fontId="2" fillId="2" borderId="4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12" fillId="4" borderId="30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6" fontId="12" fillId="4" borderId="4" xfId="0" applyNumberFormat="1" applyFont="1" applyFill="1" applyBorder="1" applyAlignment="1">
      <alignment horizontal="center"/>
    </xf>
    <xf numFmtId="6" fontId="12" fillId="4" borderId="3" xfId="0" applyNumberFormat="1" applyFont="1" applyFill="1" applyBorder="1" applyAlignment="1">
      <alignment horizontal="center"/>
    </xf>
    <xf numFmtId="9" fontId="13" fillId="5" borderId="4" xfId="1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vertical="top"/>
    </xf>
    <xf numFmtId="0" fontId="11" fillId="3" borderId="4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2" borderId="4" xfId="0" applyNumberFormat="1" applyFont="1" applyFill="1" applyBorder="1" applyAlignment="1">
      <alignment horizontal="center"/>
    </xf>
    <xf numFmtId="5" fontId="13" fillId="2" borderId="17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3" fillId="2" borderId="0" xfId="0" applyFont="1" applyFill="1" applyBorder="1"/>
    <xf numFmtId="0" fontId="17" fillId="2" borderId="0" xfId="0" applyFont="1" applyFill="1" applyAlignment="1">
      <alignment horizontal="center"/>
    </xf>
    <xf numFmtId="0" fontId="16" fillId="2" borderId="0" xfId="0" applyFont="1" applyFill="1" applyBorder="1" applyAlignment="1">
      <alignment horizontal="center"/>
    </xf>
    <xf numFmtId="165" fontId="13" fillId="2" borderId="4" xfId="1" applyNumberFormat="1" applyFont="1" applyFill="1" applyBorder="1" applyAlignment="1">
      <alignment horizontal="center"/>
    </xf>
    <xf numFmtId="165" fontId="13" fillId="2" borderId="17" xfId="1" applyNumberFormat="1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31" xfId="0" applyFont="1" applyFill="1" applyBorder="1"/>
    <xf numFmtId="0" fontId="4" fillId="2" borderId="4" xfId="0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4" fillId="2" borderId="4" xfId="1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165" fontId="4" fillId="2" borderId="17" xfId="1" applyNumberFormat="1" applyFont="1" applyFill="1" applyBorder="1" applyAlignment="1">
      <alignment horizontal="center"/>
    </xf>
    <xf numFmtId="5" fontId="12" fillId="5" borderId="31" xfId="0" applyNumberFormat="1" applyFont="1" applyFill="1" applyBorder="1" applyAlignment="1">
      <alignment horizontal="center"/>
    </xf>
    <xf numFmtId="5" fontId="13" fillId="5" borderId="31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13" fillId="2" borderId="4" xfId="0" applyFont="1" applyFill="1" applyBorder="1"/>
    <xf numFmtId="0" fontId="13" fillId="2" borderId="17" xfId="0" applyFont="1" applyFill="1" applyBorder="1"/>
    <xf numFmtId="0" fontId="13" fillId="2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vertical="top"/>
    </xf>
    <xf numFmtId="0" fontId="12" fillId="2" borderId="16" xfId="0" applyFont="1" applyFill="1" applyBorder="1"/>
    <xf numFmtId="0" fontId="10" fillId="6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6" fontId="12" fillId="2" borderId="29" xfId="0" applyNumberFormat="1" applyFont="1" applyFill="1" applyBorder="1" applyAlignment="1">
      <alignment horizontal="center"/>
    </xf>
    <xf numFmtId="6" fontId="6" fillId="2" borderId="29" xfId="0" applyNumberFormat="1" applyFont="1" applyFill="1" applyBorder="1" applyAlignment="1">
      <alignment horizontal="center"/>
    </xf>
    <xf numFmtId="10" fontId="12" fillId="2" borderId="30" xfId="1" applyNumberFormat="1" applyFont="1" applyFill="1" applyBorder="1" applyAlignment="1">
      <alignment horizontal="center"/>
    </xf>
    <xf numFmtId="10" fontId="6" fillId="2" borderId="30" xfId="1" applyNumberFormat="1" applyFont="1" applyFill="1" applyBorder="1" applyAlignment="1">
      <alignment horizontal="center"/>
    </xf>
    <xf numFmtId="10" fontId="19" fillId="2" borderId="4" xfId="1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2" borderId="4" xfId="0" applyFont="1" applyFill="1" applyBorder="1"/>
    <xf numFmtId="0" fontId="19" fillId="2" borderId="32" xfId="0" applyFont="1" applyFill="1" applyBorder="1" applyAlignment="1">
      <alignment horizontal="center"/>
    </xf>
    <xf numFmtId="0" fontId="19" fillId="2" borderId="32" xfId="0" applyFont="1" applyFill="1" applyBorder="1"/>
    <xf numFmtId="10" fontId="19" fillId="2" borderId="32" xfId="1" applyNumberFormat="1" applyFont="1" applyFill="1" applyBorder="1" applyAlignment="1">
      <alignment horizontal="center"/>
    </xf>
    <xf numFmtId="0" fontId="20" fillId="2" borderId="0" xfId="0" applyFont="1" applyFill="1"/>
    <xf numFmtId="166" fontId="19" fillId="2" borderId="4" xfId="0" applyNumberFormat="1" applyFont="1" applyFill="1" applyBorder="1" applyAlignment="1">
      <alignment horizontal="center"/>
    </xf>
    <xf numFmtId="10" fontId="13" fillId="2" borderId="0" xfId="0" applyNumberFormat="1" applyFont="1" applyFill="1"/>
    <xf numFmtId="167" fontId="13" fillId="2" borderId="0" xfId="0" applyNumberFormat="1" applyFont="1" applyFill="1" applyAlignment="1">
      <alignment horizontal="center"/>
    </xf>
    <xf numFmtId="7" fontId="13" fillId="2" borderId="0" xfId="0" applyNumberFormat="1" applyFont="1" applyFill="1"/>
    <xf numFmtId="7" fontId="13" fillId="2" borderId="0" xfId="0" applyNumberFormat="1" applyFont="1" applyFill="1" applyAlignment="1">
      <alignment horizontal="center"/>
    </xf>
    <xf numFmtId="8" fontId="13" fillId="2" borderId="0" xfId="0" applyNumberFormat="1" applyFont="1" applyFill="1"/>
    <xf numFmtId="0" fontId="13" fillId="2" borderId="33" xfId="0" applyFont="1" applyFill="1" applyBorder="1"/>
    <xf numFmtId="9" fontId="13" fillId="2" borderId="4" xfId="1" applyFont="1" applyFill="1" applyBorder="1" applyAlignment="1">
      <alignment horizontal="center"/>
    </xf>
    <xf numFmtId="0" fontId="12" fillId="2" borderId="12" xfId="0" applyFont="1" applyFill="1" applyBorder="1"/>
    <xf numFmtId="8" fontId="13" fillId="2" borderId="33" xfId="0" applyNumberFormat="1" applyFont="1" applyFill="1" applyBorder="1"/>
    <xf numFmtId="7" fontId="13" fillId="2" borderId="34" xfId="0" applyNumberFormat="1" applyFont="1" applyFill="1" applyBorder="1"/>
    <xf numFmtId="0" fontId="12" fillId="2" borderId="33" xfId="0" applyFont="1" applyFill="1" applyBorder="1"/>
    <xf numFmtId="7" fontId="13" fillId="2" borderId="33" xfId="0" applyNumberFormat="1" applyFont="1" applyFill="1" applyBorder="1"/>
    <xf numFmtId="8" fontId="13" fillId="2" borderId="33" xfId="0" applyNumberFormat="1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7" fontId="13" fillId="2" borderId="33" xfId="0" applyNumberFormat="1" applyFont="1" applyFill="1" applyBorder="1" applyAlignment="1">
      <alignment horizontal="center"/>
    </xf>
    <xf numFmtId="10" fontId="13" fillId="2" borderId="0" xfId="1" applyNumberFormat="1" applyFont="1" applyFill="1"/>
    <xf numFmtId="5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center"/>
    </xf>
    <xf numFmtId="10" fontId="12" fillId="2" borderId="0" xfId="1" applyNumberFormat="1" applyFont="1" applyFill="1" applyAlignment="1">
      <alignment horizontal="center"/>
    </xf>
    <xf numFmtId="4" fontId="13" fillId="2" borderId="0" xfId="0" applyNumberFormat="1" applyFont="1" applyFill="1"/>
    <xf numFmtId="0" fontId="12" fillId="2" borderId="7" xfId="0" applyFont="1" applyFill="1" applyBorder="1"/>
    <xf numFmtId="0" fontId="12" fillId="5" borderId="0" xfId="0" applyFont="1" applyFill="1" applyAlignment="1">
      <alignment horizontal="center"/>
    </xf>
    <xf numFmtId="10" fontId="12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10" fontId="13" fillId="5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5" borderId="0" xfId="0" applyFont="1" applyFill="1"/>
    <xf numFmtId="10" fontId="12" fillId="5" borderId="0" xfId="0" applyNumberFormat="1" applyFont="1" applyFill="1"/>
    <xf numFmtId="168" fontId="12" fillId="7" borderId="0" xfId="0" applyNumberFormat="1" applyFont="1" applyFill="1" applyAlignment="1">
      <alignment horizontal="center"/>
    </xf>
    <xf numFmtId="10" fontId="13" fillId="5" borderId="0" xfId="1" applyNumberFormat="1" applyFont="1" applyFill="1" applyAlignment="1">
      <alignment horizontal="center"/>
    </xf>
    <xf numFmtId="5" fontId="4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18" fillId="2" borderId="0" xfId="0" applyFont="1" applyFill="1" applyAlignment="1">
      <alignment vertical="center"/>
    </xf>
    <xf numFmtId="14" fontId="13" fillId="2" borderId="0" xfId="0" applyNumberFormat="1" applyFont="1" applyFill="1" applyAlignment="1">
      <alignment horizontal="center"/>
    </xf>
    <xf numFmtId="0" fontId="14" fillId="5" borderId="4" xfId="0" applyFont="1" applyFill="1" applyBorder="1" applyAlignment="1">
      <alignment horizontal="right"/>
    </xf>
    <xf numFmtId="0" fontId="14" fillId="5" borderId="17" xfId="0" applyFont="1" applyFill="1" applyBorder="1" applyAlignment="1">
      <alignment horizontal="right"/>
    </xf>
    <xf numFmtId="167" fontId="13" fillId="5" borderId="4" xfId="0" applyNumberFormat="1" applyFont="1" applyFill="1" applyBorder="1" applyAlignment="1">
      <alignment horizontal="center"/>
    </xf>
    <xf numFmtId="167" fontId="13" fillId="5" borderId="17" xfId="0" applyNumberFormat="1" applyFont="1" applyFill="1" applyBorder="1" applyAlignment="1">
      <alignment horizontal="center"/>
    </xf>
    <xf numFmtId="169" fontId="12" fillId="2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167" fontId="13" fillId="2" borderId="4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167" fontId="13" fillId="2" borderId="39" xfId="0" applyNumberFormat="1" applyFont="1" applyFill="1" applyBorder="1" applyAlignment="1">
      <alignment horizontal="center"/>
    </xf>
    <xf numFmtId="10" fontId="13" fillId="2" borderId="39" xfId="0" applyNumberFormat="1" applyFont="1" applyFill="1" applyBorder="1" applyAlignment="1">
      <alignment horizontal="center"/>
    </xf>
    <xf numFmtId="0" fontId="12" fillId="4" borderId="41" xfId="0" applyFont="1" applyFill="1" applyBorder="1" applyAlignment="1">
      <alignment horizontal="center"/>
    </xf>
    <xf numFmtId="3" fontId="13" fillId="2" borderId="0" xfId="0" applyNumberFormat="1" applyFont="1" applyFill="1" applyAlignment="1">
      <alignment horizontal="center"/>
    </xf>
    <xf numFmtId="0" fontId="13" fillId="2" borderId="31" xfId="0" applyFont="1" applyFill="1" applyBorder="1"/>
    <xf numFmtId="0" fontId="13" fillId="2" borderId="31" xfId="0" applyFont="1" applyFill="1" applyBorder="1" applyAlignment="1">
      <alignment horizontal="center"/>
    </xf>
    <xf numFmtId="7" fontId="13" fillId="2" borderId="39" xfId="0" applyNumberFormat="1" applyFont="1" applyFill="1" applyBorder="1" applyAlignment="1">
      <alignment horizontal="center"/>
    </xf>
    <xf numFmtId="171" fontId="13" fillId="2" borderId="39" xfId="0" applyNumberFormat="1" applyFont="1" applyFill="1" applyBorder="1" applyAlignment="1">
      <alignment horizontal="center"/>
    </xf>
    <xf numFmtId="167" fontId="13" fillId="2" borderId="31" xfId="0" applyNumberFormat="1" applyFont="1" applyFill="1" applyBorder="1" applyAlignment="1">
      <alignment horizontal="center"/>
    </xf>
    <xf numFmtId="167" fontId="12" fillId="9" borderId="40" xfId="0" applyNumberFormat="1" applyFont="1" applyFill="1" applyBorder="1" applyAlignment="1">
      <alignment horizontal="center"/>
    </xf>
    <xf numFmtId="167" fontId="12" fillId="10" borderId="39" xfId="0" applyNumberFormat="1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170" fontId="13" fillId="5" borderId="4" xfId="0" applyNumberFormat="1" applyFont="1" applyFill="1" applyBorder="1" applyAlignment="1">
      <alignment horizontal="center"/>
    </xf>
    <xf numFmtId="170" fontId="13" fillId="5" borderId="17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37" fontId="13" fillId="2" borderId="0" xfId="0" applyNumberFormat="1" applyFont="1" applyFill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172" fontId="4" fillId="2" borderId="4" xfId="0" applyNumberFormat="1" applyFont="1" applyFill="1" applyBorder="1" applyAlignment="1">
      <alignment horizontal="center"/>
    </xf>
    <xf numFmtId="172" fontId="4" fillId="2" borderId="17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21" fillId="8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right"/>
    </xf>
    <xf numFmtId="7" fontId="4" fillId="2" borderId="4" xfId="0" applyNumberFormat="1" applyFont="1" applyFill="1" applyBorder="1" applyAlignment="1">
      <alignment horizontal="center"/>
    </xf>
    <xf numFmtId="7" fontId="4" fillId="2" borderId="14" xfId="0" applyNumberFormat="1" applyFont="1" applyFill="1" applyBorder="1" applyAlignment="1">
      <alignment horizontal="center"/>
    </xf>
    <xf numFmtId="7" fontId="4" fillId="2" borderId="17" xfId="0" applyNumberFormat="1" applyFont="1" applyFill="1" applyBorder="1" applyAlignment="1">
      <alignment horizontal="center"/>
    </xf>
    <xf numFmtId="7" fontId="13" fillId="2" borderId="4" xfId="0" applyNumberFormat="1" applyFont="1" applyFill="1" applyBorder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3" fillId="5" borderId="13" xfId="0" applyFont="1" applyFill="1" applyBorder="1" applyAlignment="1">
      <alignment horizontal="center" wrapText="1"/>
    </xf>
    <xf numFmtId="0" fontId="13" fillId="5" borderId="17" xfId="0" applyFont="1" applyFill="1" applyBorder="1" applyAlignment="1">
      <alignment horizontal="center" wrapText="1"/>
    </xf>
    <xf numFmtId="0" fontId="13" fillId="5" borderId="4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13" fillId="2" borderId="1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3" fillId="2" borderId="1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 - S&amp;P 500: Regression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Beta'!$E$21:$E$228</c:f>
              <c:numCache>
                <c:formatCode>0.00%</c:formatCode>
                <c:ptCount val="208"/>
                <c:pt idx="0">
                  <c:v>-1.0687039515927225E-2</c:v>
                </c:pt>
                <c:pt idx="1">
                  <c:v>-1.6977983182489251E-2</c:v>
                </c:pt>
                <c:pt idx="2">
                  <c:v>5.4047653950677219E-2</c:v>
                </c:pt>
                <c:pt idx="3">
                  <c:v>-1.2230031521848114E-2</c:v>
                </c:pt>
                <c:pt idx="4">
                  <c:v>8.9603864265255503E-2</c:v>
                </c:pt>
                <c:pt idx="5">
                  <c:v>3.6375528275306997E-2</c:v>
                </c:pt>
                <c:pt idx="6">
                  <c:v>5.1501124189921886E-2</c:v>
                </c:pt>
                <c:pt idx="7">
                  <c:v>1.8815921980177995E-3</c:v>
                </c:pt>
                <c:pt idx="8">
                  <c:v>-1.2056709735694978E-2</c:v>
                </c:pt>
                <c:pt idx="9">
                  <c:v>5.6862989249989657E-2</c:v>
                </c:pt>
                <c:pt idx="10">
                  <c:v>4.2934556065025954E-3</c:v>
                </c:pt>
                <c:pt idx="11">
                  <c:v>1.7459532056266377E-2</c:v>
                </c:pt>
                <c:pt idx="12">
                  <c:v>9.0153060496698436E-3</c:v>
                </c:pt>
                <c:pt idx="13">
                  <c:v>5.6953490373856308E-3</c:v>
                </c:pt>
                <c:pt idx="14">
                  <c:v>4.6998212595941488E-2</c:v>
                </c:pt>
                <c:pt idx="15">
                  <c:v>-5.0730733585228546E-2</c:v>
                </c:pt>
                <c:pt idx="16">
                  <c:v>2.1289298559841574E-2</c:v>
                </c:pt>
                <c:pt idx="17">
                  <c:v>1.8781432195469263E-2</c:v>
                </c:pt>
                <c:pt idx="18">
                  <c:v>6.3302520743288002E-2</c:v>
                </c:pt>
                <c:pt idx="19">
                  <c:v>3.3081285444234519E-2</c:v>
                </c:pt>
                <c:pt idx="20">
                  <c:v>-2.8081790392321487E-2</c:v>
                </c:pt>
                <c:pt idx="21">
                  <c:v>-3.1104935737518982E-3</c:v>
                </c:pt>
                <c:pt idx="22">
                  <c:v>-2.2019765287214315E-2</c:v>
                </c:pt>
                <c:pt idx="23">
                  <c:v>-6.2332585245782897E-2</c:v>
                </c:pt>
                <c:pt idx="24">
                  <c:v>2.336711711711709E-2</c:v>
                </c:pt>
                <c:pt idx="25">
                  <c:v>-1.638197399871744E-2</c:v>
                </c:pt>
                <c:pt idx="26">
                  <c:v>2.5008216558606484E-2</c:v>
                </c:pt>
                <c:pt idx="27">
                  <c:v>4.3509439256707201E-2</c:v>
                </c:pt>
                <c:pt idx="28">
                  <c:v>-2.3378323618337531E-4</c:v>
                </c:pt>
                <c:pt idx="29">
                  <c:v>-7.9319675299574718E-3</c:v>
                </c:pt>
                <c:pt idx="30">
                  <c:v>4.1297697633231323E-2</c:v>
                </c:pt>
                <c:pt idx="31">
                  <c:v>1.6746607297788429E-2</c:v>
                </c:pt>
                <c:pt idx="32">
                  <c:v>5.4423999723823613E-2</c:v>
                </c:pt>
                <c:pt idx="33">
                  <c:v>3.226841045560646E-2</c:v>
                </c:pt>
                <c:pt idx="34">
                  <c:v>1.1152349380224948E-2</c:v>
                </c:pt>
                <c:pt idx="35">
                  <c:v>-0.1088418990735836</c:v>
                </c:pt>
                <c:pt idx="36">
                  <c:v>-2.0984626992360512E-2</c:v>
                </c:pt>
                <c:pt idx="37">
                  <c:v>4.7503004956119255E-2</c:v>
                </c:pt>
                <c:pt idx="38">
                  <c:v>-3.2929411952038898E-2</c:v>
                </c:pt>
                <c:pt idx="39">
                  <c:v>3.6525384564600243E-2</c:v>
                </c:pt>
                <c:pt idx="40">
                  <c:v>1.7525875467080212E-3</c:v>
                </c:pt>
                <c:pt idx="41">
                  <c:v>-2.3444311686634127E-2</c:v>
                </c:pt>
                <c:pt idx="42">
                  <c:v>6.1313318253478799E-2</c:v>
                </c:pt>
                <c:pt idx="43">
                  <c:v>-6.6786539943505439E-4</c:v>
                </c:pt>
                <c:pt idx="44">
                  <c:v>4.0315684458063127E-2</c:v>
                </c:pt>
                <c:pt idx="45">
                  <c:v>-5.8798526494756595E-3</c:v>
                </c:pt>
                <c:pt idx="46">
                  <c:v>-1.0132884541215198E-2</c:v>
                </c:pt>
                <c:pt idx="47">
                  <c:v>0.18111605756289464</c:v>
                </c:pt>
                <c:pt idx="48">
                  <c:v>-1.871342652795846E-2</c:v>
                </c:pt>
                <c:pt idx="49">
                  <c:v>3.8180820993123282E-2</c:v>
                </c:pt>
                <c:pt idx="50">
                  <c:v>-2.633092343082483E-2</c:v>
                </c:pt>
                <c:pt idx="51">
                  <c:v>2.465280631111935E-4</c:v>
                </c:pt>
                <c:pt idx="52">
                  <c:v>3.1140109308138771E-2</c:v>
                </c:pt>
                <c:pt idx="53">
                  <c:v>4.0329689703808208E-2</c:v>
                </c:pt>
                <c:pt idx="54">
                  <c:v>-2.5722506119294067E-2</c:v>
                </c:pt>
                <c:pt idx="55">
                  <c:v>-2.8818083242972709E-2</c:v>
                </c:pt>
                <c:pt idx="56">
                  <c:v>2.9297503809748614E-2</c:v>
                </c:pt>
                <c:pt idx="57">
                  <c:v>4.1744924425364489E-2</c:v>
                </c:pt>
                <c:pt idx="58">
                  <c:v>3.4415764640577287E-2</c:v>
                </c:pt>
                <c:pt idx="59">
                  <c:v>8.6686606177897321E-2</c:v>
                </c:pt>
                <c:pt idx="60">
                  <c:v>-7.7065043894652217E-3</c:v>
                </c:pt>
                <c:pt idx="61">
                  <c:v>0.1273054430949167</c:v>
                </c:pt>
                <c:pt idx="62">
                  <c:v>-6.7704647322481673E-2</c:v>
                </c:pt>
                <c:pt idx="63">
                  <c:v>1.0354872881355847E-2</c:v>
                </c:pt>
                <c:pt idx="64">
                  <c:v>-5.8186988230957042E-3</c:v>
                </c:pt>
                <c:pt idx="65">
                  <c:v>-4.315513679649316E-2</c:v>
                </c:pt>
                <c:pt idx="66">
                  <c:v>-0.10356820234869019</c:v>
                </c:pt>
                <c:pt idx="67">
                  <c:v>6.6381740474675275E-3</c:v>
                </c:pt>
                <c:pt idx="68">
                  <c:v>5.7327596567555282E-2</c:v>
                </c:pt>
                <c:pt idx="69">
                  <c:v>2.8428052307616247E-2</c:v>
                </c:pt>
                <c:pt idx="70">
                  <c:v>-4.062514822368745E-2</c:v>
                </c:pt>
                <c:pt idx="71">
                  <c:v>-2.3030583873957362E-2</c:v>
                </c:pt>
                <c:pt idx="72">
                  <c:v>1.3669030954953381E-2</c:v>
                </c:pt>
                <c:pt idx="73">
                  <c:v>-4.0233918128655607E-3</c:v>
                </c:pt>
                <c:pt idx="74">
                  <c:v>-3.2608449684324914E-2</c:v>
                </c:pt>
                <c:pt idx="75">
                  <c:v>8.6966446016891168E-3</c:v>
                </c:pt>
                <c:pt idx="76">
                  <c:v>-5.4257758405411843E-3</c:v>
                </c:pt>
                <c:pt idx="77">
                  <c:v>3.8842507428894932E-2</c:v>
                </c:pt>
                <c:pt idx="78">
                  <c:v>-1.8381331604778214E-2</c:v>
                </c:pt>
                <c:pt idx="79">
                  <c:v>2.8427217751535637E-2</c:v>
                </c:pt>
                <c:pt idx="80">
                  <c:v>4.8817639273853103E-2</c:v>
                </c:pt>
                <c:pt idx="81">
                  <c:v>5.698374155405414E-2</c:v>
                </c:pt>
                <c:pt idx="82">
                  <c:v>3.7004598204510568E-2</c:v>
                </c:pt>
                <c:pt idx="83">
                  <c:v>7.4936008708699958E-2</c:v>
                </c:pt>
                <c:pt idx="84">
                  <c:v>5.3073491138926746E-2</c:v>
                </c:pt>
                <c:pt idx="85">
                  <c:v>-2.1731882520534707E-2</c:v>
                </c:pt>
                <c:pt idx="86">
                  <c:v>5.9454844807609866E-3</c:v>
                </c:pt>
                <c:pt idx="87">
                  <c:v>-3.1450255441041776E-2</c:v>
                </c:pt>
                <c:pt idx="88">
                  <c:v>-2.062888633483596E-3</c:v>
                </c:pt>
                <c:pt idx="89">
                  <c:v>-1.7801319902744105E-2</c:v>
                </c:pt>
                <c:pt idx="90">
                  <c:v>5.2041779591339668E-2</c:v>
                </c:pt>
                <c:pt idx="91">
                  <c:v>8.2009884678747896E-2</c:v>
                </c:pt>
                <c:pt idx="92">
                  <c:v>3.6685339527257853E-2</c:v>
                </c:pt>
                <c:pt idx="93">
                  <c:v>-7.1133955200203103E-2</c:v>
                </c:pt>
                <c:pt idx="94">
                  <c:v>-6.2115718114455955E-3</c:v>
                </c:pt>
                <c:pt idx="95">
                  <c:v>-8.8544660305782286E-2</c:v>
                </c:pt>
                <c:pt idx="96">
                  <c:v>1.7273146015660003E-3</c:v>
                </c:pt>
                <c:pt idx="97">
                  <c:v>-5.0669581852965197E-2</c:v>
                </c:pt>
                <c:pt idx="98">
                  <c:v>1.4219585885744368E-2</c:v>
                </c:pt>
                <c:pt idx="99">
                  <c:v>5.3343065693430607E-2</c:v>
                </c:pt>
                <c:pt idx="100">
                  <c:v>2.9084790577489354E-2</c:v>
                </c:pt>
                <c:pt idx="101">
                  <c:v>5.4729836792901221E-2</c:v>
                </c:pt>
                <c:pt idx="102">
                  <c:v>7.0096310363537764E-2</c:v>
                </c:pt>
                <c:pt idx="103">
                  <c:v>-2.7122321670729622E-4</c:v>
                </c:pt>
                <c:pt idx="104">
                  <c:v>1.4619380138282137E-2</c:v>
                </c:pt>
                <c:pt idx="105">
                  <c:v>-9.1559638761288753E-2</c:v>
                </c:pt>
                <c:pt idx="106">
                  <c:v>-1.2484004868762962E-3</c:v>
                </c:pt>
                <c:pt idx="107">
                  <c:v>0.12211949289066332</c:v>
                </c:pt>
                <c:pt idx="108">
                  <c:v>-8.4728106118480365E-3</c:v>
                </c:pt>
                <c:pt idx="109">
                  <c:v>-7.4104711680969817E-3</c:v>
                </c:pt>
                <c:pt idx="110">
                  <c:v>0.11250431381571369</c:v>
                </c:pt>
                <c:pt idx="111">
                  <c:v>-0.1181184904639524</c:v>
                </c:pt>
                <c:pt idx="112">
                  <c:v>2.123838795455342E-2</c:v>
                </c:pt>
                <c:pt idx="113">
                  <c:v>0.25899999999999995</c:v>
                </c:pt>
                <c:pt idx="114">
                  <c:v>2.3359288097886542E-2</c:v>
                </c:pt>
                <c:pt idx="115">
                  <c:v>-4.540434930343186E-2</c:v>
                </c:pt>
                <c:pt idx="116">
                  <c:v>3.9883397376440977E-2</c:v>
                </c:pt>
                <c:pt idx="117">
                  <c:v>-5.7135718152667304E-2</c:v>
                </c:pt>
                <c:pt idx="118">
                  <c:v>2.8085798689900254E-2</c:v>
                </c:pt>
                <c:pt idx="119">
                  <c:v>3.2992791119366587E-2</c:v>
                </c:pt>
                <c:pt idx="120">
                  <c:v>1.2674668577570819E-2</c:v>
                </c:pt>
                <c:pt idx="121">
                  <c:v>-7.4141648697959847E-2</c:v>
                </c:pt>
                <c:pt idx="122">
                  <c:v>-3.265142398716412E-2</c:v>
                </c:pt>
                <c:pt idx="123">
                  <c:v>9.930328953170478E-2</c:v>
                </c:pt>
                <c:pt idx="124">
                  <c:v>8.3592707870164314E-3</c:v>
                </c:pt>
                <c:pt idx="125">
                  <c:v>2.0232262747232842E-2</c:v>
                </c:pt>
                <c:pt idx="126">
                  <c:v>0.16567077362381674</c:v>
                </c:pt>
                <c:pt idx="127">
                  <c:v>1.1391592683709616E-2</c:v>
                </c:pt>
                <c:pt idx="128">
                  <c:v>3.9066407335370944E-2</c:v>
                </c:pt>
                <c:pt idx="129">
                  <c:v>-5.7112915902541292E-2</c:v>
                </c:pt>
                <c:pt idx="130">
                  <c:v>8.7402427212124684E-2</c:v>
                </c:pt>
                <c:pt idx="131">
                  <c:v>-4.0614409095878469E-2</c:v>
                </c:pt>
                <c:pt idx="132">
                  <c:v>-8.0611116695145202E-2</c:v>
                </c:pt>
                <c:pt idx="133">
                  <c:v>1.9416978328807788E-2</c:v>
                </c:pt>
                <c:pt idx="134">
                  <c:v>4.7437617386638063E-2</c:v>
                </c:pt>
                <c:pt idx="135">
                  <c:v>-6.8748667661479006E-3</c:v>
                </c:pt>
                <c:pt idx="136">
                  <c:v>3.6856937613969097E-2</c:v>
                </c:pt>
                <c:pt idx="137">
                  <c:v>-4.9327589829796251E-2</c:v>
                </c:pt>
                <c:pt idx="138">
                  <c:v>-0.11674090571640681</c:v>
                </c:pt>
                <c:pt idx="139">
                  <c:v>-0.36821739512795704</c:v>
                </c:pt>
                <c:pt idx="140">
                  <c:v>-4.1446555018545578E-2</c:v>
                </c:pt>
                <c:pt idx="141">
                  <c:v>-4.7098829892628674E-2</c:v>
                </c:pt>
                <c:pt idx="142">
                  <c:v>-1.0164504480406457E-3</c:v>
                </c:pt>
                <c:pt idx="143">
                  <c:v>-1.7735155018392013E-2</c:v>
                </c:pt>
                <c:pt idx="144">
                  <c:v>0.11835919134931838</c:v>
                </c:pt>
                <c:pt idx="145">
                  <c:v>-5.9187791999557746E-2</c:v>
                </c:pt>
                <c:pt idx="146">
                  <c:v>-7.4385875127942661E-2</c:v>
                </c:pt>
                <c:pt idx="147">
                  <c:v>-1.2522681387206651E-3</c:v>
                </c:pt>
                <c:pt idx="148">
                  <c:v>-5.111037285012346E-5</c:v>
                </c:pt>
                <c:pt idx="149">
                  <c:v>-4.5980934734378462E-2</c:v>
                </c:pt>
                <c:pt idx="150">
                  <c:v>6.7150587990425642E-2</c:v>
                </c:pt>
                <c:pt idx="151">
                  <c:v>-3.3056603773584874E-2</c:v>
                </c:pt>
                <c:pt idx="152">
                  <c:v>-0.24385093876619307</c:v>
                </c:pt>
                <c:pt idx="153">
                  <c:v>-2.8407200680146179E-2</c:v>
                </c:pt>
                <c:pt idx="154">
                  <c:v>-0.10188566496248606</c:v>
                </c:pt>
                <c:pt idx="155">
                  <c:v>-1.8971160579068176E-2</c:v>
                </c:pt>
                <c:pt idx="156">
                  <c:v>4.6631329572375729E-2</c:v>
                </c:pt>
                <c:pt idx="157">
                  <c:v>-4.0757937416211538E-2</c:v>
                </c:pt>
                <c:pt idx="158">
                  <c:v>1.5827146961619538E-2</c:v>
                </c:pt>
                <c:pt idx="159">
                  <c:v>-9.5411934378943561E-2</c:v>
                </c:pt>
                <c:pt idx="160">
                  <c:v>-1.9387153800824938E-2</c:v>
                </c:pt>
                <c:pt idx="161">
                  <c:v>-5.5815179970994553E-3</c:v>
                </c:pt>
                <c:pt idx="162">
                  <c:v>5.7130025398005303E-2</c:v>
                </c:pt>
                <c:pt idx="163">
                  <c:v>-6.459416783763805E-2</c:v>
                </c:pt>
                <c:pt idx="164">
                  <c:v>3.8403682421252104E-2</c:v>
                </c:pt>
                <c:pt idx="165">
                  <c:v>5.8078275955370948E-2</c:v>
                </c:pt>
                <c:pt idx="166">
                  <c:v>-6.9073435968766868E-3</c:v>
                </c:pt>
                <c:pt idx="167">
                  <c:v>3.1819293810649907E-2</c:v>
                </c:pt>
                <c:pt idx="168">
                  <c:v>3.5044480831884384E-2</c:v>
                </c:pt>
                <c:pt idx="169">
                  <c:v>5.1582251633154556E-3</c:v>
                </c:pt>
                <c:pt idx="170">
                  <c:v>-1.5650053447354362E-2</c:v>
                </c:pt>
                <c:pt idx="171">
                  <c:v>1.386889743112129E-2</c:v>
                </c:pt>
                <c:pt idx="172">
                  <c:v>5.6555499892650136E-2</c:v>
                </c:pt>
                <c:pt idx="173">
                  <c:v>2.2015798712697418E-2</c:v>
                </c:pt>
                <c:pt idx="174">
                  <c:v>6.0009303768026129E-2</c:v>
                </c:pt>
                <c:pt idx="175">
                  <c:v>-8.8944385745845667E-3</c:v>
                </c:pt>
                <c:pt idx="176">
                  <c:v>5.7576752902987116E-3</c:v>
                </c:pt>
                <c:pt idx="177">
                  <c:v>4.1908383616927917E-3</c:v>
                </c:pt>
                <c:pt idx="178">
                  <c:v>-2.8096773585261411E-2</c:v>
                </c:pt>
                <c:pt idx="179">
                  <c:v>-1.0578752938542619E-2</c:v>
                </c:pt>
                <c:pt idx="180">
                  <c:v>3.7454586314094158E-3</c:v>
                </c:pt>
                <c:pt idx="181">
                  <c:v>1.3110213064678255E-2</c:v>
                </c:pt>
                <c:pt idx="182">
                  <c:v>5.2519120554346446E-2</c:v>
                </c:pt>
                <c:pt idx="183">
                  <c:v>2.4551425005626369E-2</c:v>
                </c:pt>
                <c:pt idx="184">
                  <c:v>-1.2066944253547372E-2</c:v>
                </c:pt>
                <c:pt idx="185">
                  <c:v>-1.6049800123307E-2</c:v>
                </c:pt>
                <c:pt idx="186">
                  <c:v>9.8817007772801536E-3</c:v>
                </c:pt>
                <c:pt idx="187">
                  <c:v>9.1614812412590587E-3</c:v>
                </c:pt>
                <c:pt idx="188">
                  <c:v>-2.0780406478247006E-2</c:v>
                </c:pt>
                <c:pt idx="189">
                  <c:v>-1.8754747112781762E-2</c:v>
                </c:pt>
                <c:pt idx="190">
                  <c:v>1.5666106220947513E-2</c:v>
                </c:pt>
                <c:pt idx="191">
                  <c:v>-7.4999085153877029E-2</c:v>
                </c:pt>
                <c:pt idx="192">
                  <c:v>-1.5792980497379809E-2</c:v>
                </c:pt>
                <c:pt idx="193">
                  <c:v>2.9457565533350612E-2</c:v>
                </c:pt>
                <c:pt idx="194">
                  <c:v>6.1745891152445519E-2</c:v>
                </c:pt>
                <c:pt idx="195">
                  <c:v>-8.0635714006793303E-3</c:v>
                </c:pt>
                <c:pt idx="196">
                  <c:v>-1.1273695996293642E-2</c:v>
                </c:pt>
                <c:pt idx="197">
                  <c:v>3.1565289800344612E-3</c:v>
                </c:pt>
                <c:pt idx="198">
                  <c:v>-4.1681358448547902E-2</c:v>
                </c:pt>
                <c:pt idx="199">
                  <c:v>-2.5360038502832264E-3</c:v>
                </c:pt>
                <c:pt idx="200">
                  <c:v>-2.9289154028606258E-2</c:v>
                </c:pt>
                <c:pt idx="201">
                  <c:v>1.0403238984004828E-2</c:v>
                </c:pt>
                <c:pt idx="202">
                  <c:v>3.4561129998685131E-2</c:v>
                </c:pt>
                <c:pt idx="203">
                  <c:v>-5.8000247713077435E-2</c:v>
                </c:pt>
                <c:pt idx="204">
                  <c:v>0.1349250973934695</c:v>
                </c:pt>
                <c:pt idx="205">
                  <c:v>-2.4333855799372962E-2</c:v>
                </c:pt>
                <c:pt idx="206">
                  <c:v>-5.6090840160523812E-2</c:v>
                </c:pt>
                <c:pt idx="207">
                  <c:v>5.2065295639823317E-2</c:v>
                </c:pt>
              </c:numCache>
            </c:numRef>
          </c:xVal>
          <c:yVal>
            <c:numRef>
              <c:f>'Regression Beta'!$AC$21:$AC$228</c:f>
              <c:numCache>
                <c:formatCode>0.00%</c:formatCode>
                <c:ptCount val="208"/>
                <c:pt idx="0">
                  <c:v>-1.9870800136834815E-2</c:v>
                </c:pt>
                <c:pt idx="1">
                  <c:v>-6.4332123206360782E-3</c:v>
                </c:pt>
                <c:pt idx="2">
                  <c:v>9.5965439842981247E-3</c:v>
                </c:pt>
                <c:pt idx="3">
                  <c:v>1.0560631493598951E-2</c:v>
                </c:pt>
                <c:pt idx="4">
                  <c:v>1.6815941076070373E-2</c:v>
                </c:pt>
                <c:pt idx="5">
                  <c:v>-2.0835487712532994E-2</c:v>
                </c:pt>
                <c:pt idx="6">
                  <c:v>4.6561234464460234E-2</c:v>
                </c:pt>
                <c:pt idx="7">
                  <c:v>-1.365674262928447E-2</c:v>
                </c:pt>
                <c:pt idx="8">
                  <c:v>-9.6424862780003281E-3</c:v>
                </c:pt>
                <c:pt idx="9">
                  <c:v>8.5364993817745281E-3</c:v>
                </c:pt>
                <c:pt idx="10">
                  <c:v>1.1121408711770165E-2</c:v>
                </c:pt>
                <c:pt idx="11">
                  <c:v>2.2481034894399495E-3</c:v>
                </c:pt>
                <c:pt idx="12">
                  <c:v>6.2463283969452065E-3</c:v>
                </c:pt>
                <c:pt idx="13">
                  <c:v>1.3602866680175282E-2</c:v>
                </c:pt>
                <c:pt idx="14">
                  <c:v>4.0233561742616213E-2</c:v>
                </c:pt>
                <c:pt idx="15">
                  <c:v>-4.2486367820975778E-2</c:v>
                </c:pt>
                <c:pt idx="16">
                  <c:v>2.4473743524396478E-3</c:v>
                </c:pt>
                <c:pt idx="17">
                  <c:v>1.4468200027006288E-2</c:v>
                </c:pt>
                <c:pt idx="18">
                  <c:v>3.9312071494865451E-2</c:v>
                </c:pt>
                <c:pt idx="19">
                  <c:v>-4.4888676083323583E-4</c:v>
                </c:pt>
                <c:pt idx="20">
                  <c:v>-2.0615119708376831E-2</c:v>
                </c:pt>
                <c:pt idx="21">
                  <c:v>-8.337874659400479E-3</c:v>
                </c:pt>
                <c:pt idx="22">
                  <c:v>-1.9651491002341859E-2</c:v>
                </c:pt>
                <c:pt idx="23">
                  <c:v>8.6506837381157761E-3</c:v>
                </c:pt>
                <c:pt idx="24">
                  <c:v>1.954223804500704E-2</c:v>
                </c:pt>
                <c:pt idx="25">
                  <c:v>-7.5760071148594545E-4</c:v>
                </c:pt>
                <c:pt idx="26">
                  <c:v>6.0792400029456373E-3</c:v>
                </c:pt>
                <c:pt idx="27">
                  <c:v>1.5823856038631189E-2</c:v>
                </c:pt>
                <c:pt idx="28">
                  <c:v>1.3165299544671551E-2</c:v>
                </c:pt>
                <c:pt idx="29">
                  <c:v>-5.1293941998823752E-3</c:v>
                </c:pt>
                <c:pt idx="30">
                  <c:v>2.7341621301570882E-4</c:v>
                </c:pt>
                <c:pt idx="31">
                  <c:v>1.5430775004403896E-2</c:v>
                </c:pt>
                <c:pt idx="32">
                  <c:v>1.8505047983634341E-2</c:v>
                </c:pt>
                <c:pt idx="33">
                  <c:v>5.4569055443571962E-3</c:v>
                </c:pt>
                <c:pt idx="34">
                  <c:v>2.6721130287907041E-2</c:v>
                </c:pt>
                <c:pt idx="35">
                  <c:v>-3.0483603693633791E-2</c:v>
                </c:pt>
                <c:pt idx="36">
                  <c:v>-1.5550482866223247E-2</c:v>
                </c:pt>
                <c:pt idx="37">
                  <c:v>-9.5178280853007915E-3</c:v>
                </c:pt>
                <c:pt idx="38">
                  <c:v>3.8535166922039499E-3</c:v>
                </c:pt>
                <c:pt idx="39">
                  <c:v>2.2882145907146472E-2</c:v>
                </c:pt>
                <c:pt idx="40">
                  <c:v>-1.288134137701433E-3</c:v>
                </c:pt>
                <c:pt idx="41">
                  <c:v>-2.6065391233931197E-3</c:v>
                </c:pt>
                <c:pt idx="42">
                  <c:v>9.4875019650997768E-3</c:v>
                </c:pt>
                <c:pt idx="43">
                  <c:v>1.662747699063253E-2</c:v>
                </c:pt>
                <c:pt idx="44">
                  <c:v>-4.1857235791119595E-3</c:v>
                </c:pt>
                <c:pt idx="45">
                  <c:v>1.3713520522888472E-2</c:v>
                </c:pt>
                <c:pt idx="46">
                  <c:v>1.3829567549995075E-2</c:v>
                </c:pt>
                <c:pt idx="47">
                  <c:v>1.0570662897923648E-2</c:v>
                </c:pt>
                <c:pt idx="48">
                  <c:v>1.1701920845849555E-2</c:v>
                </c:pt>
                <c:pt idx="49">
                  <c:v>1.8434229462407744E-2</c:v>
                </c:pt>
                <c:pt idx="50">
                  <c:v>-1.5218571731068014E-2</c:v>
                </c:pt>
                <c:pt idx="51">
                  <c:v>3.1968838795026779E-3</c:v>
                </c:pt>
                <c:pt idx="52">
                  <c:v>7.5097633280288593E-3</c:v>
                </c:pt>
                <c:pt idx="53">
                  <c:v>2.4937179244934642E-2</c:v>
                </c:pt>
                <c:pt idx="54">
                  <c:v>2.119866017502994E-3</c:v>
                </c:pt>
                <c:pt idx="55">
                  <c:v>7.7401553733654352E-3</c:v>
                </c:pt>
                <c:pt idx="56">
                  <c:v>1.003983145843388E-2</c:v>
                </c:pt>
                <c:pt idx="57">
                  <c:v>2.237250976164391E-2</c:v>
                </c:pt>
                <c:pt idx="58">
                  <c:v>1.3055429360719822E-2</c:v>
                </c:pt>
                <c:pt idx="59">
                  <c:v>5.8525223625761166E-2</c:v>
                </c:pt>
                <c:pt idx="60">
                  <c:v>-2.5280765880080294E-2</c:v>
                </c:pt>
                <c:pt idx="61">
                  <c:v>-2.394299155687209E-2</c:v>
                </c:pt>
                <c:pt idx="62">
                  <c:v>4.4748752466054883E-3</c:v>
                </c:pt>
                <c:pt idx="63">
                  <c:v>4.7690675248655721E-3</c:v>
                </c:pt>
                <c:pt idx="64">
                  <c:v>-7.4096193108429548E-3</c:v>
                </c:pt>
                <c:pt idx="65">
                  <c:v>-2.9269805317370282E-2</c:v>
                </c:pt>
                <c:pt idx="66">
                  <c:v>-1.6085285665251236E-3</c:v>
                </c:pt>
                <c:pt idx="67">
                  <c:v>-1.2905883160568551E-2</c:v>
                </c:pt>
                <c:pt idx="68">
                  <c:v>2.4981217556307701E-2</c:v>
                </c:pt>
                <c:pt idx="69">
                  <c:v>8.2385329918919104E-3</c:v>
                </c:pt>
                <c:pt idx="70">
                  <c:v>-2.1133275836964224E-2</c:v>
                </c:pt>
                <c:pt idx="71">
                  <c:v>-3.1219085178079567E-3</c:v>
                </c:pt>
                <c:pt idx="72">
                  <c:v>-2.2740019597444875E-2</c:v>
                </c:pt>
                <c:pt idx="73">
                  <c:v>1.0116084773187066E-2</c:v>
                </c:pt>
                <c:pt idx="74">
                  <c:v>6.862845195342515E-3</c:v>
                </c:pt>
                <c:pt idx="75">
                  <c:v>2.4203503108696452E-2</c:v>
                </c:pt>
                <c:pt idx="76">
                  <c:v>-1.155631653926188E-2</c:v>
                </c:pt>
                <c:pt idx="77">
                  <c:v>2.3468779968401705E-2</c:v>
                </c:pt>
                <c:pt idx="78">
                  <c:v>-1.3892448050725854E-2</c:v>
                </c:pt>
                <c:pt idx="79">
                  <c:v>2.5757991653601299E-2</c:v>
                </c:pt>
                <c:pt idx="80">
                  <c:v>3.8506714739734733E-3</c:v>
                </c:pt>
                <c:pt idx="81">
                  <c:v>1.8290551546207914E-2</c:v>
                </c:pt>
                <c:pt idx="82">
                  <c:v>3.2132786893067848E-3</c:v>
                </c:pt>
                <c:pt idx="83">
                  <c:v>1.646427809353835E-2</c:v>
                </c:pt>
                <c:pt idx="84">
                  <c:v>-2.9422786340284248E-3</c:v>
                </c:pt>
                <c:pt idx="85">
                  <c:v>-7.9698187783607474E-3</c:v>
                </c:pt>
                <c:pt idx="86">
                  <c:v>8.6996071145171959E-3</c:v>
                </c:pt>
                <c:pt idx="87">
                  <c:v>-9.95736700147884E-4</c:v>
                </c:pt>
                <c:pt idx="88">
                  <c:v>7.9463681053928824E-3</c:v>
                </c:pt>
                <c:pt idx="89">
                  <c:v>-1.0439708856231249E-3</c:v>
                </c:pt>
                <c:pt idx="90">
                  <c:v>3.4832623602678581E-2</c:v>
                </c:pt>
                <c:pt idx="91">
                  <c:v>1.3876690224273845E-2</c:v>
                </c:pt>
                <c:pt idx="92">
                  <c:v>1.4255785829153204E-2</c:v>
                </c:pt>
                <c:pt idx="93">
                  <c:v>-4.5493420076922253E-2</c:v>
                </c:pt>
                <c:pt idx="94">
                  <c:v>1.9042629293407599E-2</c:v>
                </c:pt>
                <c:pt idx="95">
                  <c:v>-2.6733903885425469E-2</c:v>
                </c:pt>
                <c:pt idx="96">
                  <c:v>-2.779638475868213E-3</c:v>
                </c:pt>
                <c:pt idx="97">
                  <c:v>-1.1125401307391678E-2</c:v>
                </c:pt>
                <c:pt idx="98">
                  <c:v>1.6194331983805575E-2</c:v>
                </c:pt>
                <c:pt idx="99">
                  <c:v>2.4656334248768397E-2</c:v>
                </c:pt>
                <c:pt idx="100">
                  <c:v>-6.6215063927043448E-3</c:v>
                </c:pt>
                <c:pt idx="101">
                  <c:v>2.6702917526726079E-2</c:v>
                </c:pt>
                <c:pt idx="102">
                  <c:v>1.4475843208751121E-2</c:v>
                </c:pt>
                <c:pt idx="103">
                  <c:v>-1.3836798601755513E-3</c:v>
                </c:pt>
                <c:pt idx="104">
                  <c:v>-1.957241794640159E-3</c:v>
                </c:pt>
                <c:pt idx="105">
                  <c:v>-2.0846994952190685E-2</c:v>
                </c:pt>
                <c:pt idx="106">
                  <c:v>-3.3725470933516646E-2</c:v>
                </c:pt>
                <c:pt idx="107">
                  <c:v>1.1321073390758329E-2</c:v>
                </c:pt>
                <c:pt idx="108">
                  <c:v>1.5327815521493678E-2</c:v>
                </c:pt>
                <c:pt idx="109">
                  <c:v>-6.9097129175817486E-3</c:v>
                </c:pt>
                <c:pt idx="110">
                  <c:v>5.8978133163596728E-2</c:v>
                </c:pt>
                <c:pt idx="111">
                  <c:v>-3.345500966403997E-2</c:v>
                </c:pt>
                <c:pt idx="112">
                  <c:v>3.9520351742055808E-2</c:v>
                </c:pt>
                <c:pt idx="113">
                  <c:v>4.7356038257695167E-2</c:v>
                </c:pt>
                <c:pt idx="114">
                  <c:v>-1.5548155596951279E-2</c:v>
                </c:pt>
                <c:pt idx="115">
                  <c:v>1.5071312632124979E-2</c:v>
                </c:pt>
                <c:pt idx="116">
                  <c:v>-2.9137096796029525E-2</c:v>
                </c:pt>
                <c:pt idx="117">
                  <c:v>-4.6497458259430496E-2</c:v>
                </c:pt>
                <c:pt idx="118">
                  <c:v>-4.770416191337875E-2</c:v>
                </c:pt>
                <c:pt idx="119">
                  <c:v>3.6465473745368529E-2</c:v>
                </c:pt>
                <c:pt idx="120">
                  <c:v>-3.2876091146128467E-2</c:v>
                </c:pt>
                <c:pt idx="121">
                  <c:v>-4.0397495080974656E-2</c:v>
                </c:pt>
                <c:pt idx="122">
                  <c:v>-1.2072006822190829E-2</c:v>
                </c:pt>
                <c:pt idx="123">
                  <c:v>3.2558218079267787E-2</c:v>
                </c:pt>
                <c:pt idx="124">
                  <c:v>3.6074948732412581E-3</c:v>
                </c:pt>
                <c:pt idx="125">
                  <c:v>4.2573385197507051E-2</c:v>
                </c:pt>
                <c:pt idx="126">
                  <c:v>2.5489495646051488E-2</c:v>
                </c:pt>
                <c:pt idx="127">
                  <c:v>-9.2886561453359908E-3</c:v>
                </c:pt>
                <c:pt idx="128">
                  <c:v>1.9357807038869898E-2</c:v>
                </c:pt>
                <c:pt idx="129">
                  <c:v>-2.2089913951336197E-2</c:v>
                </c:pt>
                <c:pt idx="130">
                  <c:v>6.4465391690522483E-2</c:v>
                </c:pt>
                <c:pt idx="131">
                  <c:v>-5.7941069405208073E-2</c:v>
                </c:pt>
                <c:pt idx="132">
                  <c:v>-5.0548369980577004E-2</c:v>
                </c:pt>
                <c:pt idx="133">
                  <c:v>-1.1952172072799987E-2</c:v>
                </c:pt>
                <c:pt idx="134">
                  <c:v>6.5843705784649362E-2</c:v>
                </c:pt>
                <c:pt idx="135">
                  <c:v>-3.0450633590878417E-2</c:v>
                </c:pt>
                <c:pt idx="136">
                  <c:v>-2.4118796897660701E-2</c:v>
                </c:pt>
                <c:pt idx="137">
                  <c:v>-2.0789316372736579E-3</c:v>
                </c:pt>
                <c:pt idx="138">
                  <c:v>-3.2738109172288712E-2</c:v>
                </c:pt>
                <c:pt idx="139">
                  <c:v>-2.750313596306516E-2</c:v>
                </c:pt>
                <c:pt idx="140">
                  <c:v>-2.1319971124796049E-2</c:v>
                </c:pt>
                <c:pt idx="141">
                  <c:v>-1.2666470150862528E-2</c:v>
                </c:pt>
                <c:pt idx="142">
                  <c:v>6.1632467984118022E-4</c:v>
                </c:pt>
                <c:pt idx="143">
                  <c:v>1.7911236982200908E-2</c:v>
                </c:pt>
                <c:pt idx="144">
                  <c:v>6.1558258073262789E-2</c:v>
                </c:pt>
                <c:pt idx="145">
                  <c:v>-2.8774252865066286E-2</c:v>
                </c:pt>
                <c:pt idx="146">
                  <c:v>-1.2721653951854709E-2</c:v>
                </c:pt>
                <c:pt idx="147">
                  <c:v>8.2274245953545978E-3</c:v>
                </c:pt>
                <c:pt idx="148">
                  <c:v>-1.5789926312168547E-2</c:v>
                </c:pt>
                <c:pt idx="149">
                  <c:v>-1.8195634736353147E-2</c:v>
                </c:pt>
                <c:pt idx="150">
                  <c:v>1.5496914381127378E-2</c:v>
                </c:pt>
                <c:pt idx="151">
                  <c:v>7.7104280640483422E-3</c:v>
                </c:pt>
                <c:pt idx="152">
                  <c:v>-5.681289340210402E-2</c:v>
                </c:pt>
                <c:pt idx="153">
                  <c:v>-3.0318385813217752E-3</c:v>
                </c:pt>
                <c:pt idx="154">
                  <c:v>-1.8704706914132604E-2</c:v>
                </c:pt>
                <c:pt idx="155">
                  <c:v>8.5467191728791012E-3</c:v>
                </c:pt>
                <c:pt idx="156">
                  <c:v>2.2756587831988563E-2</c:v>
                </c:pt>
                <c:pt idx="157">
                  <c:v>-1.9392956736176862E-2</c:v>
                </c:pt>
                <c:pt idx="158">
                  <c:v>3.8248909865305873E-2</c:v>
                </c:pt>
                <c:pt idx="159">
                  <c:v>-1.2229520613238875E-2</c:v>
                </c:pt>
                <c:pt idx="160">
                  <c:v>-2.1996781581792978E-2</c:v>
                </c:pt>
                <c:pt idx="161">
                  <c:v>3.2266675208472771E-3</c:v>
                </c:pt>
                <c:pt idx="162">
                  <c:v>-3.1250465670255184E-3</c:v>
                </c:pt>
                <c:pt idx="163">
                  <c:v>2.0009206623557586E-2</c:v>
                </c:pt>
                <c:pt idx="164">
                  <c:v>1.330722348126482E-2</c:v>
                </c:pt>
                <c:pt idx="165">
                  <c:v>1.6444624354504268E-2</c:v>
                </c:pt>
                <c:pt idx="166">
                  <c:v>1.8224505504014662E-2</c:v>
                </c:pt>
                <c:pt idx="167">
                  <c:v>7.8723169858436418E-3</c:v>
                </c:pt>
                <c:pt idx="168">
                  <c:v>-2.209414024975976E-2</c:v>
                </c:pt>
                <c:pt idx="169">
                  <c:v>5.0733252274423766E-3</c:v>
                </c:pt>
                <c:pt idx="170">
                  <c:v>-5.7394955344527059E-3</c:v>
                </c:pt>
                <c:pt idx="171">
                  <c:v>-1.6944369111638886E-2</c:v>
                </c:pt>
                <c:pt idx="172">
                  <c:v>5.7790777869193262E-3</c:v>
                </c:pt>
                <c:pt idx="173">
                  <c:v>1.5242014827756186E-2</c:v>
                </c:pt>
                <c:pt idx="174">
                  <c:v>-5.8930170098477905E-3</c:v>
                </c:pt>
                <c:pt idx="175">
                  <c:v>7.0956515467076806E-3</c:v>
                </c:pt>
                <c:pt idx="176">
                  <c:v>9.3873855016541035E-3</c:v>
                </c:pt>
                <c:pt idx="177">
                  <c:v>-3.7467785184697698E-3</c:v>
                </c:pt>
                <c:pt idx="178">
                  <c:v>1.955786243171043E-2</c:v>
                </c:pt>
                <c:pt idx="179">
                  <c:v>-9.7012278152213208E-3</c:v>
                </c:pt>
                <c:pt idx="180">
                  <c:v>3.9541947550053615E-3</c:v>
                </c:pt>
                <c:pt idx="181">
                  <c:v>1.6735580629336402E-2</c:v>
                </c:pt>
                <c:pt idx="182">
                  <c:v>2.7421425914147538E-2</c:v>
                </c:pt>
                <c:pt idx="183">
                  <c:v>-1.9067956227751256E-2</c:v>
                </c:pt>
                <c:pt idx="184">
                  <c:v>4.149044064975513E-3</c:v>
                </c:pt>
                <c:pt idx="185">
                  <c:v>6.1320945455757957E-3</c:v>
                </c:pt>
                <c:pt idx="186">
                  <c:v>1.1610111986448053E-2</c:v>
                </c:pt>
                <c:pt idx="187">
                  <c:v>-4.3101692681818205E-3</c:v>
                </c:pt>
                <c:pt idx="188">
                  <c:v>-1.3880357227236214E-2</c:v>
                </c:pt>
                <c:pt idx="189">
                  <c:v>1.2300384820516815E-2</c:v>
                </c:pt>
                <c:pt idx="190">
                  <c:v>2.3922472052572024E-4</c:v>
                </c:pt>
                <c:pt idx="191">
                  <c:v>-1.2662855067651141E-3</c:v>
                </c:pt>
                <c:pt idx="192">
                  <c:v>1.3725537686494883E-2</c:v>
                </c:pt>
                <c:pt idx="193">
                  <c:v>2.7097891225338205E-2</c:v>
                </c:pt>
                <c:pt idx="194">
                  <c:v>1.1405093419615837E-2</c:v>
                </c:pt>
                <c:pt idx="195">
                  <c:v>1.570110653957222E-2</c:v>
                </c:pt>
                <c:pt idx="196">
                  <c:v>-7.6686260885442887E-3</c:v>
                </c:pt>
                <c:pt idx="197">
                  <c:v>2.6392916078856018E-2</c:v>
                </c:pt>
                <c:pt idx="198">
                  <c:v>8.0789263083321204E-3</c:v>
                </c:pt>
                <c:pt idx="199">
                  <c:v>-2.4460479533930071E-2</c:v>
                </c:pt>
                <c:pt idx="200">
                  <c:v>-7.1464332639529261E-3</c:v>
                </c:pt>
                <c:pt idx="201">
                  <c:v>1.2349395265550591E-2</c:v>
                </c:pt>
                <c:pt idx="202">
                  <c:v>4.6467110364435293E-2</c:v>
                </c:pt>
                <c:pt idx="203">
                  <c:v>-3.312013369881843E-2</c:v>
                </c:pt>
                <c:pt idx="204">
                  <c:v>1.9430770251442925E-2</c:v>
                </c:pt>
                <c:pt idx="205">
                  <c:v>-1.4754175512722591E-2</c:v>
                </c:pt>
                <c:pt idx="206">
                  <c:v>1.826643273421413E-2</c:v>
                </c:pt>
                <c:pt idx="207">
                  <c:v>1.4315187979670926E-2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1-476B-91DB-009E27F5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2192"/>
        <c:axId val="146812672"/>
      </c:scatterChart>
      <c:valAx>
        <c:axId val="1468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Netflix</a:t>
                </a:r>
              </a:p>
            </c:rich>
          </c:tx>
          <c:layout>
            <c:manualLayout>
              <c:xMode val="edge"/>
              <c:yMode val="edge"/>
              <c:x val="0.46082091250484208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2672"/>
        <c:crosses val="autoZero"/>
        <c:crossBetween val="midCat"/>
      </c:valAx>
      <c:valAx>
        <c:axId val="1468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S&amp;P 500</a:t>
                </a:r>
              </a:p>
            </c:rich>
          </c:tx>
          <c:layout>
            <c:manualLayout>
              <c:xMode val="edge"/>
              <c:yMode val="edge"/>
              <c:x val="0"/>
              <c:y val="0.4389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833437</xdr:colOff>
      <xdr:row>0</xdr:row>
      <xdr:rowOff>0</xdr:rowOff>
    </xdr:from>
    <xdr:to>
      <xdr:col>8</xdr:col>
      <xdr:colOff>535781</xdr:colOff>
      <xdr:row>1</xdr:row>
      <xdr:rowOff>181370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9AAE5-AD3D-4589-A9FB-F0A938F5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0"/>
          <a:ext cx="1393031" cy="479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127568</xdr:colOff>
      <xdr:row>2</xdr:row>
      <xdr:rowOff>146448</xdr:rowOff>
    </xdr:from>
    <xdr:to>
      <xdr:col>19</xdr:col>
      <xdr:colOff>189650</xdr:colOff>
      <xdr:row>17</xdr:row>
      <xdr:rowOff>83174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2C58E-99BD-71FF-8DDB-8667C6FF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544BF-97C4-4BBF-8174-61353722F935}" name="Table2" displayName="Table2" ref="C20:E229" totalsRowShown="0" headerRowDxfId="34" dataDxfId="33">
  <autoFilter ref="C20:E229" xr:uid="{A2A544BF-97C4-4BBF-8174-61353722F935}">
    <filterColumn colId="0" hiddenButton="1"/>
    <filterColumn colId="1" hiddenButton="1"/>
    <filterColumn colId="2" hiddenButton="1"/>
  </autoFilter>
  <tableColumns count="3">
    <tableColumn id="1" xr3:uid="{62EE2624-3FBC-40D2-98E5-B536C511B84F}" name="Date" dataDxfId="32"/>
    <tableColumn id="2" xr3:uid="{CE79E436-9225-4832-AAE6-A9139A66DB88}" name="Price" dataDxfId="31"/>
    <tableColumn id="3" xr3:uid="{0AB52A25-7D24-4EEF-B69E-7D635B33B1CE}" name="Returns" dataDxfId="30" dataCellStyle="Percent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B7BEB5-0D06-4638-8FAD-3052BBC96233}" name="Table3" displayName="Table3" ref="G20:I229" totalsRowShown="0" headerRowDxfId="29" dataDxfId="28">
  <autoFilter ref="G20:I229" xr:uid="{20B7BEB5-0D06-4638-8FAD-3052BBC96233}">
    <filterColumn colId="0" hiddenButton="1"/>
    <filterColumn colId="1" hiddenButton="1"/>
    <filterColumn colId="2" hiddenButton="1"/>
  </autoFilter>
  <tableColumns count="3">
    <tableColumn id="1" xr3:uid="{61FD869B-5719-4517-B62D-C13EDE13AA40}" name="Date" dataDxfId="27"/>
    <tableColumn id="2" xr3:uid="{F258595E-BB1F-48AE-8ED6-A363A11CC15E}" name="Price" dataDxfId="26"/>
    <tableColumn id="3" xr3:uid="{24BA82BB-D9AB-4E07-AA10-D72BD2E39F35}" name="Returns" dataDxfId="25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04DD11-EB23-4124-B13E-771613763E5E}" name="Table4" displayName="Table4" ref="K20:M229" totalsRowShown="0" headerRowDxfId="24" dataDxfId="23">
  <autoFilter ref="K20:M229" xr:uid="{3C04DD11-EB23-4124-B13E-771613763E5E}">
    <filterColumn colId="0" hiddenButton="1"/>
    <filterColumn colId="1" hiddenButton="1"/>
    <filterColumn colId="2" hiddenButton="1"/>
  </autoFilter>
  <tableColumns count="3">
    <tableColumn id="1" xr3:uid="{2D6B64EC-741B-443B-AB37-F7CA27AD424A}" name="Date" dataDxfId="22"/>
    <tableColumn id="2" xr3:uid="{0CD468F3-1E52-421F-8BBD-3F3333655CC1}" name="Price" dataDxfId="21"/>
    <tableColumn id="3" xr3:uid="{8A05C8E2-2A6E-40FA-924B-005138EAF8EB}" name="Returns" dataDxfId="2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C7F57D-6896-49A9-8B44-FD6D1F26ED83}" name="Table5" displayName="Table5" ref="O20:Q229" totalsRowShown="0" headerRowDxfId="19" dataDxfId="18">
  <autoFilter ref="O20:Q229" xr:uid="{FBC7F57D-6896-49A9-8B44-FD6D1F26ED83}">
    <filterColumn colId="0" hiddenButton="1"/>
    <filterColumn colId="1" hiddenButton="1"/>
    <filterColumn colId="2" hiddenButton="1"/>
  </autoFilter>
  <tableColumns count="3">
    <tableColumn id="1" xr3:uid="{5609F34A-6E3A-4B1D-9952-7F8FD085675A}" name="Date" dataDxfId="17"/>
    <tableColumn id="2" xr3:uid="{B74E911D-8199-44D1-AE4E-079DE728F2E5}" name="Price" dataDxfId="16"/>
    <tableColumn id="3" xr3:uid="{DB6FBD2D-69B0-4E73-A919-FB9265AE9317}" name="Returns" dataDxfId="15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40017C-B24B-4A73-8217-49C8A4806553}" name="Table6" displayName="Table6" ref="S20:U229" totalsRowShown="0" headerRowDxfId="14" dataDxfId="13">
  <autoFilter ref="S20:U229" xr:uid="{8C40017C-B24B-4A73-8217-49C8A4806553}">
    <filterColumn colId="0" hiddenButton="1"/>
    <filterColumn colId="1" hiddenButton="1"/>
    <filterColumn colId="2" hiddenButton="1"/>
  </autoFilter>
  <tableColumns count="3">
    <tableColumn id="1" xr3:uid="{081B8493-774F-4A58-BDFA-5DC65DC1FA3A}" name="Date" dataDxfId="12"/>
    <tableColumn id="2" xr3:uid="{83BC8C0A-008F-42DE-AA16-0ACD83D75000}" name="Price" dataDxfId="11"/>
    <tableColumn id="3" xr3:uid="{5D6702E7-CC76-47DE-AD72-50BFF6F12FCD}" name="Returns" dataDxfId="10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56D1CE-281A-4538-88E0-D4F168A93259}" name="Table7" displayName="Table7" ref="W20:Y229" totalsRowShown="0" headerRowDxfId="9" dataDxfId="8">
  <autoFilter ref="W20:Y229" xr:uid="{3856D1CE-281A-4538-88E0-D4F168A93259}">
    <filterColumn colId="0" hiddenButton="1"/>
    <filterColumn colId="1" hiddenButton="1"/>
    <filterColumn colId="2" hiddenButton="1"/>
  </autoFilter>
  <tableColumns count="3">
    <tableColumn id="1" xr3:uid="{BCD3D9E6-A03C-41F2-8995-B88E294CB68B}" name="Date" dataDxfId="7"/>
    <tableColumn id="2" xr3:uid="{E1EB3C36-9772-4479-87B1-5DCBE2118F72}" name="Price" dataDxfId="6"/>
    <tableColumn id="3" xr3:uid="{9B2A4A9D-1FAB-4E3B-A499-F56E9ABFD1AD}" name="Returns" dataDxfId="5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B1D8E9-852B-4E75-AEC2-0A747F620FA3}" name="Table9" displayName="Table9" ref="AA20:AC229" totalsRowShown="0" headerRowDxfId="4" dataDxfId="3">
  <autoFilter ref="AA20:AC229" xr:uid="{F2B1D8E9-852B-4E75-AEC2-0A747F620FA3}">
    <filterColumn colId="0" hiddenButton="1"/>
    <filterColumn colId="1" hiddenButton="1"/>
    <filterColumn colId="2" hiddenButton="1"/>
  </autoFilter>
  <tableColumns count="3">
    <tableColumn id="1" xr3:uid="{6D737F84-238F-4701-B0B3-6BED8ECE2928}" name="Date" dataDxfId="2"/>
    <tableColumn id="2" xr3:uid="{8EF4D955-21FC-4533-A638-C24201807F48}" name="Price" dataDxfId="1"/>
    <tableColumn id="3" xr3:uid="{C4935C2C-C4DF-4A55-B408-89AB941BD7FA}" name="Returns" dataDxfId="0" dataCellStyle="Percent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showGridLine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" sqref="C1:M1"/>
    </sheetView>
  </sheetViews>
  <sheetFormatPr defaultRowHeight="15" x14ac:dyDescent="0.25"/>
  <cols>
    <col min="1" max="1" width="2" style="2" bestFit="1" customWidth="1"/>
    <col min="2" max="2" width="16.28515625" style="2" bestFit="1" customWidth="1"/>
    <col min="3" max="3" width="2" style="2" bestFit="1" customWidth="1"/>
    <col min="4" max="13" width="12.7109375" style="2" bestFit="1" customWidth="1"/>
    <col min="14" max="16384" width="9.140625" style="2"/>
  </cols>
  <sheetData>
    <row r="1" spans="1:14" ht="23.25" customHeight="1" x14ac:dyDescent="0.25">
      <c r="A1" s="1"/>
      <c r="B1" s="109" t="s">
        <v>15</v>
      </c>
      <c r="C1" s="259" t="s">
        <v>152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4" ht="15.75" thickBot="1" x14ac:dyDescent="0.3">
      <c r="A2" s="1"/>
      <c r="B2" s="115"/>
      <c r="C2" s="115"/>
      <c r="D2" s="115"/>
      <c r="F2" s="115"/>
      <c r="G2" s="115"/>
      <c r="H2" s="115"/>
      <c r="I2" s="115"/>
    </row>
    <row r="3" spans="1:14" x14ac:dyDescent="0.25">
      <c r="B3" s="73" t="s">
        <v>9</v>
      </c>
      <c r="C3" s="73"/>
      <c r="D3" s="73">
        <v>12</v>
      </c>
      <c r="E3" s="73">
        <v>12</v>
      </c>
      <c r="F3" s="73">
        <v>12</v>
      </c>
      <c r="G3" s="73">
        <v>12</v>
      </c>
      <c r="H3" s="73">
        <v>12</v>
      </c>
      <c r="I3" s="73">
        <v>12</v>
      </c>
      <c r="J3" s="73">
        <v>12</v>
      </c>
      <c r="K3" s="73">
        <v>12</v>
      </c>
      <c r="L3" s="73">
        <v>12</v>
      </c>
      <c r="M3" s="73">
        <v>12</v>
      </c>
    </row>
    <row r="4" spans="1:14" x14ac:dyDescent="0.25">
      <c r="B4" s="74" t="s">
        <v>6</v>
      </c>
      <c r="C4" s="74"/>
      <c r="D4" s="74">
        <v>43830</v>
      </c>
      <c r="E4" s="74">
        <v>44196</v>
      </c>
      <c r="F4" s="74">
        <v>44561</v>
      </c>
      <c r="G4" s="74">
        <v>44926</v>
      </c>
      <c r="H4" s="74">
        <v>45291</v>
      </c>
      <c r="I4" s="74">
        <v>45657</v>
      </c>
      <c r="J4" s="74">
        <v>46022</v>
      </c>
      <c r="K4" s="74">
        <v>46387</v>
      </c>
      <c r="L4" s="74">
        <v>46752</v>
      </c>
      <c r="M4" s="74">
        <v>47118</v>
      </c>
    </row>
    <row r="5" spans="1:14" ht="15.75" thickBot="1" x14ac:dyDescent="0.3">
      <c r="A5" s="116"/>
      <c r="B5" s="76"/>
      <c r="C5" s="76"/>
      <c r="D5" s="76" t="s">
        <v>4</v>
      </c>
      <c r="E5" s="76" t="s">
        <v>4</v>
      </c>
      <c r="F5" s="76" t="s">
        <v>4</v>
      </c>
      <c r="G5" s="76" t="s">
        <v>4</v>
      </c>
      <c r="H5" s="76" t="s">
        <v>4</v>
      </c>
      <c r="I5" s="77" t="s">
        <v>61</v>
      </c>
      <c r="J5" s="77" t="s">
        <v>61</v>
      </c>
      <c r="K5" s="77" t="s">
        <v>61</v>
      </c>
      <c r="L5" s="77" t="s">
        <v>61</v>
      </c>
      <c r="M5" s="77" t="s">
        <v>61</v>
      </c>
    </row>
    <row r="6" spans="1:14" x14ac:dyDescent="0.25">
      <c r="A6" s="117"/>
      <c r="B6" s="133" t="s">
        <v>0</v>
      </c>
      <c r="C6" s="118"/>
      <c r="D6" s="118">
        <v>10051208</v>
      </c>
      <c r="E6" s="118">
        <v>11455396</v>
      </c>
      <c r="F6" s="118">
        <v>12972100</v>
      </c>
      <c r="G6" s="118">
        <v>14084643</v>
      </c>
      <c r="H6" s="118">
        <v>14873783</v>
      </c>
      <c r="I6" s="119">
        <f>H6*(1+$I$7)</f>
        <v>16412836.300638488</v>
      </c>
      <c r="J6" s="119">
        <f t="shared" ref="J6:M6" si="0">I6*(1+$I$7)</f>
        <v>18111141.962442003</v>
      </c>
      <c r="K6" s="119">
        <f t="shared" si="0"/>
        <v>19985178.501473706</v>
      </c>
      <c r="L6" s="119">
        <f t="shared" si="0"/>
        <v>22053129.535621673</v>
      </c>
      <c r="M6" s="119">
        <f t="shared" si="0"/>
        <v>24335060.218703888</v>
      </c>
      <c r="N6" s="57"/>
    </row>
    <row r="7" spans="1:14" x14ac:dyDescent="0.25">
      <c r="A7" s="120"/>
      <c r="B7" s="134" t="s">
        <v>7</v>
      </c>
      <c r="C7" s="121"/>
      <c r="D7" s="121"/>
      <c r="E7" s="122">
        <f>(E6-D6)/D6</f>
        <v>0.13970340679448678</v>
      </c>
      <c r="F7" s="122">
        <f t="shared" ref="F7:H7" si="1">(F6-E6)/E6</f>
        <v>0.13240083537923961</v>
      </c>
      <c r="G7" s="122">
        <f t="shared" si="1"/>
        <v>8.5764294138959765E-2</v>
      </c>
      <c r="H7" s="122">
        <f t="shared" si="1"/>
        <v>5.6028399157862931E-2</v>
      </c>
      <c r="I7" s="123">
        <f>AVERAGE(E7:H7)</f>
        <v>0.10347423386763728</v>
      </c>
      <c r="J7" s="123"/>
      <c r="K7" s="124"/>
      <c r="L7" s="124"/>
      <c r="M7" s="124"/>
      <c r="N7" s="57"/>
    </row>
    <row r="8" spans="1:14" x14ac:dyDescent="0.25">
      <c r="A8" s="120"/>
      <c r="B8" s="104" t="s">
        <v>8</v>
      </c>
      <c r="C8" s="121"/>
      <c r="D8" s="121"/>
      <c r="E8" s="121"/>
      <c r="F8" s="121"/>
      <c r="G8" s="121"/>
      <c r="H8" s="121"/>
      <c r="I8" s="124"/>
      <c r="J8" s="124"/>
      <c r="K8" s="124"/>
      <c r="L8" s="124"/>
      <c r="M8" s="124"/>
      <c r="N8" s="57"/>
    </row>
    <row r="9" spans="1:14" x14ac:dyDescent="0.25">
      <c r="A9" s="120"/>
      <c r="B9" s="38"/>
      <c r="C9" s="121"/>
      <c r="D9" s="121"/>
      <c r="E9" s="121"/>
      <c r="F9" s="121"/>
      <c r="G9" s="121"/>
      <c r="H9" s="121"/>
      <c r="I9" s="124"/>
      <c r="J9" s="124"/>
      <c r="K9" s="124"/>
      <c r="L9" s="124"/>
      <c r="M9" s="124"/>
      <c r="N9" s="57"/>
    </row>
    <row r="10" spans="1:14" x14ac:dyDescent="0.25">
      <c r="A10" s="117"/>
      <c r="B10" s="132" t="s">
        <v>1</v>
      </c>
      <c r="C10" s="125"/>
      <c r="D10" s="125">
        <v>5543067</v>
      </c>
      <c r="E10" s="125">
        <v>7772252</v>
      </c>
      <c r="F10" s="125">
        <v>9699819</v>
      </c>
      <c r="G10" s="125">
        <v>9745015</v>
      </c>
      <c r="H10" s="125">
        <v>10556487</v>
      </c>
      <c r="I10" s="126">
        <f>H10*(1+$I$11)</f>
        <v>12504405.627124818</v>
      </c>
      <c r="J10" s="126">
        <f t="shared" ref="J10:M10" si="2">I10*(1+$I$11)</f>
        <v>14811760.776825739</v>
      </c>
      <c r="K10" s="126">
        <f t="shared" si="2"/>
        <v>17544876.889950834</v>
      </c>
      <c r="L10" s="126">
        <f t="shared" si="2"/>
        <v>20782316.817129921</v>
      </c>
      <c r="M10" s="126">
        <f t="shared" si="2"/>
        <v>24617140.091472674</v>
      </c>
      <c r="N10" s="57"/>
    </row>
    <row r="11" spans="1:14" x14ac:dyDescent="0.25">
      <c r="A11" s="120"/>
      <c r="B11" s="134" t="s">
        <v>7</v>
      </c>
      <c r="C11" s="121"/>
      <c r="D11" s="121"/>
      <c r="E11" s="122">
        <f>(E10-D10)/D10</f>
        <v>0.40215732553837075</v>
      </c>
      <c r="F11" s="122">
        <f>(F10-E10)/E10</f>
        <v>0.24800624066229454</v>
      </c>
      <c r="G11" s="122">
        <f>(G10-F10)/F10</f>
        <v>4.6594683880183743E-3</v>
      </c>
      <c r="H11" s="122">
        <f>(H10-G10)/G10</f>
        <v>8.3270472133701173E-2</v>
      </c>
      <c r="I11" s="123">
        <f>AVERAGE(E11:H11)</f>
        <v>0.18452337668059621</v>
      </c>
      <c r="J11" s="124"/>
      <c r="K11" s="124"/>
      <c r="L11" s="124"/>
      <c r="M11" s="124"/>
      <c r="N11" s="57"/>
    </row>
    <row r="12" spans="1:14" x14ac:dyDescent="0.25">
      <c r="A12" s="120"/>
      <c r="B12" s="104" t="s">
        <v>8</v>
      </c>
      <c r="C12" s="121"/>
      <c r="D12" s="121"/>
      <c r="E12" s="121"/>
      <c r="F12" s="121"/>
      <c r="G12" s="121"/>
      <c r="H12" s="121"/>
      <c r="I12" s="124"/>
      <c r="J12" s="124"/>
      <c r="K12" s="124"/>
      <c r="L12" s="124"/>
      <c r="M12" s="124"/>
      <c r="N12" s="57"/>
    </row>
    <row r="13" spans="1:14" x14ac:dyDescent="0.25">
      <c r="A13" s="120"/>
      <c r="B13" s="38"/>
      <c r="C13" s="121"/>
      <c r="D13" s="121"/>
      <c r="E13" s="121"/>
      <c r="F13" s="121"/>
      <c r="G13" s="121"/>
      <c r="H13" s="121"/>
      <c r="I13" s="124"/>
      <c r="J13" s="124"/>
      <c r="K13" s="124"/>
      <c r="L13" s="124"/>
      <c r="M13" s="124"/>
      <c r="N13" s="57"/>
    </row>
    <row r="14" spans="1:14" x14ac:dyDescent="0.25">
      <c r="A14" s="117"/>
      <c r="B14" s="132" t="s">
        <v>2</v>
      </c>
      <c r="C14" s="125"/>
      <c r="D14" s="125">
        <v>2795434</v>
      </c>
      <c r="E14" s="125">
        <v>3156727</v>
      </c>
      <c r="F14" s="125">
        <v>3576976</v>
      </c>
      <c r="G14" s="125">
        <v>4069973</v>
      </c>
      <c r="H14" s="125">
        <v>4446461</v>
      </c>
      <c r="I14" s="126">
        <f>H14*(1+$I$15)</f>
        <v>4994154.8782060212</v>
      </c>
      <c r="J14" s="126">
        <f t="shared" ref="J14:M14" si="3">I14*(1+$I$15)</f>
        <v>5609311.0785204228</v>
      </c>
      <c r="K14" s="126">
        <f t="shared" si="3"/>
        <v>6300239.2883166736</v>
      </c>
      <c r="L14" s="126">
        <f t="shared" si="3"/>
        <v>7076272.7426625229</v>
      </c>
      <c r="M14" s="126">
        <f t="shared" si="3"/>
        <v>7947894.3000476863</v>
      </c>
      <c r="N14" s="57"/>
    </row>
    <row r="15" spans="1:14" x14ac:dyDescent="0.25">
      <c r="A15" s="120"/>
      <c r="B15" s="134" t="s">
        <v>7</v>
      </c>
      <c r="C15" s="121"/>
      <c r="D15" s="121"/>
      <c r="E15" s="122">
        <f>(E14-D14)/D14</f>
        <v>0.12924397428091666</v>
      </c>
      <c r="F15" s="122">
        <f>(F14-E14)/E14</f>
        <v>0.13312807854464451</v>
      </c>
      <c r="G15" s="122">
        <f>(G14-F14)/F14</f>
        <v>0.13782507906119582</v>
      </c>
      <c r="H15" s="122">
        <f>(H14-G14)/G14</f>
        <v>9.2503807764818091E-2</v>
      </c>
      <c r="I15" s="123">
        <f>AVERAGE(E15:H15)</f>
        <v>0.12317523491289377</v>
      </c>
      <c r="J15" s="124"/>
      <c r="K15" s="124"/>
      <c r="L15" s="124"/>
      <c r="M15" s="124"/>
      <c r="N15" s="57"/>
    </row>
    <row r="16" spans="1:14" x14ac:dyDescent="0.25">
      <c r="A16" s="120"/>
      <c r="B16" s="104" t="s">
        <v>8</v>
      </c>
      <c r="C16" s="121"/>
      <c r="D16" s="121"/>
      <c r="E16" s="121"/>
      <c r="F16" s="121"/>
      <c r="G16" s="121"/>
      <c r="H16" s="121"/>
      <c r="I16" s="124"/>
      <c r="J16" s="124"/>
      <c r="K16" s="124"/>
      <c r="L16" s="124"/>
      <c r="M16" s="124"/>
      <c r="N16" s="57"/>
    </row>
    <row r="17" spans="1:14" x14ac:dyDescent="0.25">
      <c r="A17" s="120"/>
      <c r="B17" s="38"/>
      <c r="C17" s="121"/>
      <c r="D17" s="121"/>
      <c r="E17" s="121"/>
      <c r="F17" s="121"/>
      <c r="G17" s="121"/>
      <c r="H17" s="121"/>
      <c r="I17" s="124"/>
      <c r="J17" s="124"/>
      <c r="K17" s="124"/>
      <c r="L17" s="124"/>
      <c r="M17" s="124"/>
      <c r="N17" s="57"/>
    </row>
    <row r="18" spans="1:14" x14ac:dyDescent="0.25">
      <c r="A18" s="117"/>
      <c r="B18" s="132" t="s">
        <v>3</v>
      </c>
      <c r="C18" s="125"/>
      <c r="D18" s="125">
        <v>1469521</v>
      </c>
      <c r="E18" s="125">
        <v>2372300</v>
      </c>
      <c r="F18" s="125">
        <v>3266601</v>
      </c>
      <c r="G18" s="125">
        <v>3570221</v>
      </c>
      <c r="H18" s="125">
        <v>3763727</v>
      </c>
      <c r="I18" s="126">
        <f>H18*(1+$I$19)</f>
        <v>4834938.9182141107</v>
      </c>
      <c r="J18" s="126">
        <f t="shared" ref="J18:M18" si="4">I18*(1+$I$19)</f>
        <v>6211033.4630703647</v>
      </c>
      <c r="K18" s="126">
        <f t="shared" si="4"/>
        <v>7978784.7027505105</v>
      </c>
      <c r="L18" s="126">
        <f t="shared" si="4"/>
        <v>10249663.878219608</v>
      </c>
      <c r="M18" s="126">
        <f t="shared" si="4"/>
        <v>13166868.580908593</v>
      </c>
      <c r="N18" s="57"/>
    </row>
    <row r="19" spans="1:14" x14ac:dyDescent="0.25">
      <c r="A19" s="120"/>
      <c r="B19" s="134" t="s">
        <v>7</v>
      </c>
      <c r="C19" s="121"/>
      <c r="D19" s="121"/>
      <c r="E19" s="122">
        <f>(E18-D18)/D18</f>
        <v>0.61433555559940956</v>
      </c>
      <c r="F19" s="122">
        <f t="shared" ref="F19:H19" si="5">(F18-E18)/E18</f>
        <v>0.37697635206339841</v>
      </c>
      <c r="G19" s="122">
        <f t="shared" si="5"/>
        <v>9.2946766378875167E-2</v>
      </c>
      <c r="H19" s="122">
        <f t="shared" si="5"/>
        <v>5.4200006106064583E-2</v>
      </c>
      <c r="I19" s="123">
        <f>AVERAGE(E19:H19)</f>
        <v>0.28461467003693691</v>
      </c>
      <c r="J19" s="124"/>
      <c r="K19" s="124"/>
      <c r="L19" s="124"/>
      <c r="M19" s="124"/>
      <c r="N19" s="57"/>
    </row>
    <row r="20" spans="1:14" ht="15.75" thickBot="1" x14ac:dyDescent="0.3">
      <c r="A20" s="120"/>
      <c r="B20" s="135" t="s">
        <v>8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57"/>
    </row>
    <row r="21" spans="1:14" x14ac:dyDescent="0.25">
      <c r="A21" s="120"/>
      <c r="B21" s="131" t="s">
        <v>5</v>
      </c>
      <c r="C21" s="172"/>
      <c r="D21" s="172">
        <f>SUM(D6,D10,D14,D18)</f>
        <v>19859230</v>
      </c>
      <c r="E21" s="172">
        <f t="shared" ref="E21:M21" si="6">SUM(E6,E10,E14,E18)</f>
        <v>24756675</v>
      </c>
      <c r="F21" s="172">
        <f t="shared" si="6"/>
        <v>29515496</v>
      </c>
      <c r="G21" s="172">
        <f t="shared" si="6"/>
        <v>31469852</v>
      </c>
      <c r="H21" s="172">
        <f t="shared" si="6"/>
        <v>33640458</v>
      </c>
      <c r="I21" s="173">
        <f t="shared" si="6"/>
        <v>38746335.72418344</v>
      </c>
      <c r="J21" s="173">
        <f t="shared" si="6"/>
        <v>44743247.280858532</v>
      </c>
      <c r="K21" s="173">
        <f t="shared" si="6"/>
        <v>51809079.382491723</v>
      </c>
      <c r="L21" s="173">
        <f t="shared" si="6"/>
        <v>60161382.973633721</v>
      </c>
      <c r="M21" s="173">
        <f t="shared" si="6"/>
        <v>70066963.191132843</v>
      </c>
      <c r="N21" s="57"/>
    </row>
    <row r="22" spans="1:14" ht="15.75" thickBot="1" x14ac:dyDescent="0.3">
      <c r="B22" s="130" t="s">
        <v>13</v>
      </c>
      <c r="C22" s="128"/>
      <c r="D22" s="128"/>
      <c r="E22" s="174">
        <f>E21/D21-1</f>
        <v>0.24660800041089215</v>
      </c>
      <c r="F22" s="174">
        <f t="shared" ref="F22:M22" si="7">F21/E21-1</f>
        <v>0.19222375379569345</v>
      </c>
      <c r="G22" s="174">
        <f t="shared" si="7"/>
        <v>6.6214574201971743E-2</v>
      </c>
      <c r="H22" s="174">
        <f t="shared" si="7"/>
        <v>6.8974140710925447E-2</v>
      </c>
      <c r="I22" s="175">
        <f t="shared" si="7"/>
        <v>0.15177788971194861</v>
      </c>
      <c r="J22" s="175">
        <f t="shared" si="7"/>
        <v>0.15477364361275936</v>
      </c>
      <c r="K22" s="175">
        <f t="shared" si="7"/>
        <v>0.15791951928030934</v>
      </c>
      <c r="L22" s="175">
        <f t="shared" si="7"/>
        <v>0.1612131250099873</v>
      </c>
      <c r="M22" s="175">
        <f t="shared" si="7"/>
        <v>0.16465014146766421</v>
      </c>
      <c r="N22" s="57"/>
    </row>
    <row r="24" spans="1:14" x14ac:dyDescent="0.25">
      <c r="B24" s="65" t="s">
        <v>11</v>
      </c>
      <c r="C24" s="70" t="s">
        <v>10</v>
      </c>
    </row>
    <row r="25" spans="1:14" x14ac:dyDescent="0.25">
      <c r="C25" s="71" t="s">
        <v>151</v>
      </c>
    </row>
    <row r="26" spans="1:14" x14ac:dyDescent="0.25">
      <c r="C26" s="72" t="s">
        <v>12</v>
      </c>
    </row>
    <row r="27" spans="1:14" x14ac:dyDescent="0.25">
      <c r="B27" s="114" t="s">
        <v>14</v>
      </c>
      <c r="C27" s="129" t="s">
        <v>62</v>
      </c>
    </row>
  </sheetData>
  <mergeCells count="1">
    <mergeCell ref="C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7440-C535-48BE-BB58-B8254131725B}">
  <dimension ref="B1:Z90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:J1"/>
    </sheetView>
  </sheetViews>
  <sheetFormatPr defaultRowHeight="15" x14ac:dyDescent="0.25"/>
  <cols>
    <col min="1" max="1" width="2" style="13" bestFit="1" customWidth="1"/>
    <col min="2" max="2" width="18.42578125" style="13" bestFit="1" customWidth="1"/>
    <col min="3" max="3" width="2" style="13" bestFit="1" customWidth="1"/>
    <col min="4" max="5" width="12.5703125" style="13" bestFit="1" customWidth="1"/>
    <col min="6" max="6" width="11.5703125" style="13" bestFit="1" customWidth="1"/>
    <col min="7" max="8" width="9.140625" style="13"/>
    <col min="9" max="9" width="15" style="13" bestFit="1" customWidth="1"/>
    <col min="10" max="10" width="14.7109375" style="13" bestFit="1" customWidth="1"/>
    <col min="11" max="16384" width="9.140625" style="13"/>
  </cols>
  <sheetData>
    <row r="1" spans="2:26" ht="23.25" x14ac:dyDescent="0.25">
      <c r="B1" s="109" t="s">
        <v>255</v>
      </c>
      <c r="C1" s="265" t="s">
        <v>152</v>
      </c>
      <c r="D1" s="265"/>
      <c r="E1" s="265"/>
      <c r="F1" s="265"/>
      <c r="G1" s="265"/>
      <c r="H1" s="265"/>
      <c r="I1" s="265"/>
      <c r="J1" s="265"/>
      <c r="K1" s="218"/>
      <c r="L1" s="218"/>
      <c r="M1" s="2"/>
      <c r="N1" s="2"/>
      <c r="O1" s="2"/>
      <c r="P1" s="2"/>
      <c r="Q1" s="2"/>
      <c r="R1" s="2"/>
      <c r="S1" s="2"/>
      <c r="T1" s="2"/>
    </row>
    <row r="3" spans="2:26" x14ac:dyDescent="0.25">
      <c r="B3" s="266" t="s">
        <v>240</v>
      </c>
      <c r="C3" s="266"/>
      <c r="D3" s="266"/>
      <c r="E3" s="266"/>
      <c r="F3" s="266"/>
      <c r="G3" s="266"/>
      <c r="H3" s="266"/>
      <c r="I3" s="266"/>
      <c r="J3" s="266"/>
    </row>
    <row r="4" spans="2:26" x14ac:dyDescent="0.25">
      <c r="B4" s="150" t="s">
        <v>213</v>
      </c>
      <c r="C4" s="150"/>
      <c r="D4" s="150" t="s">
        <v>244</v>
      </c>
      <c r="E4" s="150" t="s">
        <v>243</v>
      </c>
      <c r="F4" s="150" t="s">
        <v>245</v>
      </c>
      <c r="G4" s="150" t="s">
        <v>169</v>
      </c>
      <c r="H4" s="150" t="s">
        <v>246</v>
      </c>
      <c r="I4" s="150" t="s">
        <v>247</v>
      </c>
      <c r="J4" s="150" t="s">
        <v>248</v>
      </c>
    </row>
    <row r="5" spans="2:26" x14ac:dyDescent="0.25">
      <c r="B5" s="86" t="str">
        <f>'Regression Beta'!B11</f>
        <v>Meta</v>
      </c>
      <c r="C5" s="39"/>
      <c r="D5" s="228">
        <f>'Regression Beta'!D11</f>
        <v>1.2600487694757485</v>
      </c>
      <c r="E5" s="257">
        <f>AVERAGE(E16:E18)</f>
        <v>9.4333333333333318</v>
      </c>
      <c r="F5" s="257">
        <f>AVERAGE(F16:F18)</f>
        <v>720.44066666666674</v>
      </c>
      <c r="G5" s="122">
        <f>AVERAGE(G16:G18)</f>
        <v>0.25600000000000001</v>
      </c>
      <c r="H5" s="228">
        <f>1+(1-G5)*(E5/F5)</f>
        <v>1.0097418154259292</v>
      </c>
      <c r="I5" s="228">
        <f>D5/H5</f>
        <v>1.2478920355935095</v>
      </c>
      <c r="J5" s="272" t="s">
        <v>254</v>
      </c>
    </row>
    <row r="6" spans="2:26" x14ac:dyDescent="0.25">
      <c r="B6" s="104" t="str">
        <f>'Regression Beta'!B12</f>
        <v>Alphabet</v>
      </c>
      <c r="C6" s="39"/>
      <c r="D6" s="228">
        <f>'Regression Beta'!D12</f>
        <v>1.2196948918204511</v>
      </c>
      <c r="E6" s="257">
        <f>AVERAGE(E20:E22)</f>
        <v>12.523333333333333</v>
      </c>
      <c r="F6" s="257">
        <f>AVERAGE(F20:F22)</f>
        <v>1607.4393333333335</v>
      </c>
      <c r="G6" s="122">
        <f>AVERAGE(G20:G22)</f>
        <v>0.25600000000000001</v>
      </c>
      <c r="H6" s="228">
        <f t="shared" ref="H6:H9" si="0">1+(1-G6)*(E6/F6)</f>
        <v>1.0057963991590766</v>
      </c>
      <c r="I6" s="228">
        <f>D6/H6</f>
        <v>1.2126657968155485</v>
      </c>
      <c r="J6" s="273"/>
    </row>
    <row r="7" spans="2:26" x14ac:dyDescent="0.25">
      <c r="B7" s="104" t="str">
        <f>'Regression Beta'!B13</f>
        <v>Walt Disney</v>
      </c>
      <c r="C7" s="39"/>
      <c r="D7" s="228">
        <f>'Regression Beta'!D13</f>
        <v>1.0309383831130361</v>
      </c>
      <c r="E7" s="257">
        <f>AVERAGE(E24:E26)</f>
        <v>45.313333333333333</v>
      </c>
      <c r="F7" s="257">
        <f>AVERAGE(F24:F26)</f>
        <v>214.98566666666667</v>
      </c>
      <c r="G7" s="122">
        <f>AVERAGE(G24:G26)</f>
        <v>0.25600000000000001</v>
      </c>
      <c r="H7" s="228">
        <f t="shared" si="0"/>
        <v>1.1568156636799043</v>
      </c>
      <c r="I7" s="228">
        <f>D7/H7</f>
        <v>0.89118639683141521</v>
      </c>
      <c r="J7" s="273"/>
    </row>
    <row r="8" spans="2:26" x14ac:dyDescent="0.25">
      <c r="B8" s="104" t="str">
        <f>'Regression Beta'!B14</f>
        <v>Comcast</v>
      </c>
      <c r="C8" s="39"/>
      <c r="D8" s="228">
        <f>'Regression Beta'!D14</f>
        <v>0.6486922107512173</v>
      </c>
      <c r="E8" s="257">
        <f>AVERAGE(E28:E30)</f>
        <v>95.213333333333324</v>
      </c>
      <c r="F8" s="257">
        <f>AVERAGE(F28:F30)</f>
        <v>185.88133333333334</v>
      </c>
      <c r="G8" s="122">
        <f>AVERAGE(G28:G30)</f>
        <v>0.25600000000000001</v>
      </c>
      <c r="H8" s="228">
        <f t="shared" si="0"/>
        <v>1.3810964701494144</v>
      </c>
      <c r="I8" s="228">
        <f>D8/H8</f>
        <v>0.4696936273257134</v>
      </c>
      <c r="J8" s="273"/>
    </row>
    <row r="9" spans="2:26" x14ac:dyDescent="0.25">
      <c r="B9" s="104" t="str">
        <f>'Regression Beta'!B15</f>
        <v>Paramount</v>
      </c>
      <c r="C9" s="39"/>
      <c r="D9" s="228">
        <f>'Regression Beta'!D15</f>
        <v>1.2706953491647806</v>
      </c>
      <c r="E9" s="257">
        <f>AVERAGE(E32:E34)</f>
        <v>15.963333333333333</v>
      </c>
      <c r="F9" s="257">
        <f>AVERAGE(F32:F34)</f>
        <v>13.523666666666665</v>
      </c>
      <c r="G9" s="122">
        <f>AVERAGE(G32:G34)</f>
        <v>0.25600000000000001</v>
      </c>
      <c r="H9" s="228">
        <f t="shared" si="0"/>
        <v>1.8782174459589362</v>
      </c>
      <c r="I9" s="228">
        <f>D9/H9</f>
        <v>0.67654325749062494</v>
      </c>
      <c r="J9" s="273"/>
    </row>
    <row r="10" spans="2:26" ht="15.75" thickBot="1" x14ac:dyDescent="0.3">
      <c r="B10" s="247" t="s">
        <v>242</v>
      </c>
      <c r="C10" s="248"/>
      <c r="D10" s="235"/>
      <c r="E10" s="236"/>
      <c r="F10" s="236"/>
      <c r="G10" s="236"/>
      <c r="H10" s="236"/>
      <c r="I10" s="239">
        <f>AVERAGE(I5:I9)</f>
        <v>0.89959622281136231</v>
      </c>
      <c r="J10" s="273"/>
    </row>
    <row r="11" spans="2:26" ht="15.75" thickBot="1" x14ac:dyDescent="0.3">
      <c r="B11" s="229" t="s">
        <v>220</v>
      </c>
      <c r="C11" s="230"/>
      <c r="D11" s="241">
        <f>'Regression Beta'!D10</f>
        <v>1.5232441591147785</v>
      </c>
      <c r="E11" s="237">
        <f>MEDIAN('Balance Sheet'!F26:H26)/10^6</f>
        <v>14.353076</v>
      </c>
      <c r="F11" s="238">
        <f>MEDIAN(F36:F38)</f>
        <v>213.09700000000001</v>
      </c>
      <c r="G11" s="232">
        <f>MEDIAN('Income Statement'!F40:H40)</f>
        <v>0.13024196064199225</v>
      </c>
      <c r="H11" s="231">
        <f>1+(1-G11)*(E11/F11)</f>
        <v>1.0585822570966108</v>
      </c>
      <c r="I11" s="231">
        <f>D11/H11</f>
        <v>1.4389473740969387</v>
      </c>
      <c r="J11" s="240">
        <f>I10*H11</f>
        <v>0.95229660001923755</v>
      </c>
    </row>
    <row r="12" spans="2:26" x14ac:dyDescent="0.25">
      <c r="E12" s="67"/>
      <c r="J12" s="18"/>
    </row>
    <row r="13" spans="2:26" x14ac:dyDescent="0.25">
      <c r="D13" s="266" t="s">
        <v>249</v>
      </c>
      <c r="E13" s="266"/>
      <c r="F13" s="266"/>
      <c r="G13" s="266"/>
    </row>
    <row r="14" spans="2:26" x14ac:dyDescent="0.25">
      <c r="B14" s="18"/>
      <c r="C14" s="18"/>
      <c r="D14" s="242"/>
      <c r="E14" s="150" t="s">
        <v>243</v>
      </c>
      <c r="F14" s="150" t="s">
        <v>250</v>
      </c>
      <c r="G14" s="150" t="s">
        <v>169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2:26" x14ac:dyDescent="0.25">
      <c r="B15" s="18"/>
      <c r="C15" s="18"/>
      <c r="D15" s="150" t="str">
        <f>B5</f>
        <v>Meta</v>
      </c>
      <c r="E15" s="41"/>
      <c r="F15" s="41"/>
      <c r="G15" s="41"/>
      <c r="H15" s="18"/>
      <c r="I15" s="18"/>
      <c r="J15" s="18"/>
      <c r="K15" s="18" t="s">
        <v>256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2:26" x14ac:dyDescent="0.25">
      <c r="B16" s="18"/>
      <c r="C16" s="18"/>
      <c r="D16" s="243">
        <f>DATE(2021,12,31)</f>
        <v>44561</v>
      </c>
      <c r="E16" s="254">
        <v>0</v>
      </c>
      <c r="F16" s="254">
        <v>935.64499999999998</v>
      </c>
      <c r="G16" s="249">
        <v>0.25600000000000001</v>
      </c>
      <c r="H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2:26" x14ac:dyDescent="0.25">
      <c r="B17" s="18"/>
      <c r="C17" s="18"/>
      <c r="D17" s="243">
        <f>DATE(2022,12,31)</f>
        <v>44926</v>
      </c>
      <c r="E17" s="254">
        <v>9.92</v>
      </c>
      <c r="F17" s="254">
        <v>315.55500000000001</v>
      </c>
      <c r="G17" s="249">
        <v>0.25600000000000001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2:26" x14ac:dyDescent="0.25">
      <c r="B18" s="18"/>
      <c r="C18" s="18"/>
      <c r="D18" s="243">
        <f>DATE(2023,12,31)</f>
        <v>45291</v>
      </c>
      <c r="E18" s="254">
        <v>18.38</v>
      </c>
      <c r="F18" s="254">
        <v>910.12199999999996</v>
      </c>
      <c r="G18" s="249">
        <v>0.25600000000000001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2:26" x14ac:dyDescent="0.25">
      <c r="B19" s="18"/>
      <c r="C19" s="18"/>
      <c r="D19" s="150" t="str">
        <f>B6</f>
        <v>Alphabet</v>
      </c>
      <c r="E19" s="255"/>
      <c r="F19" s="255"/>
      <c r="G19" s="245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2:26" x14ac:dyDescent="0.25">
      <c r="B20" s="18"/>
      <c r="C20" s="18"/>
      <c r="D20" s="243">
        <f>DATE(2021,12,31)</f>
        <v>44561</v>
      </c>
      <c r="E20" s="254">
        <v>12.84</v>
      </c>
      <c r="F20" s="254">
        <v>1921.855</v>
      </c>
      <c r="G20" s="249">
        <v>0.25600000000000001</v>
      </c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2:26" x14ac:dyDescent="0.25">
      <c r="B21" s="18"/>
      <c r="C21" s="18"/>
      <c r="D21" s="243">
        <f>DATE(2022,12,31)</f>
        <v>44926</v>
      </c>
      <c r="E21" s="254">
        <v>12.86</v>
      </c>
      <c r="F21" s="254">
        <v>1145.0039999999999</v>
      </c>
      <c r="G21" s="249">
        <v>0.25600000000000001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2:26" x14ac:dyDescent="0.25">
      <c r="B22" s="18"/>
      <c r="C22" s="18"/>
      <c r="D22" s="243">
        <f>DATE(2023,12,31)</f>
        <v>45291</v>
      </c>
      <c r="E22" s="254">
        <v>11.87</v>
      </c>
      <c r="F22" s="254">
        <v>1755.4590000000001</v>
      </c>
      <c r="G22" s="249">
        <v>0.25600000000000001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2:26" x14ac:dyDescent="0.25">
      <c r="B23" s="18"/>
      <c r="C23" s="18"/>
      <c r="D23" s="150" t="str">
        <f>B7</f>
        <v>Walt Disney</v>
      </c>
      <c r="E23" s="255"/>
      <c r="F23" s="255"/>
      <c r="G23" s="245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2:26" x14ac:dyDescent="0.25">
      <c r="B24" s="18"/>
      <c r="C24" s="18"/>
      <c r="D24" s="243">
        <f>DATE(2021,12,31)</f>
        <v>44561</v>
      </c>
      <c r="E24" s="254">
        <v>48.54</v>
      </c>
      <c r="F24" s="254">
        <v>317.125</v>
      </c>
      <c r="G24" s="249">
        <v>0.25600000000000001</v>
      </c>
      <c r="H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2:26" x14ac:dyDescent="0.25">
      <c r="B25" s="18"/>
      <c r="C25" s="18"/>
      <c r="D25" s="243">
        <f>DATE(2022,12,31)</f>
        <v>44926</v>
      </c>
      <c r="E25" s="254">
        <v>45.3</v>
      </c>
      <c r="F25" s="254">
        <v>181.21199999999999</v>
      </c>
      <c r="G25" s="249">
        <v>0.25600000000000001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2:26" x14ac:dyDescent="0.25">
      <c r="B26" s="18"/>
      <c r="C26" s="18"/>
      <c r="D26" s="243">
        <f>DATE(2023,12,31)</f>
        <v>45291</v>
      </c>
      <c r="E26" s="254">
        <v>42.1</v>
      </c>
      <c r="F26" s="254">
        <v>146.62</v>
      </c>
      <c r="G26" s="249">
        <v>0.25600000000000001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2:26" x14ac:dyDescent="0.25">
      <c r="B27" s="18"/>
      <c r="C27" s="18"/>
      <c r="D27" s="150" t="str">
        <f>B8</f>
        <v>Comcast</v>
      </c>
      <c r="E27" s="255"/>
      <c r="F27" s="255"/>
      <c r="G27" s="24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2:26" x14ac:dyDescent="0.25">
      <c r="B28" s="18"/>
      <c r="C28" s="18"/>
      <c r="D28" s="243">
        <f>DATE(2021,12,31)</f>
        <v>44561</v>
      </c>
      <c r="E28" s="254">
        <v>96.18</v>
      </c>
      <c r="F28" s="254">
        <v>229.95400000000001</v>
      </c>
      <c r="G28" s="249">
        <v>0.25600000000000001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2:26" x14ac:dyDescent="0.25">
      <c r="B29" s="18"/>
      <c r="C29" s="18"/>
      <c r="D29" s="243">
        <f>DATE(2022,12,31)</f>
        <v>44926</v>
      </c>
      <c r="E29" s="254">
        <v>96.44</v>
      </c>
      <c r="F29" s="254">
        <v>151.19</v>
      </c>
      <c r="G29" s="249">
        <v>0.25600000000000001</v>
      </c>
      <c r="H29" s="18"/>
      <c r="I29" s="18"/>
      <c r="J29" s="234"/>
      <c r="K29" s="234"/>
      <c r="L29" s="234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2:26" x14ac:dyDescent="0.25">
      <c r="B30" s="18"/>
      <c r="C30" s="18"/>
      <c r="D30" s="243">
        <f>DATE(2023,12,31)</f>
        <v>45291</v>
      </c>
      <c r="E30" s="254">
        <v>93.02</v>
      </c>
      <c r="F30" s="254">
        <v>176.5</v>
      </c>
      <c r="G30" s="249">
        <v>0.25600000000000001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2:26" x14ac:dyDescent="0.25">
      <c r="B31" s="18"/>
      <c r="C31" s="18"/>
      <c r="D31" s="150" t="str">
        <f>B9</f>
        <v>Paramount</v>
      </c>
      <c r="E31" s="255"/>
      <c r="F31" s="255"/>
      <c r="G31" s="24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2:26" x14ac:dyDescent="0.25">
      <c r="B32" s="18"/>
      <c r="C32" s="18"/>
      <c r="D32" s="243">
        <f>DATE(2021,12,31)</f>
        <v>44561</v>
      </c>
      <c r="E32" s="254">
        <v>17.690000000000001</v>
      </c>
      <c r="F32" s="254">
        <v>19.669</v>
      </c>
      <c r="G32" s="249">
        <v>0.25600000000000001</v>
      </c>
      <c r="I32" s="234"/>
      <c r="J32" s="234"/>
      <c r="K32" s="23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2:26" x14ac:dyDescent="0.25">
      <c r="B33" s="18"/>
      <c r="C33" s="18"/>
      <c r="D33" s="243">
        <f>DATE(2022,12,31)</f>
        <v>44926</v>
      </c>
      <c r="E33" s="254">
        <v>15.6</v>
      </c>
      <c r="F33" s="254">
        <v>11.069000000000001</v>
      </c>
      <c r="G33" s="249">
        <v>0.25600000000000001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2:26" x14ac:dyDescent="0.25">
      <c r="B34" s="18"/>
      <c r="C34" s="18"/>
      <c r="D34" s="243">
        <f>DATE(2023,12,31)</f>
        <v>45291</v>
      </c>
      <c r="E34" s="254">
        <v>14.6</v>
      </c>
      <c r="F34" s="254">
        <v>9.8330000000000002</v>
      </c>
      <c r="G34" s="249">
        <v>0.25600000000000001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2:26" x14ac:dyDescent="0.25">
      <c r="B35" s="18"/>
      <c r="C35" s="18"/>
      <c r="D35" s="150" t="str">
        <f>B11</f>
        <v>Netflix</v>
      </c>
      <c r="E35" s="255"/>
      <c r="F35" s="255"/>
      <c r="G35" s="245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2:26" x14ac:dyDescent="0.25">
      <c r="B36" s="18"/>
      <c r="C36" s="18"/>
      <c r="D36" s="243">
        <f>DATE(2021,12,31)</f>
        <v>44561</v>
      </c>
      <c r="E36" s="254">
        <v>14.69</v>
      </c>
      <c r="F36" s="254">
        <v>266.85199999999998</v>
      </c>
      <c r="G36" s="249">
        <v>0.25600000000000001</v>
      </c>
      <c r="H36" s="234"/>
      <c r="I36" s="234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2:26" x14ac:dyDescent="0.25">
      <c r="B37" s="18"/>
      <c r="C37" s="18"/>
      <c r="D37" s="243">
        <f>DATE(2022,12,31)</f>
        <v>44926</v>
      </c>
      <c r="E37" s="254">
        <v>14.35</v>
      </c>
      <c r="F37" s="254">
        <v>131.22800000000001</v>
      </c>
      <c r="G37" s="249">
        <v>0.25600000000000001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2:26" x14ac:dyDescent="0.25">
      <c r="B38" s="18"/>
      <c r="C38" s="18"/>
      <c r="D38" s="244">
        <f>DATE(2023,12,31)</f>
        <v>45291</v>
      </c>
      <c r="E38" s="256">
        <v>14.14</v>
      </c>
      <c r="F38" s="256">
        <v>213.09700000000001</v>
      </c>
      <c r="G38" s="250">
        <v>0.25600000000000001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2:26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2:26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2:26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2:26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2:26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2:26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2:26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2:26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2:26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2:26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2:26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2:26" x14ac:dyDescent="0.25">
      <c r="B50" s="18"/>
      <c r="C50" s="18"/>
      <c r="D50" s="18"/>
      <c r="E50" s="18"/>
      <c r="F50" s="18"/>
      <c r="G50" s="18"/>
      <c r="H50" s="18"/>
      <c r="I50" s="18"/>
      <c r="J50" s="18"/>
    </row>
    <row r="51" spans="2:26" x14ac:dyDescent="0.25">
      <c r="B51" s="18"/>
      <c r="C51" s="18"/>
      <c r="D51" s="18"/>
      <c r="E51" s="18"/>
      <c r="F51" s="18"/>
      <c r="G51" s="18"/>
      <c r="H51" s="18"/>
      <c r="I51" s="18"/>
      <c r="J51" s="18"/>
    </row>
    <row r="52" spans="2:26" x14ac:dyDescent="0.25">
      <c r="B52" s="18"/>
      <c r="C52" s="18"/>
      <c r="D52" s="18"/>
      <c r="E52" s="18"/>
      <c r="F52" s="18"/>
      <c r="G52" s="18"/>
      <c r="H52" s="18"/>
      <c r="I52" s="18"/>
      <c r="J52" s="18"/>
    </row>
    <row r="53" spans="2:26" x14ac:dyDescent="0.25">
      <c r="B53" s="18"/>
      <c r="C53" s="18"/>
      <c r="D53" s="18"/>
      <c r="E53" s="18"/>
      <c r="F53" s="18"/>
      <c r="G53" s="18"/>
      <c r="H53" s="18"/>
      <c r="I53" s="18"/>
      <c r="J53" s="18"/>
    </row>
    <row r="54" spans="2:26" x14ac:dyDescent="0.25">
      <c r="B54" s="18"/>
      <c r="C54" s="18"/>
      <c r="D54" s="18"/>
      <c r="E54" s="18"/>
      <c r="F54" s="18"/>
      <c r="G54" s="18"/>
      <c r="H54" s="18"/>
      <c r="I54" s="18"/>
      <c r="J54" s="18"/>
    </row>
    <row r="55" spans="2:26" x14ac:dyDescent="0.25">
      <c r="B55" s="18"/>
      <c r="C55" s="18"/>
      <c r="D55" s="18"/>
      <c r="E55" s="18"/>
      <c r="F55" s="18"/>
      <c r="G55" s="18"/>
      <c r="H55" s="18"/>
      <c r="I55" s="18"/>
      <c r="J55" s="18"/>
    </row>
    <row r="56" spans="2:26" x14ac:dyDescent="0.25">
      <c r="B56" s="18"/>
      <c r="C56" s="18"/>
      <c r="D56" s="18"/>
      <c r="E56" s="18"/>
      <c r="F56" s="18"/>
      <c r="G56" s="18"/>
      <c r="H56" s="18"/>
      <c r="I56" s="18"/>
      <c r="J56" s="18"/>
    </row>
    <row r="57" spans="2:26" x14ac:dyDescent="0.25">
      <c r="B57" s="18"/>
      <c r="C57" s="18"/>
      <c r="D57" s="18"/>
      <c r="E57" s="18"/>
      <c r="F57" s="18"/>
      <c r="G57" s="18"/>
      <c r="H57" s="18"/>
      <c r="I57" s="18"/>
      <c r="J57" s="18"/>
    </row>
    <row r="58" spans="2:26" x14ac:dyDescent="0.25">
      <c r="B58" s="18"/>
      <c r="C58" s="18"/>
      <c r="D58" s="18"/>
      <c r="E58" s="18"/>
      <c r="F58" s="18"/>
      <c r="G58" s="18"/>
      <c r="H58" s="18"/>
      <c r="I58" s="18"/>
      <c r="J58" s="18"/>
    </row>
    <row r="59" spans="2:26" x14ac:dyDescent="0.25">
      <c r="B59" s="18"/>
      <c r="C59" s="18"/>
      <c r="D59" s="18"/>
      <c r="E59" s="18"/>
      <c r="F59" s="18"/>
      <c r="G59" s="18"/>
      <c r="H59" s="18"/>
      <c r="I59" s="18"/>
      <c r="J59" s="18"/>
    </row>
    <row r="60" spans="2:26" x14ac:dyDescent="0.25">
      <c r="B60" s="18"/>
      <c r="C60" s="18"/>
      <c r="D60" s="18"/>
      <c r="E60" s="18"/>
      <c r="F60" s="18"/>
      <c r="G60" s="18"/>
      <c r="H60" s="18"/>
      <c r="I60" s="18"/>
      <c r="J60" s="18"/>
    </row>
    <row r="61" spans="2:26" x14ac:dyDescent="0.25">
      <c r="B61" s="18"/>
      <c r="C61" s="18"/>
      <c r="D61" s="18"/>
      <c r="E61" s="18"/>
      <c r="F61" s="18"/>
      <c r="G61" s="18"/>
      <c r="H61" s="18"/>
      <c r="I61" s="18"/>
      <c r="J61" s="18"/>
    </row>
    <row r="62" spans="2:26" x14ac:dyDescent="0.25">
      <c r="B62" s="18"/>
      <c r="C62" s="18"/>
      <c r="D62" s="18"/>
      <c r="E62" s="18"/>
      <c r="F62" s="18"/>
      <c r="G62" s="18"/>
      <c r="H62" s="18"/>
      <c r="I62" s="18"/>
      <c r="J62" s="18"/>
    </row>
    <row r="63" spans="2:26" x14ac:dyDescent="0.25">
      <c r="B63" s="18"/>
      <c r="C63" s="18"/>
      <c r="D63" s="18"/>
      <c r="E63" s="18"/>
      <c r="F63" s="18"/>
      <c r="G63" s="18"/>
      <c r="H63" s="18"/>
      <c r="I63" s="18"/>
      <c r="J63" s="18"/>
    </row>
    <row r="64" spans="2:26" x14ac:dyDescent="0.25">
      <c r="B64" s="18"/>
      <c r="C64" s="18"/>
      <c r="D64" s="18"/>
      <c r="E64" s="18"/>
      <c r="F64" s="18"/>
      <c r="G64" s="18"/>
      <c r="H64" s="18"/>
      <c r="I64" s="18"/>
      <c r="J64" s="18"/>
    </row>
    <row r="65" spans="2:10" x14ac:dyDescent="0.25">
      <c r="B65" s="18"/>
      <c r="C65" s="18"/>
      <c r="D65" s="18"/>
      <c r="E65" s="18"/>
      <c r="F65" s="18"/>
      <c r="G65" s="18"/>
      <c r="H65" s="18"/>
      <c r="I65" s="18"/>
      <c r="J65" s="18"/>
    </row>
    <row r="66" spans="2:10" x14ac:dyDescent="0.25">
      <c r="B66" s="18"/>
      <c r="C66" s="18"/>
      <c r="D66" s="18"/>
      <c r="E66" s="18"/>
      <c r="F66" s="18"/>
      <c r="G66" s="18"/>
      <c r="H66" s="18"/>
      <c r="I66" s="18"/>
      <c r="J66" s="18"/>
    </row>
    <row r="67" spans="2:10" x14ac:dyDescent="0.25">
      <c r="B67" s="18"/>
      <c r="C67" s="18"/>
      <c r="D67" s="18"/>
      <c r="E67" s="18"/>
      <c r="F67" s="18"/>
      <c r="G67" s="18"/>
      <c r="H67" s="18"/>
      <c r="I67" s="18"/>
      <c r="J67" s="18"/>
    </row>
    <row r="68" spans="2:10" x14ac:dyDescent="0.25">
      <c r="B68" s="18"/>
      <c r="C68" s="18"/>
      <c r="D68" s="18"/>
      <c r="E68" s="18"/>
      <c r="F68" s="18"/>
      <c r="G68" s="18"/>
      <c r="H68" s="18"/>
      <c r="I68" s="18"/>
      <c r="J68" s="18"/>
    </row>
    <row r="69" spans="2:10" x14ac:dyDescent="0.25">
      <c r="B69" s="18"/>
      <c r="C69" s="18"/>
      <c r="D69" s="18"/>
      <c r="E69" s="18"/>
      <c r="F69" s="18"/>
      <c r="G69" s="18"/>
      <c r="H69" s="18"/>
      <c r="I69" s="18"/>
      <c r="J69" s="18"/>
    </row>
    <row r="70" spans="2:10" x14ac:dyDescent="0.25">
      <c r="B70" s="18"/>
      <c r="C70" s="18"/>
      <c r="D70" s="18"/>
      <c r="E70" s="18"/>
      <c r="F70" s="18"/>
      <c r="G70" s="18"/>
      <c r="H70" s="18"/>
      <c r="I70" s="18"/>
      <c r="J70" s="18"/>
    </row>
    <row r="71" spans="2:10" x14ac:dyDescent="0.25">
      <c r="B71" s="18"/>
      <c r="C71" s="18"/>
      <c r="D71" s="18"/>
      <c r="E71" s="18"/>
      <c r="F71" s="18"/>
      <c r="G71" s="18"/>
      <c r="H71" s="18"/>
      <c r="I71" s="18"/>
      <c r="J71" s="18"/>
    </row>
    <row r="72" spans="2:10" x14ac:dyDescent="0.25">
      <c r="B72" s="18"/>
      <c r="C72" s="18"/>
      <c r="D72" s="18"/>
      <c r="E72" s="18"/>
      <c r="F72" s="18"/>
      <c r="G72" s="18"/>
      <c r="H72" s="18"/>
      <c r="I72" s="18"/>
      <c r="J72" s="18"/>
    </row>
    <row r="73" spans="2:10" x14ac:dyDescent="0.25">
      <c r="B73" s="18"/>
      <c r="C73" s="18"/>
      <c r="D73" s="18"/>
      <c r="E73" s="18"/>
      <c r="F73" s="18"/>
      <c r="G73" s="18"/>
      <c r="H73" s="18"/>
      <c r="I73" s="18"/>
      <c r="J73" s="18"/>
    </row>
    <row r="74" spans="2:10" x14ac:dyDescent="0.25">
      <c r="B74" s="18"/>
      <c r="C74" s="18"/>
      <c r="D74" s="18"/>
      <c r="E74" s="18"/>
      <c r="F74" s="18"/>
      <c r="G74" s="18"/>
      <c r="H74" s="18"/>
      <c r="I74" s="18"/>
      <c r="J74" s="18"/>
    </row>
    <row r="75" spans="2:10" x14ac:dyDescent="0.25">
      <c r="B75" s="18"/>
      <c r="C75" s="18"/>
      <c r="D75" s="18"/>
      <c r="E75" s="18"/>
      <c r="F75" s="18"/>
      <c r="G75" s="18"/>
      <c r="H75" s="18"/>
      <c r="I75" s="18"/>
      <c r="J75" s="18"/>
    </row>
    <row r="76" spans="2:10" x14ac:dyDescent="0.25">
      <c r="B76" s="18"/>
      <c r="C76" s="18"/>
      <c r="D76" s="18"/>
      <c r="E76" s="18"/>
      <c r="F76" s="18"/>
      <c r="G76" s="18"/>
      <c r="H76" s="18"/>
      <c r="I76" s="18"/>
      <c r="J76" s="18"/>
    </row>
    <row r="77" spans="2:10" x14ac:dyDescent="0.25">
      <c r="B77" s="18"/>
      <c r="C77" s="18"/>
      <c r="D77" s="18"/>
      <c r="E77" s="18"/>
      <c r="F77" s="18"/>
      <c r="G77" s="18"/>
      <c r="H77" s="18"/>
      <c r="I77" s="18"/>
      <c r="J77" s="18"/>
    </row>
    <row r="78" spans="2:10" x14ac:dyDescent="0.25">
      <c r="B78" s="18"/>
      <c r="C78" s="18"/>
      <c r="D78" s="18"/>
      <c r="E78" s="18"/>
      <c r="F78" s="18"/>
      <c r="G78" s="18"/>
      <c r="H78" s="18"/>
      <c r="I78" s="18"/>
      <c r="J78" s="18"/>
    </row>
    <row r="79" spans="2:10" x14ac:dyDescent="0.25">
      <c r="B79" s="18"/>
      <c r="C79" s="18"/>
      <c r="D79" s="18"/>
      <c r="E79" s="18"/>
      <c r="F79" s="18"/>
      <c r="G79" s="18"/>
      <c r="H79" s="18"/>
      <c r="I79" s="18"/>
      <c r="J79" s="18"/>
    </row>
    <row r="80" spans="2:10" x14ac:dyDescent="0.25">
      <c r="B80" s="18"/>
      <c r="C80" s="18"/>
      <c r="D80" s="18"/>
      <c r="E80" s="18"/>
      <c r="F80" s="18"/>
      <c r="G80" s="18"/>
      <c r="H80" s="18"/>
      <c r="I80" s="18"/>
      <c r="J80" s="18"/>
    </row>
    <row r="81" spans="2:10" x14ac:dyDescent="0.25">
      <c r="B81" s="18"/>
      <c r="C81" s="18"/>
      <c r="D81" s="18"/>
      <c r="E81" s="18"/>
      <c r="F81" s="18"/>
      <c r="G81" s="18"/>
      <c r="H81" s="18"/>
      <c r="I81" s="18"/>
      <c r="J81" s="18"/>
    </row>
    <row r="82" spans="2:10" x14ac:dyDescent="0.25">
      <c r="B82" s="18"/>
      <c r="C82" s="18"/>
      <c r="D82" s="18"/>
      <c r="E82" s="18"/>
      <c r="F82" s="18"/>
      <c r="G82" s="18"/>
      <c r="H82" s="18"/>
      <c r="I82" s="18"/>
      <c r="J82" s="18"/>
    </row>
    <row r="83" spans="2:10" x14ac:dyDescent="0.25">
      <c r="B83" s="18"/>
      <c r="C83" s="18"/>
      <c r="D83" s="18"/>
      <c r="E83" s="18"/>
      <c r="F83" s="18"/>
      <c r="G83" s="18"/>
      <c r="H83" s="18"/>
      <c r="I83" s="18"/>
      <c r="J83" s="18"/>
    </row>
    <row r="84" spans="2:10" x14ac:dyDescent="0.25">
      <c r="B84" s="18"/>
      <c r="C84" s="18"/>
      <c r="D84" s="18"/>
      <c r="E84" s="18"/>
      <c r="F84" s="18"/>
      <c r="G84" s="18"/>
      <c r="H84" s="18"/>
      <c r="I84" s="18"/>
      <c r="J84" s="18"/>
    </row>
    <row r="85" spans="2:10" x14ac:dyDescent="0.25">
      <c r="B85" s="18"/>
      <c r="C85" s="18"/>
      <c r="D85" s="18"/>
      <c r="E85" s="18"/>
      <c r="F85" s="18"/>
      <c r="G85" s="18"/>
      <c r="H85" s="18"/>
      <c r="I85" s="18"/>
      <c r="J85" s="18"/>
    </row>
    <row r="86" spans="2:10" x14ac:dyDescent="0.25">
      <c r="B86" s="18"/>
      <c r="C86" s="18"/>
      <c r="D86" s="18"/>
      <c r="E86" s="18"/>
      <c r="F86" s="18"/>
      <c r="G86" s="18"/>
      <c r="H86" s="18"/>
      <c r="I86" s="18"/>
      <c r="J86" s="18"/>
    </row>
    <row r="87" spans="2:10" x14ac:dyDescent="0.25">
      <c r="B87" s="18"/>
      <c r="C87" s="18"/>
      <c r="D87" s="18"/>
      <c r="E87" s="18"/>
      <c r="F87" s="18"/>
      <c r="G87" s="18"/>
      <c r="H87" s="18"/>
      <c r="I87" s="18"/>
      <c r="J87" s="18"/>
    </row>
    <row r="88" spans="2:10" x14ac:dyDescent="0.25">
      <c r="B88" s="18"/>
      <c r="C88" s="18"/>
      <c r="D88" s="18"/>
      <c r="E88" s="18"/>
      <c r="F88" s="18"/>
      <c r="G88" s="18"/>
      <c r="H88" s="18"/>
      <c r="I88" s="18"/>
      <c r="J88" s="18"/>
    </row>
    <row r="89" spans="2:10" x14ac:dyDescent="0.25">
      <c r="B89" s="18"/>
      <c r="C89" s="18"/>
      <c r="D89" s="18"/>
      <c r="E89" s="18"/>
      <c r="F89" s="18"/>
      <c r="G89" s="18"/>
      <c r="H89" s="18"/>
      <c r="I89" s="18"/>
      <c r="J89" s="18"/>
    </row>
    <row r="90" spans="2:10" x14ac:dyDescent="0.25">
      <c r="B90" s="18"/>
      <c r="C90" s="18"/>
      <c r="D90" s="18"/>
      <c r="E90" s="18"/>
      <c r="F90" s="18"/>
      <c r="G90" s="18"/>
      <c r="H90" s="18"/>
      <c r="I90" s="18"/>
      <c r="J90" s="18"/>
    </row>
  </sheetData>
  <mergeCells count="4">
    <mergeCell ref="J5:J10"/>
    <mergeCell ref="B3:J3"/>
    <mergeCell ref="D13:G13"/>
    <mergeCell ref="C1:J1"/>
  </mergeCells>
  <pageMargins left="0.7" right="0.7" top="0.75" bottom="0.75" header="0.3" footer="0.3"/>
  <ignoredErrors>
    <ignoredError sqref="E11" formulaRange="1"/>
    <ignoredError sqref="I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A8-7ECE-4E4A-8975-2B89234E5F93}">
  <dimension ref="B1:O34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C1" sqref="C1:M1"/>
    </sheetView>
  </sheetViews>
  <sheetFormatPr defaultRowHeight="15" x14ac:dyDescent="0.25"/>
  <cols>
    <col min="1" max="1" width="2" style="2" bestFit="1" customWidth="1"/>
    <col min="2" max="2" width="37.5703125" style="2" bestFit="1" customWidth="1"/>
    <col min="3" max="3" width="2" style="2" bestFit="1" customWidth="1"/>
    <col min="4" max="12" width="12.7109375" style="2" bestFit="1" customWidth="1"/>
    <col min="13" max="13" width="11.7109375" style="2" bestFit="1" customWidth="1"/>
    <col min="14" max="16384" width="9.140625" style="2"/>
  </cols>
  <sheetData>
    <row r="1" spans="2:15" ht="23.25" x14ac:dyDescent="0.25">
      <c r="B1" s="109" t="s">
        <v>15</v>
      </c>
      <c r="C1" s="259" t="s">
        <v>152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2:15" ht="15.75" thickBot="1" x14ac:dyDescent="0.3"/>
    <row r="3" spans="2:15" x14ac:dyDescent="0.25">
      <c r="B3" s="73" t="str">
        <f>'Income Statement'!B3</f>
        <v>Months ➡️</v>
      </c>
      <c r="C3" s="73"/>
      <c r="D3" s="73">
        <f>'Income Statement'!D3</f>
        <v>12</v>
      </c>
      <c r="E3" s="73">
        <f>'Income Statement'!E3</f>
        <v>12</v>
      </c>
      <c r="F3" s="73">
        <f>'Income Statement'!F3</f>
        <v>12</v>
      </c>
      <c r="G3" s="73">
        <f>'Income Statement'!G3</f>
        <v>12</v>
      </c>
      <c r="H3" s="73">
        <f>'Income Statement'!H3</f>
        <v>12</v>
      </c>
      <c r="I3" s="73">
        <f>'Income Statement'!I3</f>
        <v>12</v>
      </c>
      <c r="J3" s="73">
        <f>'Income Statement'!J3</f>
        <v>12</v>
      </c>
      <c r="K3" s="73">
        <f>'Income Statement'!K3</f>
        <v>12</v>
      </c>
      <c r="L3" s="73">
        <f>'Income Statement'!L3</f>
        <v>12</v>
      </c>
      <c r="M3" s="73">
        <f>'Income Statement'!M3</f>
        <v>12</v>
      </c>
    </row>
    <row r="4" spans="2:15" x14ac:dyDescent="0.25">
      <c r="B4" s="74" t="str">
        <f>'Income Statement'!B4</f>
        <v>Year ➡️</v>
      </c>
      <c r="C4" s="74"/>
      <c r="D4" s="74">
        <f>'Income Statement'!D4</f>
        <v>43830</v>
      </c>
      <c r="E4" s="74">
        <f>'Income Statement'!E4</f>
        <v>44196</v>
      </c>
      <c r="F4" s="74">
        <f>'Income Statement'!F4</f>
        <v>44561</v>
      </c>
      <c r="G4" s="74">
        <f>'Income Statement'!G4</f>
        <v>44926</v>
      </c>
      <c r="H4" s="74">
        <f>'Income Statement'!H4</f>
        <v>45291</v>
      </c>
      <c r="I4" s="74">
        <f>'Income Statement'!I4</f>
        <v>45657</v>
      </c>
      <c r="J4" s="74">
        <f>'Income Statement'!J4</f>
        <v>46022</v>
      </c>
      <c r="K4" s="74">
        <f>'Income Statement'!K4</f>
        <v>46387</v>
      </c>
      <c r="L4" s="74">
        <f>'Income Statement'!L4</f>
        <v>46752</v>
      </c>
      <c r="M4" s="74">
        <f>'Income Statement'!M4</f>
        <v>47118</v>
      </c>
    </row>
    <row r="5" spans="2:15" ht="15.75" thickBot="1" x14ac:dyDescent="0.3">
      <c r="B5" s="75"/>
      <c r="C5" s="75"/>
      <c r="D5" s="76" t="str">
        <f>'Income Statement'!D5</f>
        <v>Actual</v>
      </c>
      <c r="E5" s="76" t="str">
        <f>'Income Statement'!E5</f>
        <v>Actual</v>
      </c>
      <c r="F5" s="76" t="str">
        <f>'Income Statement'!F5</f>
        <v>Actual</v>
      </c>
      <c r="G5" s="76" t="str">
        <f>'Income Statement'!G5</f>
        <v>Actual</v>
      </c>
      <c r="H5" s="76" t="str">
        <f>'Income Statement'!H5</f>
        <v>Actual</v>
      </c>
      <c r="I5" s="77" t="str">
        <f>'Income Statement'!I5</f>
        <v>Projections</v>
      </c>
      <c r="J5" s="77" t="str">
        <f>'Income Statement'!J5</f>
        <v>Projections</v>
      </c>
      <c r="K5" s="77" t="str">
        <f>'Income Statement'!K5</f>
        <v>Projections</v>
      </c>
      <c r="L5" s="77" t="str">
        <f>'Income Statement'!L5</f>
        <v>Projections</v>
      </c>
      <c r="M5" s="77" t="str">
        <f>'Income Statement'!M5</f>
        <v>Projections</v>
      </c>
    </row>
    <row r="6" spans="2:15" x14ac:dyDescent="0.25">
      <c r="B6" s="19" t="s">
        <v>74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2:15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2:15" x14ac:dyDescent="0.25">
      <c r="B8" s="86" t="s">
        <v>63</v>
      </c>
      <c r="C8" s="24"/>
      <c r="D8" s="25">
        <f>C12</f>
        <v>418281</v>
      </c>
      <c r="E8" s="25">
        <f t="shared" ref="E8:M8" si="0">D12</f>
        <v>565221</v>
      </c>
      <c r="F8" s="25">
        <f t="shared" si="0"/>
        <v>960183</v>
      </c>
      <c r="G8" s="25">
        <f t="shared" si="0"/>
        <v>1323453</v>
      </c>
      <c r="H8" s="25">
        <f t="shared" si="0"/>
        <v>1398257</v>
      </c>
      <c r="I8" s="26">
        <f t="shared" si="0"/>
        <v>1491444</v>
      </c>
      <c r="J8" s="26">
        <f t="shared" si="0"/>
        <v>1507616.4683119603</v>
      </c>
      <c r="K8" s="26">
        <f t="shared" si="0"/>
        <v>1740955.7622832027</v>
      </c>
      <c r="L8" s="26">
        <f t="shared" si="0"/>
        <v>2015886.6593512509</v>
      </c>
      <c r="M8" s="26">
        <f t="shared" si="0"/>
        <v>2340874.0473712096</v>
      </c>
      <c r="N8" s="13">
        <v>2</v>
      </c>
      <c r="O8" s="13" t="s">
        <v>79</v>
      </c>
    </row>
    <row r="9" spans="2:15" x14ac:dyDescent="0.25">
      <c r="B9" s="86" t="s">
        <v>64</v>
      </c>
      <c r="C9" s="22"/>
      <c r="D9" s="27">
        <f>D10-D8</f>
        <v>250519</v>
      </c>
      <c r="E9" s="27">
        <f t="shared" ref="E9:H9" si="1">E10-E8</f>
        <v>510672</v>
      </c>
      <c r="F9" s="27">
        <f t="shared" si="1"/>
        <v>571682</v>
      </c>
      <c r="G9" s="27">
        <f t="shared" si="1"/>
        <v>411486</v>
      </c>
      <c r="H9" s="27">
        <f t="shared" si="1"/>
        <v>450134</v>
      </c>
      <c r="I9" s="28">
        <f t="shared" ref="I9" si="2">I10-I8</f>
        <v>297223.69812835287</v>
      </c>
      <c r="J9" s="28">
        <f t="shared" ref="J9" si="3">J10-J8</f>
        <v>557889.84666816471</v>
      </c>
      <c r="K9" s="28">
        <f t="shared" ref="K9" si="4">K10-K8</f>
        <v>650734.31702902727</v>
      </c>
      <c r="L9" s="28">
        <f t="shared" ref="L9" si="5">L10-L8</f>
        <v>761375.25170228793</v>
      </c>
      <c r="M9" s="28">
        <f t="shared" ref="M9" si="6">M10-M8</f>
        <v>893664.43023005035</v>
      </c>
      <c r="N9" s="13">
        <v>5</v>
      </c>
      <c r="O9" s="13" t="s">
        <v>80</v>
      </c>
    </row>
    <row r="10" spans="2:15" x14ac:dyDescent="0.25">
      <c r="B10" s="86" t="s">
        <v>65</v>
      </c>
      <c r="C10" s="22"/>
      <c r="D10" s="27">
        <f>D12+D11</f>
        <v>668800</v>
      </c>
      <c r="E10" s="27">
        <f t="shared" ref="E10:H10" si="7">E12+E11</f>
        <v>1075893</v>
      </c>
      <c r="F10" s="27">
        <f t="shared" si="7"/>
        <v>1531865</v>
      </c>
      <c r="G10" s="27">
        <f t="shared" si="7"/>
        <v>1734939</v>
      </c>
      <c r="H10" s="27">
        <f t="shared" si="7"/>
        <v>1848391</v>
      </c>
      <c r="I10" s="28">
        <f>'Income Statement'!I6/'FA Schedule'!$I$14</f>
        <v>1788667.6981283529</v>
      </c>
      <c r="J10" s="28">
        <f>'Income Statement'!J6/'FA Schedule'!$I$14</f>
        <v>2065506.3149801251</v>
      </c>
      <c r="K10" s="28">
        <f>'Income Statement'!K6/'FA Schedule'!$I$14</f>
        <v>2391690.07931223</v>
      </c>
      <c r="L10" s="28">
        <f>'Income Statement'!L6/'FA Schedule'!$I$14</f>
        <v>2777261.9110535388</v>
      </c>
      <c r="M10" s="28">
        <f>'Income Statement'!M6/'FA Schedule'!$I$14</f>
        <v>3234538.4776012599</v>
      </c>
      <c r="N10" s="13">
        <v>7</v>
      </c>
      <c r="O10" s="13" t="s">
        <v>83</v>
      </c>
    </row>
    <row r="11" spans="2:15" x14ac:dyDescent="0.25">
      <c r="B11" s="86" t="s">
        <v>66</v>
      </c>
      <c r="C11" s="22"/>
      <c r="D11" s="27">
        <f>'Income Statement'!D20</f>
        <v>103579</v>
      </c>
      <c r="E11" s="27">
        <f>'Income Statement'!E20</f>
        <v>115710</v>
      </c>
      <c r="F11" s="27">
        <f>'Income Statement'!F20</f>
        <v>208412</v>
      </c>
      <c r="G11" s="27">
        <f>'Income Statement'!G20</f>
        <v>336682</v>
      </c>
      <c r="H11" s="27">
        <f>'Income Statement'!H20</f>
        <v>356947</v>
      </c>
      <c r="I11" s="28">
        <f>I10*$I$16</f>
        <v>281051.22981639241</v>
      </c>
      <c r="J11" s="28">
        <f>J10*$I$16</f>
        <v>324550.55269692244</v>
      </c>
      <c r="K11" s="28">
        <f>K10*$I$16</f>
        <v>375803.4199609792</v>
      </c>
      <c r="L11" s="28">
        <f>L10*$I$16</f>
        <v>436387.86368232925</v>
      </c>
      <c r="M11" s="28">
        <f>M10*$I$16</f>
        <v>508239.18717239663</v>
      </c>
      <c r="N11" s="13">
        <v>3</v>
      </c>
      <c r="O11" s="13" t="s">
        <v>82</v>
      </c>
    </row>
    <row r="12" spans="2:15" ht="15.75" thickBot="1" x14ac:dyDescent="0.3">
      <c r="B12" s="88" t="s">
        <v>67</v>
      </c>
      <c r="C12" s="29">
        <v>418281</v>
      </c>
      <c r="D12" s="30">
        <f>'Balance Sheet'!D13</f>
        <v>565221</v>
      </c>
      <c r="E12" s="30">
        <f>'Balance Sheet'!E13</f>
        <v>960183</v>
      </c>
      <c r="F12" s="30">
        <f>'Balance Sheet'!F13</f>
        <v>1323453</v>
      </c>
      <c r="G12" s="30">
        <f>'Balance Sheet'!G13</f>
        <v>1398257</v>
      </c>
      <c r="H12" s="30">
        <f>'Balance Sheet'!H13</f>
        <v>1491444</v>
      </c>
      <c r="I12" s="31">
        <f>I10-I11</f>
        <v>1507616.4683119603</v>
      </c>
      <c r="J12" s="31">
        <f t="shared" ref="J12:M12" si="8">J10-J11</f>
        <v>1740955.7622832027</v>
      </c>
      <c r="K12" s="31">
        <f t="shared" si="8"/>
        <v>2015886.6593512509</v>
      </c>
      <c r="L12" s="31">
        <f t="shared" si="8"/>
        <v>2340874.0473712096</v>
      </c>
      <c r="M12" s="31">
        <f t="shared" si="8"/>
        <v>2726299.2904288634</v>
      </c>
      <c r="N12" s="13">
        <v>4</v>
      </c>
      <c r="O12" s="13" t="s">
        <v>81</v>
      </c>
    </row>
    <row r="13" spans="2:15" ht="15.75" thickTop="1" x14ac:dyDescent="0.25">
      <c r="B13" s="6"/>
      <c r="C13" s="4"/>
      <c r="M13" s="13" t="s">
        <v>94</v>
      </c>
      <c r="N13" s="13"/>
    </row>
    <row r="14" spans="2:15" x14ac:dyDescent="0.25">
      <c r="B14" s="15" t="s">
        <v>86</v>
      </c>
      <c r="C14" s="4"/>
      <c r="D14" s="16">
        <f>'Income Statement'!D6/D10</f>
        <v>29.693824760765551</v>
      </c>
      <c r="E14" s="16">
        <f>'Income Statement'!E6/E10</f>
        <v>23.010350471654711</v>
      </c>
      <c r="F14" s="16">
        <f>'Income Statement'!F6/F10</f>
        <v>19.267687426764109</v>
      </c>
      <c r="G14" s="16">
        <f>'Income Statement'!G6/G10</f>
        <v>18.138880963538199</v>
      </c>
      <c r="H14" s="16">
        <f>'Income Statement'!H6/H10</f>
        <v>18.199860310940704</v>
      </c>
      <c r="I14" s="8">
        <f>AVERAGE(D14:H14)</f>
        <v>21.662120786732654</v>
      </c>
      <c r="J14" s="9"/>
      <c r="K14" s="9"/>
      <c r="L14" s="9"/>
      <c r="M14" s="9"/>
      <c r="N14" s="13"/>
      <c r="O14" s="13" t="s">
        <v>84</v>
      </c>
    </row>
    <row r="15" spans="2:15" x14ac:dyDescent="0.25">
      <c r="B15" s="7"/>
      <c r="C15" s="4"/>
      <c r="D15" s="10"/>
      <c r="E15" s="10"/>
      <c r="F15" s="10"/>
      <c r="G15" s="10"/>
      <c r="H15" s="10"/>
      <c r="I15" s="11"/>
      <c r="N15" s="13"/>
      <c r="O15" s="13"/>
    </row>
    <row r="16" spans="2:15" x14ac:dyDescent="0.25">
      <c r="B16" s="15" t="s">
        <v>68</v>
      </c>
      <c r="C16" s="4"/>
      <c r="D16" s="17">
        <f>D11/D10</f>
        <v>0.1548729066985646</v>
      </c>
      <c r="E16" s="17">
        <f>E11/E10</f>
        <v>0.10754786953721235</v>
      </c>
      <c r="F16" s="17">
        <f>F11/F10</f>
        <v>0.13605115333270229</v>
      </c>
      <c r="G16" s="17">
        <f>G11/G10</f>
        <v>0.19405984879007274</v>
      </c>
      <c r="H16" s="17">
        <f>H11/H10</f>
        <v>0.19311227981525553</v>
      </c>
      <c r="I16" s="12">
        <f>AVERAGE(D16:H16)</f>
        <v>0.1571288116347615</v>
      </c>
      <c r="N16" s="13"/>
      <c r="O16" s="13"/>
    </row>
    <row r="17" spans="2:15" x14ac:dyDescent="0.25">
      <c r="B17" s="7"/>
      <c r="C17" s="4"/>
      <c r="N17" s="13"/>
      <c r="O17" s="13"/>
    </row>
    <row r="18" spans="2:15" ht="15.75" thickBot="1" x14ac:dyDescent="0.3">
      <c r="B18" s="10"/>
      <c r="C18" s="4"/>
      <c r="N18" s="13"/>
      <c r="O18" s="13"/>
    </row>
    <row r="19" spans="2:15" x14ac:dyDescent="0.25">
      <c r="B19" s="78" t="s">
        <v>69</v>
      </c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1"/>
      <c r="N19" s="13"/>
      <c r="O19" s="13"/>
    </row>
    <row r="20" spans="2:15" ht="15.75" thickBot="1" x14ac:dyDescent="0.3">
      <c r="B20" s="82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5"/>
      <c r="N20" s="13"/>
      <c r="O20" s="13"/>
    </row>
    <row r="21" spans="2:15" x14ac:dyDescent="0.25">
      <c r="B21" s="87" t="s">
        <v>63</v>
      </c>
      <c r="C21" s="35"/>
      <c r="D21" s="27">
        <f>C25</f>
        <v>14951141</v>
      </c>
      <c r="E21" s="27">
        <f t="shared" ref="E21:M21" si="9">D25</f>
        <v>24504567</v>
      </c>
      <c r="F21" s="27">
        <f t="shared" si="9"/>
        <v>25383950</v>
      </c>
      <c r="G21" s="27">
        <f t="shared" si="9"/>
        <v>30919539</v>
      </c>
      <c r="H21" s="27">
        <f t="shared" si="9"/>
        <v>32736713</v>
      </c>
      <c r="I21" s="28">
        <f t="shared" si="9"/>
        <v>31658056</v>
      </c>
      <c r="J21" s="28">
        <f t="shared" si="9"/>
        <v>22382799.074090846</v>
      </c>
      <c r="K21" s="28">
        <f t="shared" si="9"/>
        <v>15825030.26689706</v>
      </c>
      <c r="L21" s="28">
        <f t="shared" si="9"/>
        <v>11188573.069848735</v>
      </c>
      <c r="M21" s="28">
        <f t="shared" si="9"/>
        <v>7910516.7717249617</v>
      </c>
      <c r="N21" s="13"/>
      <c r="O21" s="13" t="s">
        <v>87</v>
      </c>
    </row>
    <row r="22" spans="2:15" x14ac:dyDescent="0.25">
      <c r="B22" s="87" t="s">
        <v>64</v>
      </c>
      <c r="C22" s="35"/>
      <c r="D22" s="27">
        <f>D23-D21</f>
        <v>18769673</v>
      </c>
      <c r="E22" s="27">
        <f t="shared" ref="E22:H22" si="10">E23-E21</f>
        <v>11686295</v>
      </c>
      <c r="F22" s="27">
        <f t="shared" si="10"/>
        <v>17765956</v>
      </c>
      <c r="G22" s="27">
        <f t="shared" si="10"/>
        <v>15843306</v>
      </c>
      <c r="H22" s="27">
        <f t="shared" si="10"/>
        <v>13118780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13"/>
      <c r="O22" s="13" t="s">
        <v>88</v>
      </c>
    </row>
    <row r="23" spans="2:15" x14ac:dyDescent="0.25">
      <c r="B23" s="87" t="s">
        <v>70</v>
      </c>
      <c r="C23" s="35"/>
      <c r="D23" s="27">
        <f>D25+D24</f>
        <v>33720814</v>
      </c>
      <c r="E23" s="27">
        <f t="shared" ref="E23:H23" si="11">E25+E24</f>
        <v>36190862</v>
      </c>
      <c r="F23" s="27">
        <f t="shared" si="11"/>
        <v>43149906</v>
      </c>
      <c r="G23" s="27">
        <f t="shared" si="11"/>
        <v>46762845</v>
      </c>
      <c r="H23" s="27">
        <f t="shared" si="11"/>
        <v>45855493</v>
      </c>
      <c r="I23" s="28">
        <f>I21-I22</f>
        <v>31658056</v>
      </c>
      <c r="J23" s="28">
        <f t="shared" ref="J23:M23" si="12">J21-J22</f>
        <v>22382799.074090846</v>
      </c>
      <c r="K23" s="28">
        <f t="shared" si="12"/>
        <v>15825030.26689706</v>
      </c>
      <c r="L23" s="28">
        <f t="shared" si="12"/>
        <v>11188573.069848735</v>
      </c>
      <c r="M23" s="28">
        <f t="shared" si="12"/>
        <v>7910516.7717249617</v>
      </c>
      <c r="N23" s="13"/>
      <c r="O23" s="13"/>
    </row>
    <row r="24" spans="2:15" x14ac:dyDescent="0.25">
      <c r="B24" s="87" t="s">
        <v>71</v>
      </c>
      <c r="C24" s="35"/>
      <c r="D24" s="27">
        <f>'Income Statement'!D19</f>
        <v>9216247</v>
      </c>
      <c r="E24" s="27">
        <f>'Income Statement'!E19</f>
        <v>10806912</v>
      </c>
      <c r="F24" s="27">
        <f>'Income Statement'!F19</f>
        <v>12230367</v>
      </c>
      <c r="G24" s="27">
        <f>'Income Statement'!G19</f>
        <v>14026132</v>
      </c>
      <c r="H24" s="27">
        <f>'Income Statement'!H19</f>
        <v>14197437</v>
      </c>
      <c r="I24" s="28">
        <f>$I$27*I23</f>
        <v>9275256.9259091541</v>
      </c>
      <c r="J24" s="28">
        <f t="shared" ref="J24:M24" si="13">J23*$I$27</f>
        <v>6557768.8071937868</v>
      </c>
      <c r="K24" s="28">
        <f t="shared" si="13"/>
        <v>4636457.197048326</v>
      </c>
      <c r="L24" s="28">
        <f t="shared" si="13"/>
        <v>3278056.2981237737</v>
      </c>
      <c r="M24" s="28">
        <f t="shared" si="13"/>
        <v>2317643.1134767868</v>
      </c>
      <c r="N24" s="13"/>
      <c r="O24" s="13"/>
    </row>
    <row r="25" spans="2:15" ht="15.75" thickBot="1" x14ac:dyDescent="0.3">
      <c r="B25" s="89" t="s">
        <v>67</v>
      </c>
      <c r="C25" s="29">
        <v>14951141</v>
      </c>
      <c r="D25" s="30">
        <f>'Balance Sheet'!D12</f>
        <v>24504567</v>
      </c>
      <c r="E25" s="30">
        <f>'Balance Sheet'!E12</f>
        <v>25383950</v>
      </c>
      <c r="F25" s="30">
        <f>'Balance Sheet'!F12</f>
        <v>30919539</v>
      </c>
      <c r="G25" s="30">
        <f>'Balance Sheet'!G12</f>
        <v>32736713</v>
      </c>
      <c r="H25" s="30">
        <f>'Balance Sheet'!H12</f>
        <v>31658056</v>
      </c>
      <c r="I25" s="31">
        <f>I23-I24</f>
        <v>22382799.074090846</v>
      </c>
      <c r="J25" s="31">
        <f t="shared" ref="J25:M25" si="14">J23-J24</f>
        <v>15825030.26689706</v>
      </c>
      <c r="K25" s="31">
        <f t="shared" si="14"/>
        <v>11188573.069848735</v>
      </c>
      <c r="L25" s="31">
        <f t="shared" si="14"/>
        <v>7910516.7717249617</v>
      </c>
      <c r="M25" s="31">
        <f t="shared" si="14"/>
        <v>5592873.6582481749</v>
      </c>
      <c r="N25" s="13"/>
      <c r="O25" s="13" t="s">
        <v>93</v>
      </c>
    </row>
    <row r="26" spans="2:15" ht="15.75" thickTop="1" x14ac:dyDescent="0.25">
      <c r="B26" s="10"/>
    </row>
    <row r="27" spans="2:15" x14ac:dyDescent="0.25">
      <c r="B27" s="15" t="s">
        <v>72</v>
      </c>
      <c r="C27" s="13"/>
      <c r="D27" s="17">
        <f>D24/D23</f>
        <v>0.2733103358655577</v>
      </c>
      <c r="E27" s="17">
        <f t="shared" ref="E27:H27" si="15">E24/E23</f>
        <v>0.29860885877766602</v>
      </c>
      <c r="F27" s="17">
        <f t="shared" si="15"/>
        <v>0.28343901838395663</v>
      </c>
      <c r="G27" s="17">
        <f t="shared" si="15"/>
        <v>0.29994180208667798</v>
      </c>
      <c r="H27" s="17">
        <f t="shared" si="15"/>
        <v>0.30961256920735758</v>
      </c>
      <c r="I27" s="12">
        <f>AVERAGE(D27:H27)</f>
        <v>0.29298251686424315</v>
      </c>
    </row>
    <row r="28" spans="2:15" x14ac:dyDescent="0.25">
      <c r="B28" s="18"/>
      <c r="C28" s="13"/>
      <c r="D28" s="13"/>
      <c r="E28" s="13"/>
      <c r="F28" s="13"/>
      <c r="G28" s="13"/>
      <c r="H28" s="13"/>
    </row>
    <row r="29" spans="2:15" x14ac:dyDescent="0.25">
      <c r="B29" s="15" t="s">
        <v>73</v>
      </c>
      <c r="C29" s="13"/>
      <c r="D29" s="13"/>
      <c r="E29" s="13"/>
      <c r="F29" s="13"/>
      <c r="G29" s="13"/>
      <c r="H29" s="13"/>
    </row>
    <row r="30" spans="2:15" x14ac:dyDescent="0.25">
      <c r="B30" s="15"/>
      <c r="C30" s="13"/>
      <c r="D30" s="13"/>
      <c r="E30" s="13"/>
      <c r="F30" s="13"/>
      <c r="G30" s="13"/>
      <c r="H30" s="13"/>
    </row>
    <row r="31" spans="2:15" x14ac:dyDescent="0.25">
      <c r="B31" s="65" t="s">
        <v>11</v>
      </c>
      <c r="C31" s="70" t="s">
        <v>10</v>
      </c>
    </row>
    <row r="32" spans="2:15" x14ac:dyDescent="0.25">
      <c r="C32" s="71" t="s">
        <v>151</v>
      </c>
    </row>
    <row r="33" spans="2:3" x14ac:dyDescent="0.25">
      <c r="C33" s="72" t="s">
        <v>12</v>
      </c>
    </row>
    <row r="34" spans="2:3" x14ac:dyDescent="0.25">
      <c r="B34" s="114" t="s">
        <v>14</v>
      </c>
      <c r="C34" s="129" t="s">
        <v>62</v>
      </c>
    </row>
  </sheetData>
  <mergeCells count="1">
    <mergeCell ref="C1:M1"/>
  </mergeCells>
  <pageMargins left="0.7" right="0.7" top="0.75" bottom="0.75" header="0.3" footer="0.3"/>
  <ignoredErrors>
    <ignoredError sqref="I24:M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E099-3F32-4E9B-901B-4B3065DD35C1}">
  <dimension ref="B1:K38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C1" sqref="C1:J1"/>
    </sheetView>
  </sheetViews>
  <sheetFormatPr defaultRowHeight="15" x14ac:dyDescent="0.25"/>
  <cols>
    <col min="1" max="1" width="2" style="2" bestFit="1" customWidth="1"/>
    <col min="2" max="2" width="38.28515625" style="2" bestFit="1" customWidth="1"/>
    <col min="3" max="3" width="2" style="2" bestFit="1" customWidth="1"/>
    <col min="4" max="9" width="20.42578125" style="2" bestFit="1" customWidth="1"/>
    <col min="10" max="10" width="19.42578125" style="2" bestFit="1" customWidth="1"/>
    <col min="11" max="11" width="16" style="2" bestFit="1" customWidth="1"/>
    <col min="12" max="16384" width="9.140625" style="2"/>
  </cols>
  <sheetData>
    <row r="1" spans="2:11" ht="23.25" x14ac:dyDescent="0.25">
      <c r="B1" s="109" t="s">
        <v>15</v>
      </c>
      <c r="C1" s="259" t="s">
        <v>152</v>
      </c>
      <c r="D1" s="259"/>
      <c r="E1" s="259"/>
      <c r="F1" s="259"/>
      <c r="G1" s="259"/>
      <c r="H1" s="259"/>
      <c r="I1" s="259"/>
      <c r="J1" s="259"/>
    </row>
    <row r="2" spans="2:11" ht="15.75" thickBot="1" x14ac:dyDescent="0.3"/>
    <row r="3" spans="2:11" x14ac:dyDescent="0.25">
      <c r="B3" s="73" t="str">
        <f>'Income Statement'!B3</f>
        <v>Months ➡️</v>
      </c>
      <c r="C3" s="73"/>
      <c r="D3" s="73">
        <f>'Income Statement'!I3</f>
        <v>12</v>
      </c>
      <c r="E3" s="73">
        <f>'Income Statement'!J3</f>
        <v>12</v>
      </c>
      <c r="F3" s="73">
        <f>'Income Statement'!K3</f>
        <v>12</v>
      </c>
      <c r="G3" s="73">
        <f>'Income Statement'!L3</f>
        <v>12</v>
      </c>
      <c r="H3" s="73">
        <f>'Income Statement'!M3</f>
        <v>12</v>
      </c>
      <c r="I3" s="73">
        <v>12</v>
      </c>
      <c r="J3" s="73">
        <v>12</v>
      </c>
    </row>
    <row r="4" spans="2:11" x14ac:dyDescent="0.25">
      <c r="B4" s="74" t="str">
        <f>'Income Statement'!B4</f>
        <v>Year ➡️</v>
      </c>
      <c r="C4" s="74"/>
      <c r="D4" s="74">
        <f>'Income Statement'!I4</f>
        <v>45657</v>
      </c>
      <c r="E4" s="74">
        <f>'Income Statement'!J4</f>
        <v>46022</v>
      </c>
      <c r="F4" s="74">
        <f>'Income Statement'!K4</f>
        <v>46387</v>
      </c>
      <c r="G4" s="74">
        <f>'Income Statement'!L4</f>
        <v>46752</v>
      </c>
      <c r="H4" s="74">
        <f>'Income Statement'!M4</f>
        <v>47118</v>
      </c>
      <c r="I4" s="74">
        <v>47483</v>
      </c>
      <c r="J4" s="74">
        <v>47848</v>
      </c>
    </row>
    <row r="5" spans="2:11" ht="15.75" thickBot="1" x14ac:dyDescent="0.3">
      <c r="B5" s="75"/>
      <c r="C5" s="75"/>
      <c r="D5" s="77" t="str">
        <f>'Income Statement'!I5</f>
        <v>Projections</v>
      </c>
      <c r="E5" s="77" t="str">
        <f>'Income Statement'!J5</f>
        <v>Projections</v>
      </c>
      <c r="F5" s="77" t="str">
        <f>'Income Statement'!K5</f>
        <v>Projections</v>
      </c>
      <c r="G5" s="77" t="str">
        <f>'Income Statement'!L5</f>
        <v>Projections</v>
      </c>
      <c r="H5" s="77" t="str">
        <f>'Income Statement'!M5</f>
        <v>Projections</v>
      </c>
      <c r="I5" s="77" t="s">
        <v>61</v>
      </c>
      <c r="J5" s="77" t="s">
        <v>61</v>
      </c>
    </row>
    <row r="6" spans="2:11" x14ac:dyDescent="0.25">
      <c r="B6" s="136" t="s">
        <v>26</v>
      </c>
      <c r="C6" s="20"/>
      <c r="D6" s="20"/>
      <c r="E6" s="20"/>
      <c r="F6" s="20"/>
      <c r="G6" s="20"/>
      <c r="H6" s="20"/>
      <c r="I6" s="20"/>
      <c r="J6" s="20"/>
    </row>
    <row r="7" spans="2:11" x14ac:dyDescent="0.25">
      <c r="B7" s="137"/>
      <c r="C7" s="22"/>
      <c r="D7" s="22"/>
      <c r="E7" s="22"/>
      <c r="F7" s="22"/>
      <c r="G7" s="22"/>
      <c r="H7" s="22"/>
      <c r="I7" s="22"/>
      <c r="J7" s="22"/>
    </row>
    <row r="8" spans="2:11" x14ac:dyDescent="0.25">
      <c r="B8" s="104" t="s">
        <v>89</v>
      </c>
      <c r="C8" s="141"/>
      <c r="D8" s="27">
        <f t="shared" ref="D8" si="0">C11</f>
        <v>14543261</v>
      </c>
      <c r="E8" s="27">
        <f>D11</f>
        <v>13830641.210999999</v>
      </c>
      <c r="F8" s="27">
        <f>E11</f>
        <v>13152939.791661</v>
      </c>
      <c r="G8" s="27">
        <f>F11</f>
        <v>12508445.741869612</v>
      </c>
      <c r="H8" s="27">
        <f>G11</f>
        <v>11895531.900518</v>
      </c>
      <c r="I8" s="27">
        <f t="shared" ref="I8:J8" si="1">H11</f>
        <v>11312650.837392619</v>
      </c>
      <c r="J8" s="27">
        <f t="shared" si="1"/>
        <v>10758330.946360381</v>
      </c>
      <c r="K8" s="13"/>
    </row>
    <row r="9" spans="2:11" x14ac:dyDescent="0.25">
      <c r="B9" s="138" t="s">
        <v>90</v>
      </c>
      <c r="C9" s="27"/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13"/>
    </row>
    <row r="10" spans="2:11" x14ac:dyDescent="0.25">
      <c r="B10" s="140" t="s">
        <v>102</v>
      </c>
      <c r="C10" s="142"/>
      <c r="D10" s="142">
        <f t="shared" ref="D10:J10" si="2">$D$14*D8</f>
        <v>712619.78899999999</v>
      </c>
      <c r="E10" s="142">
        <f t="shared" si="2"/>
        <v>677701.41933900001</v>
      </c>
      <c r="F10" s="142">
        <f t="shared" si="2"/>
        <v>644494.04979138903</v>
      </c>
      <c r="G10" s="142">
        <f t="shared" si="2"/>
        <v>612913.84135161096</v>
      </c>
      <c r="H10" s="142">
        <f t="shared" si="2"/>
        <v>582881.06312538206</v>
      </c>
      <c r="I10" s="142">
        <f t="shared" si="2"/>
        <v>554319.89103223837</v>
      </c>
      <c r="J10" s="142">
        <f t="shared" si="2"/>
        <v>527158.21637165872</v>
      </c>
      <c r="K10" s="13"/>
    </row>
    <row r="11" spans="2:11" ht="15.75" thickBot="1" x14ac:dyDescent="0.3">
      <c r="B11" s="139" t="s">
        <v>91</v>
      </c>
      <c r="C11" s="56">
        <f>'Balance Sheet'!H23+'Balance Sheet'!H26</f>
        <v>14543261</v>
      </c>
      <c r="D11" s="56">
        <f>D8+D9-D10</f>
        <v>13830641.210999999</v>
      </c>
      <c r="E11" s="56">
        <f t="shared" ref="E11:J11" si="3">E8+E9-E10</f>
        <v>13152939.791661</v>
      </c>
      <c r="F11" s="56">
        <f t="shared" si="3"/>
        <v>12508445.741869612</v>
      </c>
      <c r="G11" s="56">
        <f t="shared" si="3"/>
        <v>11895531.900518</v>
      </c>
      <c r="H11" s="56">
        <f t="shared" si="3"/>
        <v>11312650.837392619</v>
      </c>
      <c r="I11" s="56">
        <f t="shared" si="3"/>
        <v>10758330.946360381</v>
      </c>
      <c r="J11" s="56">
        <f t="shared" si="3"/>
        <v>10231172.729988722</v>
      </c>
      <c r="K11" s="13"/>
    </row>
    <row r="12" spans="2:11" ht="15.75" thickTop="1" x14ac:dyDescent="0.25">
      <c r="B12" s="143" t="s">
        <v>103</v>
      </c>
      <c r="C12" s="144"/>
      <c r="D12" s="14">
        <f>E10</f>
        <v>677701.41933900001</v>
      </c>
      <c r="E12" s="14">
        <f t="shared" ref="E12:J12" si="4">F10</f>
        <v>644494.04979138903</v>
      </c>
      <c r="F12" s="14">
        <f t="shared" si="4"/>
        <v>612913.84135161096</v>
      </c>
      <c r="G12" s="14">
        <f t="shared" si="4"/>
        <v>582881.06312538206</v>
      </c>
      <c r="H12" s="14">
        <f t="shared" si="4"/>
        <v>554319.89103223837</v>
      </c>
      <c r="I12" s="14">
        <f t="shared" si="4"/>
        <v>527158.21637165872</v>
      </c>
      <c r="J12" s="14">
        <f t="shared" si="4"/>
        <v>0</v>
      </c>
      <c r="K12" s="13"/>
    </row>
    <row r="13" spans="2:11" x14ac:dyDescent="0.25">
      <c r="B13" s="143" t="s">
        <v>92</v>
      </c>
      <c r="C13" s="144"/>
      <c r="D13" s="14">
        <f>D11-D12</f>
        <v>13152939.791661</v>
      </c>
      <c r="E13" s="14">
        <f t="shared" ref="E13:J13" si="5">E11-E12</f>
        <v>12508445.741869612</v>
      </c>
      <c r="F13" s="14">
        <f t="shared" si="5"/>
        <v>11895531.900518</v>
      </c>
      <c r="G13" s="14">
        <f t="shared" si="5"/>
        <v>11312650.837392619</v>
      </c>
      <c r="H13" s="14">
        <f t="shared" si="5"/>
        <v>10758330.946360381</v>
      </c>
      <c r="I13" s="14">
        <f t="shared" si="5"/>
        <v>10231172.729988722</v>
      </c>
      <c r="J13" s="14">
        <f t="shared" si="5"/>
        <v>10231172.729988722</v>
      </c>
      <c r="K13" s="13"/>
    </row>
    <row r="14" spans="2:11" x14ac:dyDescent="0.25">
      <c r="B14" s="145" t="s">
        <v>153</v>
      </c>
      <c r="D14" s="160">
        <v>4.9000000000000002E-2</v>
      </c>
      <c r="E14" s="13"/>
      <c r="F14" s="13"/>
      <c r="G14" s="13"/>
      <c r="H14" s="13"/>
      <c r="I14" s="13"/>
      <c r="J14" s="13"/>
      <c r="K14" s="13"/>
    </row>
    <row r="15" spans="2:11" x14ac:dyDescent="0.25">
      <c r="B15" s="143" t="s">
        <v>101</v>
      </c>
      <c r="C15" s="13"/>
      <c r="D15" s="14">
        <f>SUM(K19:K25)</f>
        <v>691436.66666666663</v>
      </c>
      <c r="E15" s="14">
        <f>SUM(K20:K25)</f>
        <v>668436.66666666663</v>
      </c>
      <c r="F15" s="14">
        <f>SUM(K21:K25)</f>
        <v>592645</v>
      </c>
      <c r="G15" s="14">
        <f>SUM(K22:K25)</f>
        <v>548895</v>
      </c>
      <c r="H15" s="14">
        <f>SUM(K23:K25)</f>
        <v>496912.5</v>
      </c>
      <c r="I15" s="14">
        <f>SUM(K24:K25)</f>
        <v>308787.49999999994</v>
      </c>
      <c r="J15" s="14">
        <f>SUM(K25)</f>
        <v>94137.499999999985</v>
      </c>
      <c r="K15" s="13"/>
    </row>
    <row r="16" spans="2:11" x14ac:dyDescent="0.25">
      <c r="B16" s="146"/>
      <c r="C16" s="13"/>
      <c r="D16" s="14"/>
      <c r="E16" s="14"/>
      <c r="F16" s="14"/>
      <c r="G16" s="14"/>
      <c r="H16" s="14"/>
      <c r="I16" s="14"/>
      <c r="J16" s="14"/>
    </row>
    <row r="17" spans="2:11" x14ac:dyDescent="0.25">
      <c r="B17" s="13"/>
      <c r="C17" s="13"/>
      <c r="D17" s="13"/>
      <c r="E17" s="109" t="s">
        <v>154</v>
      </c>
      <c r="F17" s="13"/>
      <c r="G17" s="32"/>
      <c r="I17" s="109" t="s">
        <v>155</v>
      </c>
      <c r="J17" s="36"/>
    </row>
    <row r="18" spans="2:11" x14ac:dyDescent="0.25">
      <c r="B18" s="13"/>
      <c r="C18" s="13"/>
      <c r="D18" s="149" t="s">
        <v>95</v>
      </c>
      <c r="E18" s="150" t="s">
        <v>156</v>
      </c>
      <c r="F18" s="150" t="s">
        <v>96</v>
      </c>
      <c r="H18" s="150" t="s">
        <v>97</v>
      </c>
      <c r="I18" s="150" t="s">
        <v>156</v>
      </c>
      <c r="J18" s="150" t="s">
        <v>98</v>
      </c>
      <c r="K18" s="150" t="s">
        <v>20</v>
      </c>
    </row>
    <row r="19" spans="2:11" x14ac:dyDescent="0.25">
      <c r="B19" s="13"/>
      <c r="C19" s="13"/>
      <c r="D19" s="153">
        <v>2024</v>
      </c>
      <c r="E19" s="40">
        <v>400</v>
      </c>
      <c r="F19" s="154">
        <v>5.7500000000000002E-2</v>
      </c>
      <c r="H19" s="153">
        <v>2024</v>
      </c>
      <c r="I19" s="27">
        <f>SUMIFS($E$19:$E$32,$D$19:$D$32,H19)*10^3</f>
        <v>400000</v>
      </c>
      <c r="J19" s="147">
        <f t="shared" ref="J19:J25" si="6">AVERAGEIFS($F$19:$F$32,$D$19:$D$32,H19)</f>
        <v>5.7500000000000002E-2</v>
      </c>
      <c r="K19" s="27">
        <f>I19*J19</f>
        <v>23000</v>
      </c>
    </row>
    <row r="20" spans="2:11" x14ac:dyDescent="0.25">
      <c r="B20" s="13"/>
      <c r="C20" s="13"/>
      <c r="D20" s="153">
        <v>2025</v>
      </c>
      <c r="E20" s="40">
        <v>800</v>
      </c>
      <c r="F20" s="154">
        <v>5.8749999999999997E-2</v>
      </c>
      <c r="H20" s="153">
        <v>2025</v>
      </c>
      <c r="I20" s="27">
        <f t="shared" ref="I20:I25" si="7">SUMIFS($E$19:$E$32,$D$19:$D$32,H20)*10^3</f>
        <v>1819000</v>
      </c>
      <c r="J20" s="147">
        <f t="shared" si="6"/>
        <v>4.1666666666666664E-2</v>
      </c>
      <c r="K20" s="27">
        <f t="shared" ref="K20:K25" si="8">I20*J20</f>
        <v>75791.666666666657</v>
      </c>
    </row>
    <row r="21" spans="2:11" x14ac:dyDescent="0.25">
      <c r="B21" s="13"/>
      <c r="C21" s="13"/>
      <c r="D21" s="153">
        <v>2025</v>
      </c>
      <c r="E21" s="40">
        <v>519</v>
      </c>
      <c r="F21" s="155">
        <v>0.03</v>
      </c>
      <c r="H21" s="153">
        <v>2026</v>
      </c>
      <c r="I21" s="27">
        <f t="shared" si="7"/>
        <v>1000000</v>
      </c>
      <c r="J21" s="147">
        <f t="shared" si="6"/>
        <v>4.3749999999999997E-2</v>
      </c>
      <c r="K21" s="27">
        <f t="shared" si="8"/>
        <v>43750</v>
      </c>
    </row>
    <row r="22" spans="2:11" x14ac:dyDescent="0.25">
      <c r="B22" s="13"/>
      <c r="C22" s="13"/>
      <c r="D22" s="153">
        <v>2025</v>
      </c>
      <c r="E22" s="40">
        <v>500</v>
      </c>
      <c r="F22" s="155">
        <v>3.6249999999999998E-2</v>
      </c>
      <c r="H22" s="153">
        <v>2027</v>
      </c>
      <c r="I22" s="27">
        <f t="shared" si="7"/>
        <v>1434000</v>
      </c>
      <c r="J22" s="147">
        <f t="shared" si="6"/>
        <v>3.6249999999999998E-2</v>
      </c>
      <c r="K22" s="27">
        <f t="shared" si="8"/>
        <v>51982.5</v>
      </c>
    </row>
    <row r="23" spans="2:11" x14ac:dyDescent="0.25">
      <c r="B23" s="13"/>
      <c r="C23" s="13"/>
      <c r="D23" s="153">
        <v>2026</v>
      </c>
      <c r="E23" s="40">
        <v>1000</v>
      </c>
      <c r="F23" s="155">
        <v>4.3749999999999997E-2</v>
      </c>
      <c r="H23" s="153">
        <v>2028</v>
      </c>
      <c r="I23" s="27">
        <f t="shared" si="7"/>
        <v>3500000</v>
      </c>
      <c r="J23" s="147">
        <f t="shared" si="6"/>
        <v>5.3749999999999999E-2</v>
      </c>
      <c r="K23" s="27">
        <f t="shared" si="8"/>
        <v>188125</v>
      </c>
    </row>
    <row r="24" spans="2:11" x14ac:dyDescent="0.25">
      <c r="B24" s="13"/>
      <c r="C24" s="13"/>
      <c r="D24" s="153">
        <v>2027</v>
      </c>
      <c r="E24" s="40">
        <v>1434</v>
      </c>
      <c r="F24" s="155">
        <v>3.6249999999999998E-2</v>
      </c>
      <c r="H24" s="153">
        <v>2029</v>
      </c>
      <c r="I24" s="27">
        <f t="shared" si="7"/>
        <v>4240000</v>
      </c>
      <c r="J24" s="147">
        <f t="shared" si="6"/>
        <v>5.0624999999999996E-2</v>
      </c>
      <c r="K24" s="27">
        <f t="shared" si="8"/>
        <v>214649.99999999997</v>
      </c>
    </row>
    <row r="25" spans="2:11" x14ac:dyDescent="0.25">
      <c r="B25" s="13"/>
      <c r="C25" s="13"/>
      <c r="D25" s="153">
        <v>2028</v>
      </c>
      <c r="E25" s="40">
        <v>1600</v>
      </c>
      <c r="F25" s="155">
        <v>4.8750000000000002E-2</v>
      </c>
      <c r="H25" s="156">
        <v>2030</v>
      </c>
      <c r="I25" s="142">
        <f t="shared" si="7"/>
        <v>2215000</v>
      </c>
      <c r="J25" s="148">
        <f t="shared" si="6"/>
        <v>4.2499999999999996E-2</v>
      </c>
      <c r="K25" s="142">
        <f t="shared" si="8"/>
        <v>94137.499999999985</v>
      </c>
    </row>
    <row r="26" spans="2:11" ht="15.75" thickBot="1" x14ac:dyDescent="0.3">
      <c r="B26" s="13"/>
      <c r="C26" s="13"/>
      <c r="D26" s="153">
        <v>2028</v>
      </c>
      <c r="E26" s="40">
        <v>1900</v>
      </c>
      <c r="F26" s="155">
        <v>5.8749999999999997E-2</v>
      </c>
      <c r="H26" s="151" t="s">
        <v>100</v>
      </c>
      <c r="I26" s="158">
        <f>SUM(I19:I25)</f>
        <v>14608000</v>
      </c>
      <c r="J26" s="152"/>
      <c r="K26" s="159">
        <f>SUM(K19:K25)</f>
        <v>691436.66666666663</v>
      </c>
    </row>
    <row r="27" spans="2:11" x14ac:dyDescent="0.25">
      <c r="B27" s="13"/>
      <c r="C27" s="13"/>
      <c r="D27" s="153">
        <v>2029</v>
      </c>
      <c r="E27" s="40">
        <v>1215</v>
      </c>
      <c r="F27" s="155">
        <v>4.6249999999999999E-2</v>
      </c>
      <c r="G27" s="13"/>
      <c r="H27" s="13"/>
      <c r="I27" s="13"/>
      <c r="J27" s="13"/>
    </row>
    <row r="28" spans="2:11" x14ac:dyDescent="0.25">
      <c r="B28" s="13"/>
      <c r="C28" s="13"/>
      <c r="D28" s="153">
        <v>2029</v>
      </c>
      <c r="E28" s="40">
        <v>800</v>
      </c>
      <c r="F28" s="155">
        <v>6.3750000000000001E-2</v>
      </c>
      <c r="G28" s="13"/>
      <c r="H28" s="13"/>
      <c r="I28" s="13"/>
      <c r="J28" s="13"/>
    </row>
    <row r="29" spans="2:11" x14ac:dyDescent="0.25">
      <c r="B29" s="13"/>
      <c r="C29" s="13"/>
      <c r="D29" s="153">
        <v>2029</v>
      </c>
      <c r="E29" s="40">
        <v>1325</v>
      </c>
      <c r="F29" s="155">
        <v>3.875E-2</v>
      </c>
      <c r="G29" s="13"/>
      <c r="H29" s="13" t="s">
        <v>104</v>
      </c>
      <c r="I29" s="13"/>
      <c r="J29" s="13"/>
    </row>
    <row r="30" spans="2:11" x14ac:dyDescent="0.25">
      <c r="B30" s="13"/>
      <c r="C30" s="13"/>
      <c r="D30" s="153">
        <v>2029</v>
      </c>
      <c r="E30" s="40">
        <v>900</v>
      </c>
      <c r="F30" s="155">
        <v>5.3749999999999999E-2</v>
      </c>
      <c r="G30" s="13"/>
      <c r="H30" s="13" t="s">
        <v>105</v>
      </c>
      <c r="I30" s="13"/>
      <c r="J30" s="13"/>
    </row>
    <row r="31" spans="2:11" x14ac:dyDescent="0.25">
      <c r="B31" s="13"/>
      <c r="C31" s="13"/>
      <c r="D31" s="153">
        <v>2030</v>
      </c>
      <c r="E31" s="40">
        <v>1215</v>
      </c>
      <c r="F31" s="155">
        <v>3.6249999999999998E-2</v>
      </c>
      <c r="G31" s="13"/>
      <c r="H31" s="13"/>
      <c r="I31" s="13"/>
      <c r="J31" s="13"/>
    </row>
    <row r="32" spans="2:11" x14ac:dyDescent="0.25">
      <c r="B32" s="13"/>
      <c r="C32" s="13"/>
      <c r="D32" s="156">
        <v>2030</v>
      </c>
      <c r="E32" s="54">
        <v>1000</v>
      </c>
      <c r="F32" s="157">
        <v>4.8750000000000002E-2</v>
      </c>
      <c r="G32" s="13"/>
      <c r="H32" s="13"/>
      <c r="I32" s="13"/>
      <c r="J32" s="13"/>
    </row>
    <row r="33" spans="2:10" ht="15.75" thickBot="1" x14ac:dyDescent="0.3">
      <c r="B33" s="13"/>
      <c r="C33" s="13"/>
      <c r="D33" s="151" t="s">
        <v>100</v>
      </c>
      <c r="E33" s="158">
        <f>SUM(E19:E32)</f>
        <v>14608</v>
      </c>
      <c r="F33" s="152"/>
      <c r="G33" s="13"/>
      <c r="H33" s="13"/>
      <c r="I33" s="13"/>
      <c r="J33" s="13"/>
    </row>
    <row r="34" spans="2:10" x14ac:dyDescent="0.25">
      <c r="B34" s="13"/>
      <c r="C34" s="13"/>
      <c r="D34" s="13"/>
      <c r="E34" s="13"/>
      <c r="F34" s="13"/>
      <c r="G34" s="13"/>
      <c r="H34" s="13"/>
      <c r="I34" s="13"/>
      <c r="J34" s="13"/>
    </row>
    <row r="35" spans="2:10" x14ac:dyDescent="0.25">
      <c r="B35" s="65" t="s">
        <v>11</v>
      </c>
      <c r="C35" s="70" t="s">
        <v>10</v>
      </c>
    </row>
    <row r="36" spans="2:10" x14ac:dyDescent="0.25">
      <c r="C36" s="71" t="s">
        <v>151</v>
      </c>
    </row>
    <row r="37" spans="2:10" x14ac:dyDescent="0.25">
      <c r="C37" s="72" t="s">
        <v>12</v>
      </c>
    </row>
    <row r="38" spans="2:10" x14ac:dyDescent="0.25">
      <c r="B38" s="114" t="s">
        <v>14</v>
      </c>
      <c r="C38" s="129" t="s">
        <v>62</v>
      </c>
    </row>
  </sheetData>
  <mergeCells count="1">
    <mergeCell ref="C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0A1D-FE9E-4F39-AA31-A02584329DA2}">
  <dimension ref="B1:N46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C1" sqref="C1:M1"/>
    </sheetView>
  </sheetViews>
  <sheetFormatPr defaultRowHeight="15" x14ac:dyDescent="0.25"/>
  <cols>
    <col min="1" max="1" width="2" style="2" bestFit="1" customWidth="1"/>
    <col min="2" max="2" width="72.7109375" style="2" bestFit="1" customWidth="1"/>
    <col min="3" max="3" width="2" style="2" bestFit="1" customWidth="1"/>
    <col min="4" max="8" width="12.42578125" style="2" bestFit="1" customWidth="1"/>
    <col min="9" max="13" width="16.5703125" style="2" bestFit="1" customWidth="1"/>
    <col min="14" max="14" width="9.140625" style="13"/>
    <col min="15" max="16384" width="9.140625" style="2"/>
  </cols>
  <sheetData>
    <row r="1" spans="2:14" ht="23.25" x14ac:dyDescent="0.25">
      <c r="B1" s="109" t="s">
        <v>15</v>
      </c>
      <c r="C1" s="259" t="s">
        <v>152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2:14" ht="15.75" thickBot="1" x14ac:dyDescent="0.3">
      <c r="B2" s="3"/>
      <c r="C2" s="1"/>
    </row>
    <row r="3" spans="2:14" x14ac:dyDescent="0.25">
      <c r="B3" s="73" t="str">
        <f>'Revenue Estimations'!B3</f>
        <v>Months ➡️</v>
      </c>
      <c r="C3" s="73"/>
      <c r="D3" s="73">
        <f>'Revenue Estimations'!D3</f>
        <v>12</v>
      </c>
      <c r="E3" s="73">
        <f>'Revenue Estimations'!E3</f>
        <v>12</v>
      </c>
      <c r="F3" s="73">
        <f>'Revenue Estimations'!F3</f>
        <v>12</v>
      </c>
      <c r="G3" s="73">
        <f>'Revenue Estimations'!G3</f>
        <v>12</v>
      </c>
      <c r="H3" s="73">
        <f>'Revenue Estimations'!H3</f>
        <v>12</v>
      </c>
      <c r="I3" s="73">
        <f>'Revenue Estimations'!I3</f>
        <v>12</v>
      </c>
      <c r="J3" s="73">
        <f>'Revenue Estimations'!J3</f>
        <v>12</v>
      </c>
      <c r="K3" s="73">
        <f>'Revenue Estimations'!K3</f>
        <v>12</v>
      </c>
      <c r="L3" s="73">
        <f>'Revenue Estimations'!L3</f>
        <v>12</v>
      </c>
      <c r="M3" s="73">
        <f>'Revenue Estimations'!M3</f>
        <v>12</v>
      </c>
    </row>
    <row r="4" spans="2:14" x14ac:dyDescent="0.25">
      <c r="B4" s="74" t="str">
        <f>'Revenue Estimations'!B4</f>
        <v>Year ➡️</v>
      </c>
      <c r="C4" s="74"/>
      <c r="D4" s="74">
        <f>'Revenue Estimations'!D4</f>
        <v>43830</v>
      </c>
      <c r="E4" s="74">
        <f>'Revenue Estimations'!E4</f>
        <v>44196</v>
      </c>
      <c r="F4" s="74">
        <f>'Revenue Estimations'!F4</f>
        <v>44561</v>
      </c>
      <c r="G4" s="74">
        <f>'Revenue Estimations'!G4</f>
        <v>44926</v>
      </c>
      <c r="H4" s="74">
        <f>'Revenue Estimations'!H4</f>
        <v>45291</v>
      </c>
      <c r="I4" s="74">
        <f>'Revenue Estimations'!I4</f>
        <v>45657</v>
      </c>
      <c r="J4" s="74">
        <f>'Revenue Estimations'!J4</f>
        <v>46022</v>
      </c>
      <c r="K4" s="74">
        <f>'Revenue Estimations'!K4</f>
        <v>46387</v>
      </c>
      <c r="L4" s="74">
        <f>'Revenue Estimations'!L4</f>
        <v>46752</v>
      </c>
      <c r="M4" s="74">
        <f>'Revenue Estimations'!M4</f>
        <v>47118</v>
      </c>
    </row>
    <row r="5" spans="2:14" ht="15.75" thickBot="1" x14ac:dyDescent="0.3">
      <c r="B5" s="76"/>
      <c r="C5" s="76"/>
      <c r="D5" s="76" t="str">
        <f>'Revenue Estimations'!D5</f>
        <v>Actual</v>
      </c>
      <c r="E5" s="76" t="str">
        <f>'Revenue Estimations'!E5</f>
        <v>Actual</v>
      </c>
      <c r="F5" s="76" t="str">
        <f>'Revenue Estimations'!F5</f>
        <v>Actual</v>
      </c>
      <c r="G5" s="76" t="str">
        <f>'Revenue Estimations'!G5</f>
        <v>Actual</v>
      </c>
      <c r="H5" s="76" t="str">
        <f>'Revenue Estimations'!H5</f>
        <v>Actual</v>
      </c>
      <c r="I5" s="77" t="str">
        <f>'Revenue Estimations'!I5</f>
        <v>Projections</v>
      </c>
      <c r="J5" s="77" t="str">
        <f>'Revenue Estimations'!J5</f>
        <v>Projections</v>
      </c>
      <c r="K5" s="77" t="str">
        <f>'Revenue Estimations'!K5</f>
        <v>Projections</v>
      </c>
      <c r="L5" s="77" t="str">
        <f>'Revenue Estimations'!L5</f>
        <v>Projections</v>
      </c>
      <c r="M5" s="77" t="str">
        <f>'Revenue Estimations'!M5</f>
        <v>Projections</v>
      </c>
    </row>
    <row r="6" spans="2:14" x14ac:dyDescent="0.25">
      <c r="B6" s="105" t="s">
        <v>16</v>
      </c>
      <c r="C6" s="90"/>
      <c r="D6" s="91">
        <f>'Revenue Estimations'!D21</f>
        <v>19859230</v>
      </c>
      <c r="E6" s="91">
        <f>'Revenue Estimations'!E21</f>
        <v>24756675</v>
      </c>
      <c r="F6" s="91">
        <f>'Revenue Estimations'!F21</f>
        <v>29515496</v>
      </c>
      <c r="G6" s="91">
        <f>'Revenue Estimations'!G21</f>
        <v>31469852</v>
      </c>
      <c r="H6" s="91">
        <f>'Revenue Estimations'!H21</f>
        <v>33640458</v>
      </c>
      <c r="I6" s="92">
        <f>'Revenue Estimations'!I21</f>
        <v>38746335.72418344</v>
      </c>
      <c r="J6" s="92">
        <f>'Revenue Estimations'!J21</f>
        <v>44743247.280858532</v>
      </c>
      <c r="K6" s="92">
        <f>'Revenue Estimations'!K21</f>
        <v>51809079.382491723</v>
      </c>
      <c r="L6" s="92">
        <f>'Revenue Estimations'!L21</f>
        <v>60161382.973633721</v>
      </c>
      <c r="M6" s="92">
        <f>'Revenue Estimations'!M21</f>
        <v>70066963.191132843</v>
      </c>
    </row>
    <row r="7" spans="2:14" x14ac:dyDescent="0.25">
      <c r="B7" s="103"/>
      <c r="C7" s="93"/>
      <c r="D7" s="35"/>
      <c r="E7" s="35"/>
      <c r="F7" s="35"/>
      <c r="G7" s="35"/>
      <c r="H7" s="35"/>
      <c r="I7" s="28"/>
      <c r="J7" s="28"/>
      <c r="K7" s="28"/>
      <c r="L7" s="28"/>
      <c r="M7" s="28"/>
    </row>
    <row r="8" spans="2:14" x14ac:dyDescent="0.25">
      <c r="B8" s="104" t="s">
        <v>147</v>
      </c>
      <c r="C8" s="22"/>
      <c r="D8" s="40">
        <v>12440213</v>
      </c>
      <c r="E8" s="40">
        <v>15276319</v>
      </c>
      <c r="F8" s="40">
        <v>17332683</v>
      </c>
      <c r="G8" s="40">
        <v>19168285</v>
      </c>
      <c r="H8" s="40">
        <v>19715368</v>
      </c>
      <c r="I8" s="28">
        <f>I$6*I35</f>
        <v>23448349.118531071</v>
      </c>
      <c r="J8" s="28">
        <f>J$6*J35</f>
        <v>27077535.548310161</v>
      </c>
      <c r="K8" s="28">
        <f>K$6*K35</f>
        <v>31353606.945394788</v>
      </c>
      <c r="L8" s="28">
        <f>L$6*L35</f>
        <v>36408219.901396729</v>
      </c>
      <c r="M8" s="28">
        <f>M$6*M35</f>
        <v>42402838.458747528</v>
      </c>
    </row>
    <row r="9" spans="2:14" x14ac:dyDescent="0.25">
      <c r="B9" s="39"/>
      <c r="C9" s="22"/>
      <c r="D9" s="40"/>
      <c r="E9" s="40"/>
      <c r="F9" s="40"/>
      <c r="G9" s="40"/>
      <c r="H9" s="40"/>
      <c r="I9" s="28"/>
      <c r="J9" s="28"/>
      <c r="K9" s="28"/>
      <c r="L9" s="28"/>
      <c r="M9" s="28"/>
    </row>
    <row r="10" spans="2:14" x14ac:dyDescent="0.25">
      <c r="B10" s="107" t="s">
        <v>157</v>
      </c>
      <c r="C10" s="97"/>
      <c r="D10" s="50">
        <f>D6-D8</f>
        <v>7419017</v>
      </c>
      <c r="E10" s="50">
        <f t="shared" ref="E10:H10" si="0">E6-E8</f>
        <v>9480356</v>
      </c>
      <c r="F10" s="50">
        <f t="shared" si="0"/>
        <v>12182813</v>
      </c>
      <c r="G10" s="50">
        <f t="shared" si="0"/>
        <v>12301567</v>
      </c>
      <c r="H10" s="50">
        <f t="shared" si="0"/>
        <v>13925090</v>
      </c>
      <c r="I10" s="51">
        <f t="shared" ref="I10" si="1">I6-I8</f>
        <v>15297986.60565237</v>
      </c>
      <c r="J10" s="51">
        <f t="shared" ref="J10" si="2">J6-J8</f>
        <v>17665711.732548371</v>
      </c>
      <c r="K10" s="51">
        <f t="shared" ref="K10" si="3">K6-K8</f>
        <v>20455472.437096935</v>
      </c>
      <c r="L10" s="51">
        <f t="shared" ref="L10" si="4">L6-L8</f>
        <v>23753163.072236992</v>
      </c>
      <c r="M10" s="51">
        <f t="shared" ref="M10" si="5">M6-M8</f>
        <v>27664124.732385315</v>
      </c>
    </row>
    <row r="11" spans="2:14" x14ac:dyDescent="0.25">
      <c r="B11" s="177" t="s">
        <v>158</v>
      </c>
      <c r="C11" s="178"/>
      <c r="D11" s="176">
        <f>D10/D6</f>
        <v>0.37358029490569372</v>
      </c>
      <c r="E11" s="176">
        <f t="shared" ref="E11:M11" si="6">E10/E6</f>
        <v>0.3829414087311806</v>
      </c>
      <c r="F11" s="176">
        <f t="shared" si="6"/>
        <v>0.41275989398924551</v>
      </c>
      <c r="G11" s="176">
        <f t="shared" si="6"/>
        <v>0.39090005888810664</v>
      </c>
      <c r="H11" s="176">
        <f t="shared" si="6"/>
        <v>0.41393877574437304</v>
      </c>
      <c r="I11" s="176">
        <f t="shared" si="6"/>
        <v>0.39482408645172001</v>
      </c>
      <c r="J11" s="176">
        <f t="shared" si="6"/>
        <v>0.3948240864517199</v>
      </c>
      <c r="K11" s="176">
        <f t="shared" si="6"/>
        <v>0.39482408645171996</v>
      </c>
      <c r="L11" s="176">
        <f t="shared" si="6"/>
        <v>0.39482408645171996</v>
      </c>
      <c r="M11" s="176">
        <f t="shared" si="6"/>
        <v>0.39482408645171996</v>
      </c>
    </row>
    <row r="12" spans="2:14" x14ac:dyDescent="0.25">
      <c r="B12" s="104" t="s">
        <v>17</v>
      </c>
      <c r="C12" s="22"/>
      <c r="D12" s="40">
        <v>2652462</v>
      </c>
      <c r="E12" s="40">
        <v>2228362</v>
      </c>
      <c r="F12" s="40">
        <v>2545146</v>
      </c>
      <c r="G12" s="40">
        <v>2530502</v>
      </c>
      <c r="H12" s="40">
        <v>2657883</v>
      </c>
      <c r="I12" s="28">
        <f t="shared" ref="I12:M14" si="7">I$6*I36</f>
        <v>3636137.9316357174</v>
      </c>
      <c r="J12" s="28">
        <f t="shared" si="7"/>
        <v>4198916.24799354</v>
      </c>
      <c r="K12" s="28">
        <f t="shared" si="7"/>
        <v>4862007.0833749603</v>
      </c>
      <c r="L12" s="28">
        <f t="shared" si="7"/>
        <v>5645826.4391065314</v>
      </c>
      <c r="M12" s="28">
        <f t="shared" si="7"/>
        <v>6575412.5610073013</v>
      </c>
    </row>
    <row r="13" spans="2:14" x14ac:dyDescent="0.25">
      <c r="B13" s="104" t="s">
        <v>18</v>
      </c>
      <c r="C13" s="22"/>
      <c r="D13" s="40">
        <v>1545149</v>
      </c>
      <c r="E13" s="40">
        <v>1829600</v>
      </c>
      <c r="F13" s="40">
        <v>2273885</v>
      </c>
      <c r="G13" s="40">
        <v>2711041</v>
      </c>
      <c r="H13" s="40">
        <v>2675758</v>
      </c>
      <c r="I13" s="28">
        <f t="shared" si="7"/>
        <v>3056589.0410766159</v>
      </c>
      <c r="J13" s="28">
        <f t="shared" si="7"/>
        <v>3529668.4639908737</v>
      </c>
      <c r="K13" s="28">
        <f t="shared" si="7"/>
        <v>4087072.0110431807</v>
      </c>
      <c r="L13" s="28">
        <f t="shared" si="7"/>
        <v>4745961.6620843057</v>
      </c>
      <c r="M13" s="28">
        <f t="shared" si="7"/>
        <v>5527384.9211465977</v>
      </c>
    </row>
    <row r="14" spans="2:14" x14ac:dyDescent="0.25">
      <c r="B14" s="104" t="s">
        <v>19</v>
      </c>
      <c r="C14" s="22"/>
      <c r="D14" s="40">
        <v>914369</v>
      </c>
      <c r="E14" s="40">
        <v>1076486</v>
      </c>
      <c r="F14" s="40">
        <v>1351621</v>
      </c>
      <c r="G14" s="40">
        <v>1572891</v>
      </c>
      <c r="H14" s="40">
        <v>1720285</v>
      </c>
      <c r="I14" s="28">
        <f t="shared" si="7"/>
        <v>1832213.8625448695</v>
      </c>
      <c r="J14" s="28">
        <f t="shared" si="7"/>
        <v>2115792.2779287463</v>
      </c>
      <c r="K14" s="28">
        <f t="shared" si="7"/>
        <v>2449917.1773562445</v>
      </c>
      <c r="L14" s="28">
        <f t="shared" si="7"/>
        <v>2844875.9815334924</v>
      </c>
      <c r="M14" s="28">
        <f t="shared" si="7"/>
        <v>3313285.2143509421</v>
      </c>
    </row>
    <row r="15" spans="2:14" x14ac:dyDescent="0.25">
      <c r="B15" s="106" t="s">
        <v>23</v>
      </c>
      <c r="C15" s="94"/>
      <c r="D15" s="43">
        <f t="shared" ref="D15:M15" si="8">SUM(D8,D12,D13,D14)-D21</f>
        <v>8232367</v>
      </c>
      <c r="E15" s="43">
        <f t="shared" si="8"/>
        <v>9488145</v>
      </c>
      <c r="F15" s="43">
        <f t="shared" si="8"/>
        <v>11064556</v>
      </c>
      <c r="G15" s="43">
        <f t="shared" si="8"/>
        <v>11619905</v>
      </c>
      <c r="H15" s="43">
        <f t="shared" si="8"/>
        <v>12214910</v>
      </c>
      <c r="I15" s="44">
        <f t="shared" si="8"/>
        <v>22416981.798062727</v>
      </c>
      <c r="J15" s="44">
        <f t="shared" si="8"/>
        <v>30039593.178332608</v>
      </c>
      <c r="K15" s="44">
        <f t="shared" si="8"/>
        <v>37740342.600159869</v>
      </c>
      <c r="L15" s="44">
        <f t="shared" si="8"/>
        <v>45930439.822314948</v>
      </c>
      <c r="M15" s="44">
        <f t="shared" si="8"/>
        <v>54993038.854603186</v>
      </c>
      <c r="N15" s="13" t="s">
        <v>162</v>
      </c>
    </row>
    <row r="16" spans="2:14" x14ac:dyDescent="0.25">
      <c r="B16" s="38"/>
      <c r="C16" s="93"/>
      <c r="D16" s="35"/>
      <c r="E16" s="35"/>
      <c r="F16" s="35"/>
      <c r="G16" s="35"/>
      <c r="H16" s="35"/>
      <c r="I16" s="28"/>
      <c r="J16" s="28"/>
      <c r="K16" s="28"/>
      <c r="L16" s="28"/>
      <c r="M16" s="28"/>
    </row>
    <row r="17" spans="2:14" x14ac:dyDescent="0.25">
      <c r="B17" s="107" t="s">
        <v>24</v>
      </c>
      <c r="C17" s="95"/>
      <c r="D17" s="50">
        <f t="shared" ref="D17:M17" si="9">D6-D15</f>
        <v>11626863</v>
      </c>
      <c r="E17" s="50">
        <f t="shared" si="9"/>
        <v>15268530</v>
      </c>
      <c r="F17" s="50">
        <f t="shared" si="9"/>
        <v>18450940</v>
      </c>
      <c r="G17" s="50">
        <f t="shared" si="9"/>
        <v>19849947</v>
      </c>
      <c r="H17" s="50">
        <f t="shared" si="9"/>
        <v>21425548</v>
      </c>
      <c r="I17" s="51">
        <f t="shared" si="9"/>
        <v>16329353.926120713</v>
      </c>
      <c r="J17" s="51">
        <f t="shared" si="9"/>
        <v>14703654.102525923</v>
      </c>
      <c r="K17" s="51">
        <f t="shared" si="9"/>
        <v>14068736.782331854</v>
      </c>
      <c r="L17" s="51">
        <f t="shared" si="9"/>
        <v>14230943.151318774</v>
      </c>
      <c r="M17" s="51">
        <f t="shared" si="9"/>
        <v>15073924.336529657</v>
      </c>
    </row>
    <row r="18" spans="2:14" x14ac:dyDescent="0.25">
      <c r="B18" s="177" t="s">
        <v>159</v>
      </c>
      <c r="C18" s="178"/>
      <c r="D18" s="176">
        <f>D17/D6</f>
        <v>0.58546393792709994</v>
      </c>
      <c r="E18" s="176">
        <f t="shared" ref="E18:M18" si="10">E17/E6</f>
        <v>0.61674396905077111</v>
      </c>
      <c r="F18" s="176">
        <f t="shared" si="10"/>
        <v>0.62512722130774967</v>
      </c>
      <c r="G18" s="176">
        <f t="shared" si="10"/>
        <v>0.63076073570349167</v>
      </c>
      <c r="H18" s="176">
        <f t="shared" si="10"/>
        <v>0.63689822534520779</v>
      </c>
      <c r="I18" s="176">
        <f t="shared" si="10"/>
        <v>0.42144253439503399</v>
      </c>
      <c r="J18" s="176">
        <f t="shared" si="10"/>
        <v>0.32862286481420061</v>
      </c>
      <c r="K18" s="176">
        <f t="shared" si="10"/>
        <v>0.27154963859647774</v>
      </c>
      <c r="L18" s="176">
        <f t="shared" si="10"/>
        <v>0.23654614385370124</v>
      </c>
      <c r="M18" s="176">
        <f t="shared" si="10"/>
        <v>0.21513597350309172</v>
      </c>
    </row>
    <row r="19" spans="2:14" x14ac:dyDescent="0.25">
      <c r="B19" s="104" t="s">
        <v>75</v>
      </c>
      <c r="C19" s="96"/>
      <c r="D19" s="40">
        <v>9216247</v>
      </c>
      <c r="E19" s="40">
        <v>10806912</v>
      </c>
      <c r="F19" s="40">
        <v>12230367</v>
      </c>
      <c r="G19" s="40">
        <v>14026132</v>
      </c>
      <c r="H19" s="40">
        <v>14197437</v>
      </c>
      <c r="I19" s="28">
        <f>'FA Schedule'!I24</f>
        <v>9275256.9259091541</v>
      </c>
      <c r="J19" s="28">
        <f>'FA Schedule'!J24</f>
        <v>6557768.8071937868</v>
      </c>
      <c r="K19" s="28">
        <f>'FA Schedule'!K24</f>
        <v>4636457.197048326</v>
      </c>
      <c r="L19" s="28">
        <f>'FA Schedule'!L24</f>
        <v>3278056.2981237737</v>
      </c>
      <c r="M19" s="28">
        <f>'FA Schedule'!M24</f>
        <v>2317643.1134767868</v>
      </c>
      <c r="N19" s="13" t="s">
        <v>85</v>
      </c>
    </row>
    <row r="20" spans="2:14" x14ac:dyDescent="0.25">
      <c r="B20" s="104" t="s">
        <v>76</v>
      </c>
      <c r="C20" s="96"/>
      <c r="D20" s="40">
        <v>103579</v>
      </c>
      <c r="E20" s="40">
        <v>115710</v>
      </c>
      <c r="F20" s="40">
        <v>208412</v>
      </c>
      <c r="G20" s="40">
        <v>336682</v>
      </c>
      <c r="H20" s="40">
        <v>356947</v>
      </c>
      <c r="I20" s="28">
        <f>'FA Schedule'!I11</f>
        <v>281051.22981639241</v>
      </c>
      <c r="J20" s="28">
        <f>'FA Schedule'!J11</f>
        <v>324550.55269692244</v>
      </c>
      <c r="K20" s="28">
        <f>'FA Schedule'!K11</f>
        <v>375803.4199609792</v>
      </c>
      <c r="L20" s="28">
        <f>'FA Schedule'!L11</f>
        <v>436387.86368232925</v>
      </c>
      <c r="M20" s="28">
        <f>'FA Schedule'!M11</f>
        <v>508239.18717239663</v>
      </c>
      <c r="N20" s="13" t="s">
        <v>85</v>
      </c>
    </row>
    <row r="21" spans="2:14" x14ac:dyDescent="0.25">
      <c r="B21" s="106" t="s">
        <v>77</v>
      </c>
      <c r="C21" s="95"/>
      <c r="D21" s="43">
        <f>SUM(D19:D20)</f>
        <v>9319826</v>
      </c>
      <c r="E21" s="43">
        <f t="shared" ref="E21:M21" si="11">SUM(E19:E20)</f>
        <v>10922622</v>
      </c>
      <c r="F21" s="43">
        <f t="shared" si="11"/>
        <v>12438779</v>
      </c>
      <c r="G21" s="43">
        <f t="shared" si="11"/>
        <v>14362814</v>
      </c>
      <c r="H21" s="43">
        <f t="shared" si="11"/>
        <v>14554384</v>
      </c>
      <c r="I21" s="44">
        <f t="shared" si="11"/>
        <v>9556308.1557255462</v>
      </c>
      <c r="J21" s="44">
        <f t="shared" si="11"/>
        <v>6882319.3598907096</v>
      </c>
      <c r="K21" s="44">
        <f t="shared" si="11"/>
        <v>5012260.6170093054</v>
      </c>
      <c r="L21" s="44">
        <f t="shared" si="11"/>
        <v>3714444.1618061028</v>
      </c>
      <c r="M21" s="44">
        <f t="shared" si="11"/>
        <v>2825882.3006491833</v>
      </c>
    </row>
    <row r="22" spans="2:14" x14ac:dyDescent="0.25">
      <c r="B22" s="41"/>
      <c r="C22" s="95"/>
      <c r="D22" s="43"/>
      <c r="E22" s="43"/>
      <c r="F22" s="43"/>
      <c r="G22" s="43"/>
      <c r="H22" s="43"/>
      <c r="I22" s="44"/>
      <c r="J22" s="44"/>
      <c r="K22" s="44"/>
      <c r="L22" s="44"/>
      <c r="M22" s="44"/>
    </row>
    <row r="23" spans="2:14" x14ac:dyDescent="0.25">
      <c r="B23" s="107" t="s">
        <v>78</v>
      </c>
      <c r="C23" s="95"/>
      <c r="D23" s="50">
        <f t="shared" ref="D23:M23" si="12">D17-D21</f>
        <v>2307037</v>
      </c>
      <c r="E23" s="50">
        <f t="shared" si="12"/>
        <v>4345908</v>
      </c>
      <c r="F23" s="50">
        <f t="shared" si="12"/>
        <v>6012161</v>
      </c>
      <c r="G23" s="50">
        <f t="shared" si="12"/>
        <v>5487133</v>
      </c>
      <c r="H23" s="50">
        <f t="shared" si="12"/>
        <v>6871164</v>
      </c>
      <c r="I23" s="51">
        <f t="shared" si="12"/>
        <v>6773045.7703951672</v>
      </c>
      <c r="J23" s="51">
        <f t="shared" si="12"/>
        <v>7821334.7426352138</v>
      </c>
      <c r="K23" s="51">
        <f t="shared" si="12"/>
        <v>9056476.1653225496</v>
      </c>
      <c r="L23" s="51">
        <f t="shared" si="12"/>
        <v>10516498.989512671</v>
      </c>
      <c r="M23" s="51">
        <f t="shared" si="12"/>
        <v>12248042.035880474</v>
      </c>
    </row>
    <row r="24" spans="2:14" x14ac:dyDescent="0.25">
      <c r="B24" s="39"/>
      <c r="C24" s="22"/>
      <c r="D24" s="40"/>
      <c r="E24" s="40"/>
      <c r="F24" s="40"/>
      <c r="G24" s="40"/>
      <c r="H24" s="40"/>
      <c r="I24" s="28"/>
      <c r="J24" s="28"/>
      <c r="K24" s="28"/>
      <c r="L24" s="28"/>
      <c r="M24" s="28"/>
    </row>
    <row r="25" spans="2:14" x14ac:dyDescent="0.25">
      <c r="B25" s="104" t="s">
        <v>20</v>
      </c>
      <c r="C25" s="22"/>
      <c r="D25" s="40">
        <v>-626023</v>
      </c>
      <c r="E25" s="40">
        <v>-767499</v>
      </c>
      <c r="F25" s="40">
        <v>-765620</v>
      </c>
      <c r="G25" s="40">
        <v>-706212</v>
      </c>
      <c r="H25" s="40">
        <v>-699826</v>
      </c>
      <c r="I25" s="28">
        <f>-'Debt Schedule'!D15</f>
        <v>-691436.66666666663</v>
      </c>
      <c r="J25" s="28">
        <f>-'Debt Schedule'!E15</f>
        <v>-668436.66666666663</v>
      </c>
      <c r="K25" s="28">
        <f>-'Debt Schedule'!F15</f>
        <v>-592645</v>
      </c>
      <c r="L25" s="28">
        <f>-'Debt Schedule'!G15</f>
        <v>-548895</v>
      </c>
      <c r="M25" s="28">
        <f>-'Debt Schedule'!H15</f>
        <v>-496912.5</v>
      </c>
      <c r="N25" s="13" t="s">
        <v>99</v>
      </c>
    </row>
    <row r="26" spans="2:14" x14ac:dyDescent="0.25">
      <c r="B26" s="104" t="s">
        <v>22</v>
      </c>
      <c r="C26" s="22"/>
      <c r="D26" s="40">
        <v>84000</v>
      </c>
      <c r="E26" s="40">
        <v>-618441</v>
      </c>
      <c r="F26" s="40">
        <v>411214</v>
      </c>
      <c r="G26" s="40">
        <v>337310</v>
      </c>
      <c r="H26" s="40">
        <v>-48772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</row>
    <row r="27" spans="2:14" x14ac:dyDescent="0.25">
      <c r="B27" s="106" t="s">
        <v>25</v>
      </c>
      <c r="C27" s="94"/>
      <c r="D27" s="43">
        <f>SUM(D25:D26)</f>
        <v>-542023</v>
      </c>
      <c r="E27" s="43">
        <f t="shared" ref="E27:H27" si="13">SUM(E25:E26)</f>
        <v>-1385940</v>
      </c>
      <c r="F27" s="43">
        <f t="shared" si="13"/>
        <v>-354406</v>
      </c>
      <c r="G27" s="43">
        <f t="shared" si="13"/>
        <v>-368902</v>
      </c>
      <c r="H27" s="43">
        <f t="shared" si="13"/>
        <v>-748598</v>
      </c>
      <c r="I27" s="44">
        <f t="shared" ref="I27:M27" si="14">SUM(I25:I26)</f>
        <v>-691436.66666666663</v>
      </c>
      <c r="J27" s="44">
        <f t="shared" si="14"/>
        <v>-668436.66666666663</v>
      </c>
      <c r="K27" s="44">
        <f t="shared" si="14"/>
        <v>-592645</v>
      </c>
      <c r="L27" s="44">
        <f t="shared" si="14"/>
        <v>-548895</v>
      </c>
      <c r="M27" s="44">
        <f t="shared" si="14"/>
        <v>-496912.5</v>
      </c>
    </row>
    <row r="28" spans="2:14" x14ac:dyDescent="0.25">
      <c r="B28" s="41"/>
      <c r="C28" s="94"/>
      <c r="D28" s="43"/>
      <c r="E28" s="43"/>
      <c r="F28" s="43"/>
      <c r="G28" s="43"/>
      <c r="H28" s="43"/>
      <c r="I28" s="44"/>
      <c r="J28" s="44"/>
      <c r="K28" s="44"/>
      <c r="L28" s="44"/>
      <c r="M28" s="44"/>
    </row>
    <row r="29" spans="2:14" x14ac:dyDescent="0.25">
      <c r="B29" s="107" t="s">
        <v>27</v>
      </c>
      <c r="C29" s="97"/>
      <c r="D29" s="50">
        <f t="shared" ref="D29:M29" si="15">D23+D27</f>
        <v>1765014</v>
      </c>
      <c r="E29" s="50">
        <f t="shared" si="15"/>
        <v>2959968</v>
      </c>
      <c r="F29" s="50">
        <f t="shared" si="15"/>
        <v>5657755</v>
      </c>
      <c r="G29" s="50">
        <f t="shared" si="15"/>
        <v>5118231</v>
      </c>
      <c r="H29" s="50">
        <f t="shared" si="15"/>
        <v>6122566</v>
      </c>
      <c r="I29" s="51">
        <f t="shared" si="15"/>
        <v>6081609.1037285002</v>
      </c>
      <c r="J29" s="51">
        <f t="shared" si="15"/>
        <v>7152898.0759685468</v>
      </c>
      <c r="K29" s="51">
        <f t="shared" si="15"/>
        <v>8463831.1653225496</v>
      </c>
      <c r="L29" s="51">
        <f t="shared" si="15"/>
        <v>9967603.9895126708</v>
      </c>
      <c r="M29" s="51">
        <f t="shared" si="15"/>
        <v>11751129.535880474</v>
      </c>
    </row>
    <row r="30" spans="2:14" x14ac:dyDescent="0.25">
      <c r="B30" s="39"/>
      <c r="C30" s="22"/>
      <c r="D30" s="35"/>
      <c r="E30" s="35"/>
      <c r="F30" s="35"/>
      <c r="G30" s="35"/>
      <c r="H30" s="35"/>
      <c r="I30" s="28"/>
      <c r="J30" s="28"/>
      <c r="K30" s="28"/>
      <c r="L30" s="28"/>
      <c r="M30" s="28"/>
    </row>
    <row r="31" spans="2:14" x14ac:dyDescent="0.25">
      <c r="B31" s="104" t="s">
        <v>21</v>
      </c>
      <c r="C31" s="22"/>
      <c r="D31" s="40">
        <v>-195315</v>
      </c>
      <c r="E31" s="40">
        <v>-437954</v>
      </c>
      <c r="F31" s="40">
        <v>-723875</v>
      </c>
      <c r="G31" s="40">
        <v>-772005</v>
      </c>
      <c r="H31" s="40">
        <v>-797415</v>
      </c>
      <c r="I31" s="28">
        <f>-I29*I40</f>
        <v>-812063.11796200043</v>
      </c>
      <c r="J31" s="28">
        <f t="shared" ref="J31:M31" si="16">-J29*J40</f>
        <v>-955109.84263593738</v>
      </c>
      <c r="K31" s="28">
        <f t="shared" si="16"/>
        <v>-1130155.6888623433</v>
      </c>
      <c r="L31" s="28">
        <f t="shared" si="16"/>
        <v>-1330950.9763413901</v>
      </c>
      <c r="M31" s="28">
        <f t="shared" si="16"/>
        <v>-1569100.994115531</v>
      </c>
    </row>
    <row r="32" spans="2:14" ht="15.75" thickBot="1" x14ac:dyDescent="0.3">
      <c r="B32" s="108" t="s">
        <v>28</v>
      </c>
      <c r="C32" s="98"/>
      <c r="D32" s="30">
        <f>D29+D31</f>
        <v>1569699</v>
      </c>
      <c r="E32" s="30">
        <f t="shared" ref="E32:M32" si="17">E29+E31</f>
        <v>2522014</v>
      </c>
      <c r="F32" s="30">
        <f t="shared" si="17"/>
        <v>4933880</v>
      </c>
      <c r="G32" s="30">
        <f t="shared" si="17"/>
        <v>4346226</v>
      </c>
      <c r="H32" s="30">
        <f t="shared" si="17"/>
        <v>5325151</v>
      </c>
      <c r="I32" s="31">
        <f t="shared" si="17"/>
        <v>5269545.9857665002</v>
      </c>
      <c r="J32" s="31">
        <f t="shared" si="17"/>
        <v>6197788.2333326098</v>
      </c>
      <c r="K32" s="31">
        <f t="shared" si="17"/>
        <v>7333675.4764602063</v>
      </c>
      <c r="L32" s="31">
        <f t="shared" si="17"/>
        <v>8636653.0131712817</v>
      </c>
      <c r="M32" s="31">
        <f t="shared" si="17"/>
        <v>10182028.541764943</v>
      </c>
    </row>
    <row r="33" spans="2:13" ht="15.75" thickTop="1" x14ac:dyDescent="0.25">
      <c r="B33" s="179" t="s">
        <v>160</v>
      </c>
      <c r="C33" s="180"/>
      <c r="D33" s="181">
        <f>D32/D6</f>
        <v>7.9041282063806104E-2</v>
      </c>
      <c r="E33" s="181">
        <f t="shared" ref="E33:M33" si="18">E32/E6</f>
        <v>0.10187208096402284</v>
      </c>
      <c r="F33" s="181">
        <f t="shared" si="18"/>
        <v>0.16716236108652893</v>
      </c>
      <c r="G33" s="181">
        <f t="shared" si="18"/>
        <v>0.13810760851369749</v>
      </c>
      <c r="H33" s="181">
        <f t="shared" si="18"/>
        <v>0.1582960315225197</v>
      </c>
      <c r="I33" s="181">
        <f t="shared" si="18"/>
        <v>0.13600114403792576</v>
      </c>
      <c r="J33" s="181">
        <f t="shared" si="18"/>
        <v>0.13851896341873393</v>
      </c>
      <c r="K33" s="181">
        <f t="shared" si="18"/>
        <v>0.14155193575855232</v>
      </c>
      <c r="L33" s="181">
        <f t="shared" si="18"/>
        <v>0.1435580863717241</v>
      </c>
      <c r="M33" s="181">
        <f t="shared" si="18"/>
        <v>0.14531853641194351</v>
      </c>
    </row>
    <row r="34" spans="2:13" x14ac:dyDescent="0.25">
      <c r="I34" s="99"/>
      <c r="J34" s="99"/>
      <c r="K34" s="99"/>
      <c r="L34" s="99"/>
      <c r="M34" s="99"/>
    </row>
    <row r="35" spans="2:13" x14ac:dyDescent="0.25">
      <c r="B35" s="66" t="str">
        <f>B8</f>
        <v>Cost of Revenue (COGS)</v>
      </c>
      <c r="C35" s="13"/>
      <c r="D35" s="17">
        <f>D8/D$6</f>
        <v>0.62641970509430622</v>
      </c>
      <c r="E35" s="17">
        <f>E8/E$6</f>
        <v>0.61705859126881946</v>
      </c>
      <c r="F35" s="17">
        <f>F8/F$6</f>
        <v>0.58724010601075449</v>
      </c>
      <c r="G35" s="17">
        <f>G8/G$6</f>
        <v>0.60909994111189336</v>
      </c>
      <c r="H35" s="17">
        <f>H8/H$6</f>
        <v>0.58606122425562701</v>
      </c>
      <c r="I35" s="100">
        <f t="shared" ref="I35:M38" si="19">AVERAGE($D35:$H35)</f>
        <v>0.60517591354828004</v>
      </c>
      <c r="J35" s="100">
        <f t="shared" si="19"/>
        <v>0.60517591354828004</v>
      </c>
      <c r="K35" s="100">
        <f t="shared" si="19"/>
        <v>0.60517591354828004</v>
      </c>
      <c r="L35" s="100">
        <f t="shared" si="19"/>
        <v>0.60517591354828004</v>
      </c>
      <c r="M35" s="100">
        <f t="shared" si="19"/>
        <v>0.60517591354828004</v>
      </c>
    </row>
    <row r="36" spans="2:13" x14ac:dyDescent="0.25">
      <c r="B36" s="66" t="str">
        <f>B12</f>
        <v>Marketing</v>
      </c>
      <c r="C36" s="13"/>
      <c r="D36" s="17">
        <f t="shared" ref="D36:H38" si="20">D12/D$6</f>
        <v>0.13356318447391968</v>
      </c>
      <c r="E36" s="17">
        <f t="shared" si="20"/>
        <v>9.0010552709521782E-2</v>
      </c>
      <c r="F36" s="17">
        <f t="shared" si="20"/>
        <v>8.6230839556279179E-2</v>
      </c>
      <c r="G36" s="17">
        <f t="shared" si="20"/>
        <v>8.0410355917784421E-2</v>
      </c>
      <c r="H36" s="17">
        <f t="shared" si="20"/>
        <v>7.9008525983802008E-2</v>
      </c>
      <c r="I36" s="100">
        <f t="shared" si="19"/>
        <v>9.3844691728261417E-2</v>
      </c>
      <c r="J36" s="100">
        <f t="shared" si="19"/>
        <v>9.3844691728261417E-2</v>
      </c>
      <c r="K36" s="100">
        <f t="shared" si="19"/>
        <v>9.3844691728261417E-2</v>
      </c>
      <c r="L36" s="100">
        <f t="shared" si="19"/>
        <v>9.3844691728261417E-2</v>
      </c>
      <c r="M36" s="100">
        <f t="shared" si="19"/>
        <v>9.3844691728261417E-2</v>
      </c>
    </row>
    <row r="37" spans="2:13" x14ac:dyDescent="0.25">
      <c r="B37" s="66" t="str">
        <f>B13</f>
        <v>Tech and Development</v>
      </c>
      <c r="C37" s="13"/>
      <c r="D37" s="17">
        <f t="shared" si="20"/>
        <v>7.7805081063062359E-2</v>
      </c>
      <c r="E37" s="17">
        <f t="shared" si="20"/>
        <v>7.3903300826948695E-2</v>
      </c>
      <c r="F37" s="17">
        <f t="shared" si="20"/>
        <v>7.7040379060545006E-2</v>
      </c>
      <c r="G37" s="17">
        <f t="shared" si="20"/>
        <v>8.6147243399810072E-2</v>
      </c>
      <c r="H37" s="17">
        <f t="shared" si="20"/>
        <v>7.953988022398506E-2</v>
      </c>
      <c r="I37" s="100">
        <f t="shared" si="19"/>
        <v>7.8887176914870238E-2</v>
      </c>
      <c r="J37" s="100">
        <f t="shared" si="19"/>
        <v>7.8887176914870238E-2</v>
      </c>
      <c r="K37" s="100">
        <f t="shared" si="19"/>
        <v>7.8887176914870238E-2</v>
      </c>
      <c r="L37" s="100">
        <f t="shared" si="19"/>
        <v>7.8887176914870238E-2</v>
      </c>
      <c r="M37" s="100">
        <f t="shared" si="19"/>
        <v>7.8887176914870238E-2</v>
      </c>
    </row>
    <row r="38" spans="2:13" x14ac:dyDescent="0.25">
      <c r="B38" s="66" t="str">
        <f>B14</f>
        <v>General and Administrative</v>
      </c>
      <c r="C38" s="13"/>
      <c r="D38" s="17">
        <f t="shared" si="20"/>
        <v>4.6042520278983624E-2</v>
      </c>
      <c r="E38" s="17">
        <f t="shared" si="20"/>
        <v>4.3482656697638108E-2</v>
      </c>
      <c r="F38" s="17">
        <f t="shared" si="20"/>
        <v>4.5793606178937331E-2</v>
      </c>
      <c r="G38" s="17">
        <f t="shared" si="20"/>
        <v>4.9980883291093965E-2</v>
      </c>
      <c r="H38" s="17">
        <f t="shared" si="20"/>
        <v>5.1137383444660595E-2</v>
      </c>
      <c r="I38" s="100">
        <f t="shared" si="19"/>
        <v>4.7287409978262723E-2</v>
      </c>
      <c r="J38" s="100">
        <f t="shared" si="19"/>
        <v>4.7287409978262723E-2</v>
      </c>
      <c r="K38" s="100">
        <f t="shared" si="19"/>
        <v>4.7287409978262723E-2</v>
      </c>
      <c r="L38" s="100">
        <f t="shared" si="19"/>
        <v>4.7287409978262723E-2</v>
      </c>
      <c r="M38" s="100">
        <f t="shared" si="19"/>
        <v>4.7287409978262723E-2</v>
      </c>
    </row>
    <row r="39" spans="2:13" x14ac:dyDescent="0.25">
      <c r="B39" s="66"/>
      <c r="C39" s="13"/>
      <c r="D39" s="101"/>
      <c r="E39" s="101"/>
      <c r="F39" s="101"/>
      <c r="G39" s="101"/>
      <c r="H39" s="101"/>
      <c r="I39" s="11"/>
      <c r="J39" s="11"/>
      <c r="K39" s="11"/>
      <c r="L39" s="11"/>
      <c r="M39" s="11"/>
    </row>
    <row r="40" spans="2:13" x14ac:dyDescent="0.25">
      <c r="B40" s="66" t="str">
        <f>B29&amp; " Tax Rate"</f>
        <v>Income Before Income Tax (EBT) Tax Rate</v>
      </c>
      <c r="C40" s="13"/>
      <c r="D40" s="17">
        <f>-D31/D29</f>
        <v>0.11065917890736278</v>
      </c>
      <c r="E40" s="17">
        <f t="shared" ref="E40:H40" si="21">-E31/E29</f>
        <v>0.14795903198953503</v>
      </c>
      <c r="F40" s="17">
        <f t="shared" si="21"/>
        <v>0.12794385759015722</v>
      </c>
      <c r="G40" s="17">
        <f t="shared" si="21"/>
        <v>0.15083434100571078</v>
      </c>
      <c r="H40" s="17">
        <f t="shared" si="21"/>
        <v>0.13024196064199225</v>
      </c>
      <c r="I40" s="100">
        <f>AVERAGE($D40:$H40)</f>
        <v>0.13352767402695159</v>
      </c>
      <c r="J40" s="100">
        <f t="shared" ref="J40:M40" si="22">AVERAGE($D40:$H40)</f>
        <v>0.13352767402695159</v>
      </c>
      <c r="K40" s="100">
        <f t="shared" si="22"/>
        <v>0.13352767402695159</v>
      </c>
      <c r="L40" s="100">
        <f t="shared" si="22"/>
        <v>0.13352767402695159</v>
      </c>
      <c r="M40" s="100">
        <f t="shared" si="22"/>
        <v>0.13352767402695159</v>
      </c>
    </row>
    <row r="41" spans="2:13" x14ac:dyDescent="0.25">
      <c r="B41" s="13"/>
      <c r="C41" s="13"/>
      <c r="D41" s="13"/>
      <c r="E41" s="13"/>
      <c r="F41" s="13"/>
      <c r="G41" s="13"/>
      <c r="H41" s="102"/>
    </row>
    <row r="42" spans="2:13" x14ac:dyDescent="0.25">
      <c r="B42" s="65" t="s">
        <v>11</v>
      </c>
      <c r="C42" s="70" t="s">
        <v>10</v>
      </c>
    </row>
    <row r="43" spans="2:13" x14ac:dyDescent="0.25">
      <c r="C43" s="71" t="s">
        <v>151</v>
      </c>
      <c r="D43" s="13"/>
    </row>
    <row r="44" spans="2:13" x14ac:dyDescent="0.25">
      <c r="C44" s="72" t="s">
        <v>12</v>
      </c>
    </row>
    <row r="45" spans="2:13" x14ac:dyDescent="0.25">
      <c r="C45" s="182" t="s">
        <v>161</v>
      </c>
    </row>
    <row r="46" spans="2:13" x14ac:dyDescent="0.25">
      <c r="B46" s="114" t="s">
        <v>14</v>
      </c>
      <c r="C46" s="129" t="s">
        <v>62</v>
      </c>
    </row>
  </sheetData>
  <mergeCells count="1">
    <mergeCell ref="C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5238-A2C3-4126-8C17-443FA5BF0F17}">
  <dimension ref="B1:S63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C1" sqref="C1:M1"/>
    </sheetView>
  </sheetViews>
  <sheetFormatPr defaultRowHeight="15" x14ac:dyDescent="0.25"/>
  <cols>
    <col min="1" max="1" width="2" style="2" bestFit="1" customWidth="1"/>
    <col min="2" max="2" width="38.7109375" style="2" bestFit="1" customWidth="1"/>
    <col min="3" max="3" width="2" style="2" bestFit="1" customWidth="1"/>
    <col min="4" max="4" width="18.7109375" style="2" bestFit="1" customWidth="1"/>
    <col min="5" max="8" width="12.42578125" style="2" bestFit="1" customWidth="1"/>
    <col min="9" max="9" width="13.7109375" style="2" bestFit="1" customWidth="1"/>
    <col min="10" max="13" width="15.28515625" style="2" bestFit="1" customWidth="1"/>
    <col min="14" max="16384" width="9.140625" style="2"/>
  </cols>
  <sheetData>
    <row r="1" spans="2:19" ht="23.25" x14ac:dyDescent="0.25">
      <c r="B1" s="109" t="s">
        <v>15</v>
      </c>
      <c r="C1" s="259" t="s">
        <v>152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13" t="s">
        <v>130</v>
      </c>
      <c r="O1" s="13"/>
      <c r="P1" s="13"/>
      <c r="Q1" s="13"/>
      <c r="R1" s="13"/>
      <c r="S1" s="13" t="s">
        <v>134</v>
      </c>
    </row>
    <row r="2" spans="2:19" ht="15.75" thickBot="1" x14ac:dyDescent="0.3">
      <c r="B2" s="13"/>
      <c r="C2" s="13"/>
      <c r="D2" s="13"/>
      <c r="E2" s="13"/>
      <c r="L2" s="13"/>
      <c r="M2" s="13"/>
      <c r="N2" s="13"/>
      <c r="O2" s="13"/>
      <c r="P2" s="13"/>
      <c r="Q2" s="13"/>
      <c r="R2" s="13"/>
      <c r="S2" s="13" t="s">
        <v>135</v>
      </c>
    </row>
    <row r="3" spans="2:19" x14ac:dyDescent="0.25">
      <c r="B3" s="73" t="str">
        <f>'Income Statement'!B3</f>
        <v>Months ➡️</v>
      </c>
      <c r="C3" s="73"/>
      <c r="D3" s="73">
        <f>'Income Statement'!D3</f>
        <v>12</v>
      </c>
      <c r="E3" s="73">
        <f>'Income Statement'!E3</f>
        <v>12</v>
      </c>
      <c r="F3" s="73">
        <f>'Income Statement'!F3</f>
        <v>12</v>
      </c>
      <c r="G3" s="73">
        <f>'Income Statement'!G3</f>
        <v>12</v>
      </c>
      <c r="H3" s="73">
        <f>'Income Statement'!H3</f>
        <v>12</v>
      </c>
      <c r="I3" s="73">
        <f>'Income Statement'!I3</f>
        <v>12</v>
      </c>
      <c r="J3" s="73">
        <f>'Income Statement'!J3</f>
        <v>12</v>
      </c>
      <c r="K3" s="73">
        <f>'Income Statement'!K3</f>
        <v>12</v>
      </c>
      <c r="L3" s="73">
        <f>'Income Statement'!L3</f>
        <v>12</v>
      </c>
      <c r="M3" s="73">
        <f>'Income Statement'!M3</f>
        <v>12</v>
      </c>
      <c r="N3" s="13"/>
      <c r="O3" s="13"/>
      <c r="P3" s="13"/>
      <c r="Q3" s="13"/>
      <c r="R3" s="13"/>
      <c r="S3" s="13" t="s">
        <v>163</v>
      </c>
    </row>
    <row r="4" spans="2:19" x14ac:dyDescent="0.25">
      <c r="B4" s="74" t="str">
        <f>'Income Statement'!B4</f>
        <v>Year ➡️</v>
      </c>
      <c r="C4" s="74"/>
      <c r="D4" s="74">
        <f>'Income Statement'!D4</f>
        <v>43830</v>
      </c>
      <c r="E4" s="74">
        <f>'Income Statement'!E4</f>
        <v>44196</v>
      </c>
      <c r="F4" s="74">
        <f>'Income Statement'!F4</f>
        <v>44561</v>
      </c>
      <c r="G4" s="74">
        <f>'Income Statement'!G4</f>
        <v>44926</v>
      </c>
      <c r="H4" s="74">
        <f>'Income Statement'!H4</f>
        <v>45291</v>
      </c>
      <c r="I4" s="74">
        <f>'Income Statement'!I4</f>
        <v>45657</v>
      </c>
      <c r="J4" s="74">
        <f>'Income Statement'!J4</f>
        <v>46022</v>
      </c>
      <c r="K4" s="74">
        <f>'Income Statement'!K4</f>
        <v>46387</v>
      </c>
      <c r="L4" s="74">
        <f>'Income Statement'!L4</f>
        <v>46752</v>
      </c>
      <c r="M4" s="74">
        <f>'Income Statement'!M4</f>
        <v>47118</v>
      </c>
    </row>
    <row r="5" spans="2:19" ht="15.75" thickBot="1" x14ac:dyDescent="0.3">
      <c r="B5" s="75"/>
      <c r="C5" s="75"/>
      <c r="D5" s="76" t="str">
        <f>'Income Statement'!D5</f>
        <v>Actual</v>
      </c>
      <c r="E5" s="76" t="str">
        <f>'Income Statement'!E5</f>
        <v>Actual</v>
      </c>
      <c r="F5" s="76" t="str">
        <f>'Income Statement'!F5</f>
        <v>Actual</v>
      </c>
      <c r="G5" s="76" t="str">
        <f>'Income Statement'!G5</f>
        <v>Actual</v>
      </c>
      <c r="H5" s="76" t="str">
        <f>'Income Statement'!H5</f>
        <v>Actual</v>
      </c>
      <c r="I5" s="77" t="str">
        <f>'Income Statement'!I5</f>
        <v>Projections</v>
      </c>
      <c r="J5" s="77" t="str">
        <f>'Income Statement'!J5</f>
        <v>Projections</v>
      </c>
      <c r="K5" s="77" t="str">
        <f>'Income Statement'!K5</f>
        <v>Projections</v>
      </c>
      <c r="L5" s="77" t="str">
        <f>'Income Statement'!L5</f>
        <v>Projections</v>
      </c>
      <c r="M5" s="77" t="str">
        <f>'Income Statement'!M5</f>
        <v>Projections</v>
      </c>
    </row>
    <row r="6" spans="2:19" x14ac:dyDescent="0.25">
      <c r="B6" s="73" t="s">
        <v>29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2:19" x14ac:dyDescent="0.25">
      <c r="B7" s="111" t="s">
        <v>30</v>
      </c>
      <c r="C7" s="22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2:19" x14ac:dyDescent="0.25">
      <c r="B8" s="104" t="s">
        <v>33</v>
      </c>
      <c r="C8" s="22"/>
      <c r="D8" s="40">
        <v>5018437</v>
      </c>
      <c r="E8" s="40">
        <v>8205550</v>
      </c>
      <c r="F8" s="40">
        <v>6027804</v>
      </c>
      <c r="G8" s="40">
        <v>5147176</v>
      </c>
      <c r="H8" s="40">
        <v>7116913</v>
      </c>
      <c r="I8" s="28">
        <f>'Cash Flow Statement'!D35</f>
        <v>21209838.978579473</v>
      </c>
      <c r="J8" s="28">
        <f>'Cash Flow Statement'!E35</f>
        <v>33212894.17801661</v>
      </c>
      <c r="K8" s="28">
        <f>'Cash Flow Statement'!F35</f>
        <v>44450399.565779924</v>
      </c>
      <c r="L8" s="28">
        <f>'Cash Flow Statement'!G35</f>
        <v>55648015.438392438</v>
      </c>
      <c r="M8" s="28">
        <f>'Cash Flow Statement'!H35</f>
        <v>67441252.169334158</v>
      </c>
      <c r="N8" s="13" t="s">
        <v>128</v>
      </c>
      <c r="O8" s="13"/>
      <c r="P8" s="13"/>
    </row>
    <row r="9" spans="2:19" x14ac:dyDescent="0.25">
      <c r="B9" s="104" t="s">
        <v>34</v>
      </c>
      <c r="C9" s="22"/>
      <c r="D9" s="40">
        <v>0</v>
      </c>
      <c r="E9" s="40">
        <v>0</v>
      </c>
      <c r="F9" s="40">
        <v>0</v>
      </c>
      <c r="G9" s="40">
        <v>911276</v>
      </c>
      <c r="H9" s="40">
        <v>20973</v>
      </c>
      <c r="I9" s="28">
        <f>H9</f>
        <v>20973</v>
      </c>
      <c r="J9" s="28">
        <f t="shared" ref="J9:M9" si="0">I9</f>
        <v>20973</v>
      </c>
      <c r="K9" s="28">
        <f t="shared" si="0"/>
        <v>20973</v>
      </c>
      <c r="L9" s="28">
        <f t="shared" si="0"/>
        <v>20973</v>
      </c>
      <c r="M9" s="28">
        <f t="shared" si="0"/>
        <v>20973</v>
      </c>
      <c r="N9" s="13" t="s">
        <v>132</v>
      </c>
      <c r="O9" s="13"/>
      <c r="P9" s="13"/>
    </row>
    <row r="10" spans="2:19" x14ac:dyDescent="0.25">
      <c r="B10" s="104" t="s">
        <v>35</v>
      </c>
      <c r="C10" s="22"/>
      <c r="D10" s="40">
        <v>1160067</v>
      </c>
      <c r="E10" s="40">
        <v>1556030</v>
      </c>
      <c r="F10" s="40">
        <v>2042021</v>
      </c>
      <c r="G10" s="40">
        <v>3208021</v>
      </c>
      <c r="H10" s="40">
        <v>2780247</v>
      </c>
      <c r="I10" s="28">
        <f>H10</f>
        <v>2780247</v>
      </c>
      <c r="J10" s="28">
        <f t="shared" ref="J10:M10" si="1">I10</f>
        <v>2780247</v>
      </c>
      <c r="K10" s="28">
        <f t="shared" si="1"/>
        <v>2780247</v>
      </c>
      <c r="L10" s="28">
        <f t="shared" si="1"/>
        <v>2780247</v>
      </c>
      <c r="M10" s="28">
        <f t="shared" si="1"/>
        <v>2780247</v>
      </c>
      <c r="N10" s="13" t="s">
        <v>257</v>
      </c>
      <c r="O10" s="13"/>
      <c r="P10" s="13"/>
    </row>
    <row r="11" spans="2:19" x14ac:dyDescent="0.25">
      <c r="B11" s="106" t="s">
        <v>36</v>
      </c>
      <c r="C11" s="42"/>
      <c r="D11" s="43">
        <f>SUM(D8:D10)</f>
        <v>6178504</v>
      </c>
      <c r="E11" s="43">
        <f>SUM(E8:E10)</f>
        <v>9761580</v>
      </c>
      <c r="F11" s="43">
        <f>SUM(F8:F10)</f>
        <v>8069825</v>
      </c>
      <c r="G11" s="43">
        <f t="shared" ref="G11:H11" si="2">SUM(G8:G10)</f>
        <v>9266473</v>
      </c>
      <c r="H11" s="43">
        <f t="shared" si="2"/>
        <v>9918133</v>
      </c>
      <c r="I11" s="44">
        <f t="shared" ref="I11:M11" si="3">SUM(I8:I10)</f>
        <v>24011058.978579473</v>
      </c>
      <c r="J11" s="44">
        <f t="shared" si="3"/>
        <v>36014114.17801661</v>
      </c>
      <c r="K11" s="44">
        <f t="shared" si="3"/>
        <v>47251619.565779924</v>
      </c>
      <c r="L11" s="44">
        <f t="shared" si="3"/>
        <v>58449235.438392438</v>
      </c>
      <c r="M11" s="44">
        <f t="shared" si="3"/>
        <v>70242472.169334158</v>
      </c>
      <c r="N11" s="13"/>
      <c r="O11" s="13"/>
      <c r="P11" s="13"/>
    </row>
    <row r="12" spans="2:19" x14ac:dyDescent="0.25">
      <c r="B12" s="104" t="s">
        <v>37</v>
      </c>
      <c r="C12" s="22"/>
      <c r="D12" s="40">
        <v>24504567</v>
      </c>
      <c r="E12" s="40">
        <v>25383950</v>
      </c>
      <c r="F12" s="40">
        <v>30919539</v>
      </c>
      <c r="G12" s="40">
        <v>32736713</v>
      </c>
      <c r="H12" s="40">
        <v>31658056</v>
      </c>
      <c r="I12" s="28">
        <f>'FA Schedule'!I25</f>
        <v>22382799.074090846</v>
      </c>
      <c r="J12" s="28">
        <f>'FA Schedule'!J25</f>
        <v>15825030.26689706</v>
      </c>
      <c r="K12" s="28">
        <f>'FA Schedule'!K25</f>
        <v>11188573.069848735</v>
      </c>
      <c r="L12" s="28">
        <f>'FA Schedule'!L25</f>
        <v>7910516.7717249617</v>
      </c>
      <c r="M12" s="28">
        <f>'FA Schedule'!M25</f>
        <v>5592873.6582481749</v>
      </c>
      <c r="N12" s="13" t="s">
        <v>131</v>
      </c>
      <c r="O12" s="13"/>
      <c r="P12" s="13"/>
    </row>
    <row r="13" spans="2:19" x14ac:dyDescent="0.25">
      <c r="B13" s="104" t="s">
        <v>38</v>
      </c>
      <c r="C13" s="22"/>
      <c r="D13" s="40">
        <v>565221</v>
      </c>
      <c r="E13" s="40">
        <v>960183</v>
      </c>
      <c r="F13" s="40">
        <v>1323453</v>
      </c>
      <c r="G13" s="40">
        <v>1398257</v>
      </c>
      <c r="H13" s="40">
        <v>1491444</v>
      </c>
      <c r="I13" s="28">
        <f>'FA Schedule'!I12</f>
        <v>1507616.4683119603</v>
      </c>
      <c r="J13" s="28">
        <f>'FA Schedule'!J12</f>
        <v>1740955.7622832027</v>
      </c>
      <c r="K13" s="28">
        <f>'FA Schedule'!K12</f>
        <v>2015886.6593512509</v>
      </c>
      <c r="L13" s="28">
        <f>'FA Schedule'!L12</f>
        <v>2340874.0473712096</v>
      </c>
      <c r="M13" s="28">
        <f>'FA Schedule'!M12</f>
        <v>2726299.2904288634</v>
      </c>
      <c r="N13" s="13" t="s">
        <v>131</v>
      </c>
      <c r="O13" s="13"/>
      <c r="P13" s="13"/>
    </row>
    <row r="14" spans="2:19" x14ac:dyDescent="0.25">
      <c r="B14" s="104" t="s">
        <v>39</v>
      </c>
      <c r="C14" s="22"/>
      <c r="D14" s="40">
        <v>2727420</v>
      </c>
      <c r="E14" s="40">
        <v>3174646</v>
      </c>
      <c r="F14" s="40">
        <v>4271846</v>
      </c>
      <c r="G14" s="40">
        <v>5193325</v>
      </c>
      <c r="H14" s="40">
        <v>5664359</v>
      </c>
      <c r="I14" s="28">
        <f>H14</f>
        <v>5664359</v>
      </c>
      <c r="J14" s="28">
        <f t="shared" ref="J14:M14" si="4">I14</f>
        <v>5664359</v>
      </c>
      <c r="K14" s="28">
        <f t="shared" si="4"/>
        <v>5664359</v>
      </c>
      <c r="L14" s="28">
        <f t="shared" si="4"/>
        <v>5664359</v>
      </c>
      <c r="M14" s="28">
        <f t="shared" si="4"/>
        <v>5664359</v>
      </c>
      <c r="N14" s="13" t="s">
        <v>133</v>
      </c>
      <c r="O14" s="13"/>
      <c r="P14" s="13"/>
    </row>
    <row r="15" spans="2:19" ht="15.75" thickBot="1" x14ac:dyDescent="0.3">
      <c r="B15" s="108" t="s">
        <v>40</v>
      </c>
      <c r="C15" s="45"/>
      <c r="D15" s="30">
        <f t="shared" ref="D15:G15" si="5">SUM(D11:D14)</f>
        <v>33975712</v>
      </c>
      <c r="E15" s="30">
        <f t="shared" si="5"/>
        <v>39280359</v>
      </c>
      <c r="F15" s="30">
        <f t="shared" si="5"/>
        <v>44584663</v>
      </c>
      <c r="G15" s="30">
        <f t="shared" si="5"/>
        <v>48594768</v>
      </c>
      <c r="H15" s="30">
        <f>SUM(H11:H14)</f>
        <v>48731992</v>
      </c>
      <c r="I15" s="31">
        <f>SUM(I11:I14)</f>
        <v>53565833.520982273</v>
      </c>
      <c r="J15" s="31">
        <f t="shared" ref="J15:M15" si="6">SUM(J11:J14)</f>
        <v>59244459.207196876</v>
      </c>
      <c r="K15" s="31">
        <f t="shared" si="6"/>
        <v>66120438.294979908</v>
      </c>
      <c r="L15" s="31">
        <f t="shared" si="6"/>
        <v>74364985.257488608</v>
      </c>
      <c r="M15" s="31">
        <f t="shared" si="6"/>
        <v>84226004.118011191</v>
      </c>
      <c r="N15" s="13"/>
      <c r="O15" s="13"/>
      <c r="P15" s="13"/>
    </row>
    <row r="16" spans="2:19" ht="15.75" thickTop="1" x14ac:dyDescent="0.25">
      <c r="B16" s="46"/>
      <c r="C16" s="47"/>
      <c r="D16" s="48"/>
      <c r="E16" s="48"/>
      <c r="F16" s="48"/>
      <c r="G16" s="48"/>
      <c r="H16" s="48"/>
      <c r="I16" s="49"/>
      <c r="J16" s="49"/>
      <c r="K16" s="49"/>
      <c r="L16" s="49"/>
      <c r="M16" s="49"/>
      <c r="N16" s="13"/>
      <c r="O16" s="13"/>
      <c r="P16" s="13"/>
    </row>
    <row r="17" spans="2:16" x14ac:dyDescent="0.25">
      <c r="B17" s="110" t="s">
        <v>31</v>
      </c>
      <c r="C17" s="22"/>
      <c r="D17" s="35"/>
      <c r="E17" s="35"/>
      <c r="F17" s="35"/>
      <c r="G17" s="35"/>
      <c r="H17" s="35"/>
      <c r="I17" s="28"/>
      <c r="J17" s="28"/>
      <c r="K17" s="28"/>
      <c r="L17" s="28"/>
      <c r="M17" s="28"/>
      <c r="N17" s="13"/>
      <c r="O17" s="13"/>
      <c r="P17" s="13"/>
    </row>
    <row r="18" spans="2:16" x14ac:dyDescent="0.25">
      <c r="B18" s="111" t="s">
        <v>32</v>
      </c>
      <c r="C18" s="22"/>
      <c r="D18" s="35"/>
      <c r="E18" s="35"/>
      <c r="F18" s="35"/>
      <c r="G18" s="35"/>
      <c r="H18" s="35"/>
      <c r="I18" s="28"/>
      <c r="J18" s="28"/>
      <c r="K18" s="28"/>
      <c r="L18" s="28"/>
      <c r="M18" s="28"/>
      <c r="N18" s="13"/>
      <c r="O18" s="13"/>
      <c r="P18" s="13"/>
    </row>
    <row r="19" spans="2:16" x14ac:dyDescent="0.25">
      <c r="B19" s="104" t="s">
        <v>41</v>
      </c>
      <c r="C19" s="22"/>
      <c r="D19" s="40">
        <v>4413561</v>
      </c>
      <c r="E19" s="40">
        <v>4429536</v>
      </c>
      <c r="F19" s="40">
        <v>4292967</v>
      </c>
      <c r="G19" s="40">
        <v>4480150</v>
      </c>
      <c r="H19" s="40">
        <v>4466470</v>
      </c>
      <c r="I19" s="28">
        <f>H19</f>
        <v>4466470</v>
      </c>
      <c r="J19" s="28">
        <f t="shared" ref="J19:M19" si="7">I19</f>
        <v>4466470</v>
      </c>
      <c r="K19" s="28">
        <f t="shared" si="7"/>
        <v>4466470</v>
      </c>
      <c r="L19" s="28">
        <f t="shared" si="7"/>
        <v>4466470</v>
      </c>
      <c r="M19" s="28">
        <f t="shared" si="7"/>
        <v>4466470</v>
      </c>
      <c r="N19" s="13" t="s">
        <v>136</v>
      </c>
      <c r="O19" s="13"/>
      <c r="P19" s="13"/>
    </row>
    <row r="20" spans="2:16" x14ac:dyDescent="0.25">
      <c r="B20" s="104" t="s">
        <v>42</v>
      </c>
      <c r="C20" s="22"/>
      <c r="D20" s="40">
        <v>674347</v>
      </c>
      <c r="E20" s="40">
        <v>656183</v>
      </c>
      <c r="F20" s="40">
        <v>837483</v>
      </c>
      <c r="G20" s="40">
        <v>671513</v>
      </c>
      <c r="H20" s="40">
        <v>747412</v>
      </c>
      <c r="I20" s="28">
        <f>I50</f>
        <v>1024327.3242157799</v>
      </c>
      <c r="J20" s="28">
        <f t="shared" ref="J20:M20" si="8">J50</f>
        <v>1182866.1964367644</v>
      </c>
      <c r="K20" s="28">
        <f t="shared" si="8"/>
        <v>1369663.8575509863</v>
      </c>
      <c r="L20" s="28">
        <f t="shared" si="8"/>
        <v>1590471.6482400149</v>
      </c>
      <c r="M20" s="28">
        <f t="shared" si="8"/>
        <v>1852343.0301230426</v>
      </c>
      <c r="N20" s="13" t="s">
        <v>137</v>
      </c>
      <c r="O20" s="13"/>
      <c r="P20" s="13"/>
    </row>
    <row r="21" spans="2:16" x14ac:dyDescent="0.25">
      <c r="B21" s="104" t="s">
        <v>43</v>
      </c>
      <c r="C21" s="22"/>
      <c r="D21" s="40">
        <v>843043</v>
      </c>
      <c r="E21" s="40">
        <v>1102196</v>
      </c>
      <c r="F21" s="40">
        <v>1449351</v>
      </c>
      <c r="G21" s="40">
        <v>1514650</v>
      </c>
      <c r="H21" s="40">
        <v>1803960</v>
      </c>
      <c r="I21" s="28">
        <v>1803960</v>
      </c>
      <c r="J21" s="28">
        <v>1803960</v>
      </c>
      <c r="K21" s="28">
        <v>1803960</v>
      </c>
      <c r="L21" s="28">
        <v>1803960</v>
      </c>
      <c r="M21" s="28">
        <v>1803960</v>
      </c>
      <c r="N21" s="13"/>
      <c r="O21" s="13"/>
      <c r="P21" s="13"/>
    </row>
    <row r="22" spans="2:16" x14ac:dyDescent="0.25">
      <c r="B22" s="104" t="s">
        <v>44</v>
      </c>
      <c r="C22" s="22"/>
      <c r="D22" s="40">
        <v>924745</v>
      </c>
      <c r="E22" s="40">
        <v>1117992</v>
      </c>
      <c r="F22" s="40">
        <v>1209342</v>
      </c>
      <c r="G22" s="40">
        <v>1264661</v>
      </c>
      <c r="H22" s="40">
        <v>1442969</v>
      </c>
      <c r="I22" s="28">
        <f>H22</f>
        <v>1442969</v>
      </c>
      <c r="J22" s="28">
        <f t="shared" ref="J22:M22" si="9">I22</f>
        <v>1442969</v>
      </c>
      <c r="K22" s="28">
        <f t="shared" si="9"/>
        <v>1442969</v>
      </c>
      <c r="L22" s="28">
        <f t="shared" si="9"/>
        <v>1442969</v>
      </c>
      <c r="M22" s="28">
        <f t="shared" si="9"/>
        <v>1442969</v>
      </c>
      <c r="N22" s="13" t="s">
        <v>136</v>
      </c>
      <c r="O22" s="13"/>
      <c r="P22" s="13"/>
    </row>
    <row r="23" spans="2:16" x14ac:dyDescent="0.25">
      <c r="B23" s="104" t="s">
        <v>45</v>
      </c>
      <c r="C23" s="22"/>
      <c r="D23" s="40">
        <v>0</v>
      </c>
      <c r="E23" s="40">
        <v>499878</v>
      </c>
      <c r="F23" s="40">
        <v>699823</v>
      </c>
      <c r="G23" s="40">
        <v>0</v>
      </c>
      <c r="H23" s="40">
        <v>399844</v>
      </c>
      <c r="I23" s="28">
        <f>'Debt Schedule'!D12</f>
        <v>677701.41933900001</v>
      </c>
      <c r="J23" s="28">
        <f>'Debt Schedule'!E12</f>
        <v>644494.04979138903</v>
      </c>
      <c r="K23" s="28">
        <f>'Debt Schedule'!F12</f>
        <v>612913.84135161096</v>
      </c>
      <c r="L23" s="28">
        <f>'Debt Schedule'!G12</f>
        <v>582881.06312538206</v>
      </c>
      <c r="M23" s="28">
        <f>'Debt Schedule'!H12</f>
        <v>554319.89103223837</v>
      </c>
      <c r="N23" s="13" t="s">
        <v>129</v>
      </c>
      <c r="O23" s="13"/>
      <c r="P23" s="13"/>
    </row>
    <row r="24" spans="2:16" x14ac:dyDescent="0.25">
      <c r="B24" s="106" t="s">
        <v>46</v>
      </c>
      <c r="C24" s="42"/>
      <c r="D24" s="43">
        <f t="shared" ref="D24:H24" si="10">SUM(D19:D23)</f>
        <v>6855696</v>
      </c>
      <c r="E24" s="43">
        <f t="shared" si="10"/>
        <v>7805785</v>
      </c>
      <c r="F24" s="43">
        <f t="shared" si="10"/>
        <v>8488966</v>
      </c>
      <c r="G24" s="43">
        <f t="shared" si="10"/>
        <v>7930974</v>
      </c>
      <c r="H24" s="43">
        <f t="shared" si="10"/>
        <v>8860655</v>
      </c>
      <c r="I24" s="44">
        <f>SUM(I19:I23)</f>
        <v>9415427.7435547803</v>
      </c>
      <c r="J24" s="44">
        <f t="shared" ref="J24:M24" si="11">SUM(J19:J23)</f>
        <v>9540759.2462281529</v>
      </c>
      <c r="K24" s="44">
        <f t="shared" si="11"/>
        <v>9695976.6989025977</v>
      </c>
      <c r="L24" s="44">
        <f t="shared" si="11"/>
        <v>9886751.7113653962</v>
      </c>
      <c r="M24" s="44">
        <f t="shared" si="11"/>
        <v>10120061.921155281</v>
      </c>
      <c r="N24" s="13"/>
      <c r="O24" s="13"/>
      <c r="P24" s="13"/>
    </row>
    <row r="25" spans="2:16" x14ac:dyDescent="0.25">
      <c r="B25" s="104" t="s">
        <v>47</v>
      </c>
      <c r="C25" s="22"/>
      <c r="D25" s="40">
        <v>3334323</v>
      </c>
      <c r="E25" s="40">
        <v>2618084</v>
      </c>
      <c r="F25" s="40">
        <v>3094213</v>
      </c>
      <c r="G25" s="40">
        <v>3081277</v>
      </c>
      <c r="H25" s="40">
        <v>2578173</v>
      </c>
      <c r="I25" s="28">
        <f>H25</f>
        <v>2578173</v>
      </c>
      <c r="J25" s="28">
        <f t="shared" ref="J25:M25" si="12">I25</f>
        <v>2578173</v>
      </c>
      <c r="K25" s="28">
        <f t="shared" si="12"/>
        <v>2578173</v>
      </c>
      <c r="L25" s="28">
        <f t="shared" si="12"/>
        <v>2578173</v>
      </c>
      <c r="M25" s="28">
        <f t="shared" si="12"/>
        <v>2578173</v>
      </c>
      <c r="N25" s="13" t="s">
        <v>136</v>
      </c>
      <c r="O25" s="13"/>
      <c r="P25" s="13"/>
    </row>
    <row r="26" spans="2:16" x14ac:dyDescent="0.25">
      <c r="B26" s="104" t="s">
        <v>48</v>
      </c>
      <c r="C26" s="22"/>
      <c r="D26" s="40">
        <v>14759260</v>
      </c>
      <c r="E26" s="40">
        <v>15809095</v>
      </c>
      <c r="F26" s="40">
        <v>14693072</v>
      </c>
      <c r="G26" s="40">
        <v>14353076</v>
      </c>
      <c r="H26" s="40">
        <v>14143417</v>
      </c>
      <c r="I26" s="28">
        <f>'Debt Schedule'!D13</f>
        <v>13152939.791661</v>
      </c>
      <c r="J26" s="28">
        <f>'Debt Schedule'!E13</f>
        <v>12508445.741869612</v>
      </c>
      <c r="K26" s="28">
        <f>'Debt Schedule'!F13</f>
        <v>11895531.900518</v>
      </c>
      <c r="L26" s="28">
        <f>'Debt Schedule'!G13</f>
        <v>11312650.837392619</v>
      </c>
      <c r="M26" s="28">
        <f>'Debt Schedule'!H13</f>
        <v>10758330.946360381</v>
      </c>
      <c r="N26" s="13" t="s">
        <v>129</v>
      </c>
      <c r="O26" s="13"/>
      <c r="P26" s="13"/>
    </row>
    <row r="27" spans="2:16" x14ac:dyDescent="0.25">
      <c r="B27" s="104" t="s">
        <v>49</v>
      </c>
      <c r="C27" s="22"/>
      <c r="D27" s="40">
        <v>1444276</v>
      </c>
      <c r="E27" s="40">
        <v>1982155</v>
      </c>
      <c r="F27" s="40">
        <v>2459164</v>
      </c>
      <c r="G27" s="40">
        <v>2452040</v>
      </c>
      <c r="H27" s="40">
        <v>2561434</v>
      </c>
      <c r="I27" s="28">
        <f>H27</f>
        <v>2561434</v>
      </c>
      <c r="J27" s="28">
        <f t="shared" ref="J27:M27" si="13">I27</f>
        <v>2561434</v>
      </c>
      <c r="K27" s="28">
        <f t="shared" si="13"/>
        <v>2561434</v>
      </c>
      <c r="L27" s="28">
        <f t="shared" si="13"/>
        <v>2561434</v>
      </c>
      <c r="M27" s="28">
        <f t="shared" si="13"/>
        <v>2561434</v>
      </c>
      <c r="N27" s="13" t="s">
        <v>136</v>
      </c>
      <c r="O27" s="13"/>
      <c r="P27" s="13"/>
    </row>
    <row r="28" spans="2:16" x14ac:dyDescent="0.25">
      <c r="B28" s="107" t="s">
        <v>50</v>
      </c>
      <c r="C28" s="42"/>
      <c r="D28" s="50">
        <f t="shared" ref="D28:G28" si="14">SUM(D24:D27)</f>
        <v>26393555</v>
      </c>
      <c r="E28" s="50">
        <f t="shared" si="14"/>
        <v>28215119</v>
      </c>
      <c r="F28" s="50">
        <f t="shared" si="14"/>
        <v>28735415</v>
      </c>
      <c r="G28" s="50">
        <f t="shared" si="14"/>
        <v>27817367</v>
      </c>
      <c r="H28" s="50">
        <f>SUM(H24:H27)</f>
        <v>28143679</v>
      </c>
      <c r="I28" s="51">
        <f>SUM(I24:I27)</f>
        <v>27707974.53521578</v>
      </c>
      <c r="J28" s="51">
        <f t="shared" ref="J28:M28" si="15">SUM(J24:J27)</f>
        <v>27188811.988097765</v>
      </c>
      <c r="K28" s="51">
        <f t="shared" si="15"/>
        <v>26731115.5994206</v>
      </c>
      <c r="L28" s="51">
        <f t="shared" si="15"/>
        <v>26339009.548758015</v>
      </c>
      <c r="M28" s="51">
        <f t="shared" si="15"/>
        <v>26017999.867515661</v>
      </c>
      <c r="N28" s="13"/>
      <c r="O28" s="13"/>
      <c r="P28" s="13"/>
    </row>
    <row r="29" spans="2:16" x14ac:dyDescent="0.25">
      <c r="B29" s="177"/>
      <c r="C29" s="178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3"/>
      <c r="O29" s="13"/>
      <c r="P29" s="13"/>
    </row>
    <row r="30" spans="2:16" x14ac:dyDescent="0.25">
      <c r="B30" s="39" t="s">
        <v>51</v>
      </c>
      <c r="C30" s="22"/>
      <c r="D30" s="35"/>
      <c r="E30" s="35"/>
      <c r="F30" s="35"/>
      <c r="G30" s="35"/>
      <c r="H30" s="35"/>
      <c r="I30" s="28"/>
      <c r="J30" s="28"/>
      <c r="K30" s="28"/>
      <c r="L30" s="28"/>
      <c r="M30" s="28"/>
      <c r="N30" s="13"/>
      <c r="O30" s="13"/>
      <c r="P30" s="13"/>
    </row>
    <row r="31" spans="2:16" x14ac:dyDescent="0.25">
      <c r="B31" s="110" t="s">
        <v>52</v>
      </c>
      <c r="C31" s="22"/>
      <c r="D31" s="35"/>
      <c r="E31" s="35"/>
      <c r="F31" s="35"/>
      <c r="G31" s="35"/>
      <c r="H31" s="35"/>
      <c r="I31" s="28"/>
      <c r="J31" s="28"/>
      <c r="K31" s="28"/>
      <c r="L31" s="28"/>
      <c r="M31" s="28"/>
      <c r="N31" s="13"/>
      <c r="O31" s="13"/>
      <c r="P31" s="13"/>
    </row>
    <row r="32" spans="2:16" x14ac:dyDescent="0.25">
      <c r="B32" s="260" t="s">
        <v>57</v>
      </c>
      <c r="C32" s="52"/>
      <c r="D32" s="33"/>
      <c r="E32" s="33"/>
      <c r="F32" s="33"/>
      <c r="G32" s="33"/>
      <c r="H32" s="33"/>
      <c r="I32" s="34"/>
      <c r="J32" s="34"/>
      <c r="K32" s="34"/>
      <c r="L32" s="34"/>
      <c r="M32" s="34"/>
      <c r="N32" s="13"/>
      <c r="O32" s="13"/>
      <c r="P32" s="13"/>
    </row>
    <row r="33" spans="2:16" x14ac:dyDescent="0.25">
      <c r="B33" s="261"/>
      <c r="C33" s="53"/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5">
        <f>H33</f>
        <v>0</v>
      </c>
      <c r="J33" s="55">
        <f t="shared" ref="J33:M33" si="16">I33</f>
        <v>0</v>
      </c>
      <c r="K33" s="55">
        <f t="shared" si="16"/>
        <v>0</v>
      </c>
      <c r="L33" s="55">
        <f t="shared" si="16"/>
        <v>0</v>
      </c>
      <c r="M33" s="55">
        <f t="shared" si="16"/>
        <v>0</v>
      </c>
      <c r="N33" s="13" t="s">
        <v>136</v>
      </c>
      <c r="O33" s="13"/>
      <c r="P33" s="13"/>
    </row>
    <row r="34" spans="2:16" x14ac:dyDescent="0.25">
      <c r="B34" s="262" t="s">
        <v>58</v>
      </c>
      <c r="C34" s="22"/>
      <c r="D34" s="35"/>
      <c r="E34" s="35"/>
      <c r="F34" s="35"/>
      <c r="G34" s="35"/>
      <c r="H34" s="35"/>
      <c r="I34" s="28"/>
      <c r="J34" s="28"/>
      <c r="K34" s="28"/>
      <c r="L34" s="28"/>
      <c r="M34" s="28"/>
      <c r="N34" s="13"/>
      <c r="O34" s="13"/>
      <c r="P34" s="13"/>
    </row>
    <row r="35" spans="2:16" x14ac:dyDescent="0.25">
      <c r="B35" s="262"/>
      <c r="C35" s="22"/>
      <c r="D35" s="35"/>
      <c r="E35" s="35"/>
      <c r="F35" s="35"/>
      <c r="G35" s="35"/>
      <c r="H35" s="35"/>
      <c r="I35" s="28"/>
      <c r="J35" s="28"/>
      <c r="K35" s="28"/>
      <c r="L35" s="28"/>
      <c r="M35" s="28"/>
      <c r="N35" s="13"/>
      <c r="O35" s="13"/>
      <c r="P35" s="13"/>
    </row>
    <row r="36" spans="2:16" x14ac:dyDescent="0.25">
      <c r="B36" s="262"/>
      <c r="C36" s="22"/>
      <c r="D36" s="40">
        <v>2793929</v>
      </c>
      <c r="E36" s="40">
        <v>3447698</v>
      </c>
      <c r="F36" s="40">
        <v>4024561</v>
      </c>
      <c r="G36" s="40">
        <v>4637601</v>
      </c>
      <c r="H36" s="40">
        <v>5145172</v>
      </c>
      <c r="I36" s="28">
        <f>H36</f>
        <v>5145172</v>
      </c>
      <c r="J36" s="28">
        <f t="shared" ref="J36:M36" si="17">I36</f>
        <v>5145172</v>
      </c>
      <c r="K36" s="28">
        <f t="shared" si="17"/>
        <v>5145172</v>
      </c>
      <c r="L36" s="28">
        <f t="shared" si="17"/>
        <v>5145172</v>
      </c>
      <c r="M36" s="28">
        <f t="shared" si="17"/>
        <v>5145172</v>
      </c>
      <c r="N36" s="13" t="s">
        <v>136</v>
      </c>
      <c r="O36" s="13"/>
      <c r="P36" s="13"/>
    </row>
    <row r="37" spans="2:16" x14ac:dyDescent="0.25">
      <c r="B37" s="260" t="s">
        <v>59</v>
      </c>
      <c r="C37" s="52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13"/>
      <c r="O37" s="13"/>
      <c r="P37" s="13"/>
    </row>
    <row r="38" spans="2:16" x14ac:dyDescent="0.25">
      <c r="B38" s="261"/>
      <c r="C38" s="53"/>
      <c r="D38" s="54">
        <v>0</v>
      </c>
      <c r="E38" s="54">
        <v>0</v>
      </c>
      <c r="F38" s="54">
        <v>-824190</v>
      </c>
      <c r="G38" s="54">
        <v>-824190</v>
      </c>
      <c r="H38" s="54">
        <v>-6922200</v>
      </c>
      <c r="I38" s="55">
        <f>H38</f>
        <v>-6922200</v>
      </c>
      <c r="J38" s="55">
        <f t="shared" ref="J38:M38" si="18">I38</f>
        <v>-6922200</v>
      </c>
      <c r="K38" s="55">
        <f t="shared" si="18"/>
        <v>-6922200</v>
      </c>
      <c r="L38" s="55">
        <f t="shared" si="18"/>
        <v>-6922200</v>
      </c>
      <c r="M38" s="55">
        <f t="shared" si="18"/>
        <v>-6922200</v>
      </c>
      <c r="N38" s="13" t="s">
        <v>136</v>
      </c>
      <c r="O38" s="13"/>
      <c r="P38" s="13"/>
    </row>
    <row r="39" spans="2:16" x14ac:dyDescent="0.25">
      <c r="B39" s="104" t="s">
        <v>56</v>
      </c>
      <c r="C39" s="22"/>
      <c r="D39" s="40">
        <v>-23521</v>
      </c>
      <c r="E39" s="40">
        <v>44398</v>
      </c>
      <c r="F39" s="40">
        <v>-40495</v>
      </c>
      <c r="G39" s="40">
        <v>-217306</v>
      </c>
      <c r="H39" s="40">
        <v>-223945</v>
      </c>
      <c r="I39" s="28">
        <f>H39</f>
        <v>-223945</v>
      </c>
      <c r="J39" s="28">
        <f t="shared" ref="J39:M39" si="19">I39</f>
        <v>-223945</v>
      </c>
      <c r="K39" s="28">
        <f t="shared" si="19"/>
        <v>-223945</v>
      </c>
      <c r="L39" s="28">
        <f t="shared" si="19"/>
        <v>-223945</v>
      </c>
      <c r="M39" s="28">
        <f t="shared" si="19"/>
        <v>-223945</v>
      </c>
      <c r="N39" s="13" t="s">
        <v>136</v>
      </c>
      <c r="O39" s="13"/>
      <c r="P39" s="13" t="s">
        <v>138</v>
      </c>
    </row>
    <row r="40" spans="2:16" x14ac:dyDescent="0.25">
      <c r="B40" s="104" t="s">
        <v>55</v>
      </c>
      <c r="C40" s="22"/>
      <c r="D40" s="40">
        <v>4811749</v>
      </c>
      <c r="E40" s="40">
        <v>7573144</v>
      </c>
      <c r="F40" s="40">
        <v>12689372</v>
      </c>
      <c r="G40" s="40">
        <v>17181296</v>
      </c>
      <c r="H40" s="40">
        <v>22589286</v>
      </c>
      <c r="I40" s="28">
        <f>H40+'Income Statement'!I32-0</f>
        <v>27858831.9857665</v>
      </c>
      <c r="J40" s="28">
        <f>I40+'Income Statement'!J32-0</f>
        <v>34056620.219099112</v>
      </c>
      <c r="K40" s="28">
        <f>J40+'Income Statement'!K32-0</f>
        <v>41390295.695559315</v>
      </c>
      <c r="L40" s="28">
        <f>K40+'Income Statement'!L32-0</f>
        <v>50026948.708730593</v>
      </c>
      <c r="M40" s="28">
        <f>L40+'Income Statement'!M32-0</f>
        <v>60208977.250495538</v>
      </c>
      <c r="N40" s="13"/>
      <c r="O40" s="13"/>
      <c r="P40" s="13"/>
    </row>
    <row r="41" spans="2:16" x14ac:dyDescent="0.25">
      <c r="B41" s="106" t="s">
        <v>54</v>
      </c>
      <c r="C41" s="42"/>
      <c r="D41" s="43">
        <f t="shared" ref="D41:F41" si="20">SUM(D33,D36,D38,D39,D40)</f>
        <v>7582157</v>
      </c>
      <c r="E41" s="43">
        <f t="shared" si="20"/>
        <v>11065240</v>
      </c>
      <c r="F41" s="43">
        <f t="shared" si="20"/>
        <v>15849248</v>
      </c>
      <c r="G41" s="43">
        <f>SUM(G33,G36,G38,G39,G40)</f>
        <v>20777401</v>
      </c>
      <c r="H41" s="43">
        <f t="shared" ref="H41:M41" si="21">SUM(H33,H36,H38,H39,H40)</f>
        <v>20588313</v>
      </c>
      <c r="I41" s="44">
        <f t="shared" si="21"/>
        <v>25857858.9857665</v>
      </c>
      <c r="J41" s="44">
        <f t="shared" si="21"/>
        <v>32055647.219099112</v>
      </c>
      <c r="K41" s="44">
        <f t="shared" si="21"/>
        <v>39389322.695559315</v>
      </c>
      <c r="L41" s="44">
        <f t="shared" si="21"/>
        <v>48025975.708730593</v>
      </c>
      <c r="M41" s="44">
        <f t="shared" si="21"/>
        <v>58208004.250495538</v>
      </c>
      <c r="N41" s="13"/>
      <c r="O41" s="13"/>
      <c r="P41" s="13"/>
    </row>
    <row r="42" spans="2:16" x14ac:dyDescent="0.25">
      <c r="B42" s="38"/>
      <c r="C42" s="93"/>
      <c r="D42" s="112"/>
      <c r="E42" s="112"/>
      <c r="F42" s="112"/>
      <c r="G42" s="112"/>
      <c r="H42" s="112"/>
      <c r="I42" s="113"/>
      <c r="J42" s="113"/>
      <c r="K42" s="113"/>
      <c r="L42" s="113"/>
      <c r="M42" s="113"/>
      <c r="N42" s="13"/>
      <c r="O42" s="13"/>
      <c r="P42" s="13"/>
    </row>
    <row r="43" spans="2:16" ht="15.75" thickBot="1" x14ac:dyDescent="0.3">
      <c r="B43" s="108" t="s">
        <v>53</v>
      </c>
      <c r="C43" s="45"/>
      <c r="D43" s="30">
        <f>SUM(D28,D41)</f>
        <v>33975712</v>
      </c>
      <c r="E43" s="30">
        <f>SUM(E28,E41)</f>
        <v>39280359</v>
      </c>
      <c r="F43" s="30">
        <f>SUM(F28,F41)</f>
        <v>44584663</v>
      </c>
      <c r="G43" s="30">
        <f>SUM(G28,G41)</f>
        <v>48594768</v>
      </c>
      <c r="H43" s="30">
        <f>SUM(H28,H41)</f>
        <v>48731992</v>
      </c>
      <c r="I43" s="31">
        <f>I28+I41</f>
        <v>53565833.52098228</v>
      </c>
      <c r="J43" s="31">
        <f>J28+J41</f>
        <v>59244459.207196876</v>
      </c>
      <c r="K43" s="31">
        <f>K28+K41</f>
        <v>66120438.294979915</v>
      </c>
      <c r="L43" s="31">
        <f>L28+L41</f>
        <v>74364985.257488608</v>
      </c>
      <c r="M43" s="31">
        <f>M28+M41</f>
        <v>84226004.118011206</v>
      </c>
      <c r="N43" s="13"/>
      <c r="O43" s="13"/>
      <c r="P43" s="13"/>
    </row>
    <row r="44" spans="2:16" ht="15.75" thickTop="1" x14ac:dyDescent="0.25">
      <c r="I44" s="57"/>
      <c r="J44" s="57"/>
      <c r="K44" s="57"/>
      <c r="L44" s="57"/>
      <c r="M44" s="57"/>
      <c r="N44" s="13"/>
      <c r="O44" s="13"/>
      <c r="P44" s="13"/>
    </row>
    <row r="45" spans="2:16" x14ac:dyDescent="0.25">
      <c r="B45" s="263" t="s">
        <v>60</v>
      </c>
      <c r="C45" s="58"/>
      <c r="D45" s="58" t="b">
        <f t="shared" ref="D45:M45" si="22">D43=D15</f>
        <v>1</v>
      </c>
      <c r="E45" s="58" t="b">
        <f t="shared" si="22"/>
        <v>1</v>
      </c>
      <c r="F45" s="58" t="b">
        <f t="shared" si="22"/>
        <v>1</v>
      </c>
      <c r="G45" s="58" t="b">
        <f t="shared" si="22"/>
        <v>1</v>
      </c>
      <c r="H45" s="58" t="b">
        <f t="shared" si="22"/>
        <v>1</v>
      </c>
      <c r="I45" s="59" t="b">
        <f t="shared" si="22"/>
        <v>1</v>
      </c>
      <c r="J45" s="59" t="b">
        <f t="shared" si="22"/>
        <v>1</v>
      </c>
      <c r="K45" s="59" t="b">
        <f t="shared" si="22"/>
        <v>1</v>
      </c>
      <c r="L45" s="59" t="b">
        <f t="shared" si="22"/>
        <v>1</v>
      </c>
      <c r="M45" s="60" t="b">
        <f t="shared" si="22"/>
        <v>1</v>
      </c>
      <c r="N45" s="13"/>
      <c r="O45" s="13"/>
      <c r="P45" s="13"/>
    </row>
    <row r="46" spans="2:16" x14ac:dyDescent="0.25">
      <c r="B46" s="264"/>
      <c r="C46" s="61"/>
      <c r="D46" s="62">
        <f t="shared" ref="D46:M46" si="23">D43-D15</f>
        <v>0</v>
      </c>
      <c r="E46" s="62">
        <f t="shared" si="23"/>
        <v>0</v>
      </c>
      <c r="F46" s="62">
        <f t="shared" si="23"/>
        <v>0</v>
      </c>
      <c r="G46" s="62">
        <f t="shared" si="23"/>
        <v>0</v>
      </c>
      <c r="H46" s="62">
        <f t="shared" si="23"/>
        <v>0</v>
      </c>
      <c r="I46" s="63">
        <f t="shared" si="23"/>
        <v>0</v>
      </c>
      <c r="J46" s="63">
        <f t="shared" si="23"/>
        <v>0</v>
      </c>
      <c r="K46" s="63">
        <f t="shared" si="23"/>
        <v>0</v>
      </c>
      <c r="L46" s="63">
        <f t="shared" si="23"/>
        <v>0</v>
      </c>
      <c r="M46" s="64">
        <f t="shared" si="23"/>
        <v>0</v>
      </c>
      <c r="N46" s="13"/>
      <c r="O46" s="13"/>
      <c r="P46" s="13"/>
    </row>
    <row r="47" spans="2:16" x14ac:dyDescent="0.25">
      <c r="N47" s="13"/>
      <c r="O47" s="13"/>
      <c r="P47" s="13"/>
    </row>
    <row r="48" spans="2:16" x14ac:dyDescent="0.25">
      <c r="B48" s="65" t="s">
        <v>139</v>
      </c>
      <c r="C48" s="13"/>
      <c r="D48" s="13"/>
      <c r="E48" s="13"/>
      <c r="F48" s="13"/>
      <c r="G48" s="13"/>
      <c r="H48" s="13"/>
      <c r="N48" s="13"/>
      <c r="O48" s="13"/>
      <c r="P48" s="13"/>
    </row>
    <row r="49" spans="2:16" x14ac:dyDescent="0.25">
      <c r="B49" s="66" t="s">
        <v>150</v>
      </c>
      <c r="C49" s="13"/>
      <c r="D49" s="14">
        <f>'Income Statement'!D8</f>
        <v>12440213</v>
      </c>
      <c r="E49" s="14">
        <f>'Income Statement'!E8</f>
        <v>15276319</v>
      </c>
      <c r="F49" s="14">
        <f>'Income Statement'!F8</f>
        <v>17332683</v>
      </c>
      <c r="G49" s="14">
        <f>'Income Statement'!G8</f>
        <v>19168285</v>
      </c>
      <c r="H49" s="14">
        <f>'Income Statement'!H8</f>
        <v>19715368</v>
      </c>
      <c r="I49" s="5">
        <f>'Income Statement'!I8</f>
        <v>23448349.118531071</v>
      </c>
      <c r="J49" s="5">
        <f>'Income Statement'!J8</f>
        <v>27077535.548310161</v>
      </c>
      <c r="K49" s="5">
        <f>'Income Statement'!K8</f>
        <v>31353606.945394788</v>
      </c>
      <c r="L49" s="5">
        <f>'Income Statement'!L8</f>
        <v>36408219.901396729</v>
      </c>
      <c r="M49" s="5">
        <f>'Income Statement'!M8</f>
        <v>42402838.458747528</v>
      </c>
      <c r="N49" s="13"/>
      <c r="O49" s="13"/>
      <c r="P49" s="13"/>
    </row>
    <row r="50" spans="2:16" x14ac:dyDescent="0.25">
      <c r="B50" s="66" t="s">
        <v>140</v>
      </c>
      <c r="C50" s="13"/>
      <c r="D50" s="14">
        <f>D20</f>
        <v>674347</v>
      </c>
      <c r="E50" s="14">
        <f>E20</f>
        <v>656183</v>
      </c>
      <c r="F50" s="14">
        <f>F20</f>
        <v>837483</v>
      </c>
      <c r="G50" s="14">
        <f>G20</f>
        <v>671513</v>
      </c>
      <c r="H50" s="14">
        <f>H20</f>
        <v>747412</v>
      </c>
      <c r="I50" s="5">
        <f>'Income Statement'!I8*'Balance Sheet'!$I$53/365</f>
        <v>1024327.3242157799</v>
      </c>
      <c r="J50" s="5">
        <f>'Income Statement'!J8*'Balance Sheet'!$I$53/365</f>
        <v>1182866.1964367644</v>
      </c>
      <c r="K50" s="5">
        <f>'Income Statement'!K8*'Balance Sheet'!$I$53/365</f>
        <v>1369663.8575509863</v>
      </c>
      <c r="L50" s="5">
        <f>'Income Statement'!L8*'Balance Sheet'!$I$53/365</f>
        <v>1590471.6482400149</v>
      </c>
      <c r="M50" s="5">
        <f>'Income Statement'!M8*'Balance Sheet'!$I$53/365</f>
        <v>1852343.0301230426</v>
      </c>
      <c r="N50" s="13"/>
      <c r="O50" s="13"/>
      <c r="P50" s="13"/>
    </row>
    <row r="51" spans="2:16" x14ac:dyDescent="0.25">
      <c r="B51" s="13"/>
      <c r="C51" s="13"/>
      <c r="D51" s="13"/>
      <c r="E51" s="13"/>
      <c r="F51" s="13"/>
      <c r="G51" s="13"/>
      <c r="H51" s="13"/>
      <c r="N51" s="13"/>
      <c r="O51" s="13"/>
      <c r="P51" s="13"/>
    </row>
    <row r="52" spans="2:16" x14ac:dyDescent="0.25">
      <c r="B52" s="66" t="s">
        <v>141</v>
      </c>
      <c r="C52" s="13"/>
      <c r="D52" s="202">
        <f>D49/D50</f>
        <v>18.447791715541108</v>
      </c>
      <c r="E52" s="202">
        <f t="shared" ref="E52:H52" si="24">E49/E50</f>
        <v>23.280577217026348</v>
      </c>
      <c r="F52" s="202">
        <f t="shared" si="24"/>
        <v>20.696160996700829</v>
      </c>
      <c r="G52" s="202">
        <f t="shared" si="24"/>
        <v>28.544920202587292</v>
      </c>
      <c r="H52" s="202">
        <f t="shared" si="24"/>
        <v>26.378179638539386</v>
      </c>
      <c r="I52" s="251"/>
    </row>
    <row r="53" spans="2:16" x14ac:dyDescent="0.25">
      <c r="B53" s="66" t="s">
        <v>142</v>
      </c>
      <c r="C53" s="13"/>
      <c r="D53" s="202">
        <f>365/D52</f>
        <v>19.785565970614812</v>
      </c>
      <c r="E53" s="202">
        <f t="shared" ref="E53:H53" si="25">365/E52</f>
        <v>15.678305421613675</v>
      </c>
      <c r="F53" s="202">
        <f t="shared" si="25"/>
        <v>17.636121020617523</v>
      </c>
      <c r="G53" s="202">
        <f t="shared" si="25"/>
        <v>12.786863561346255</v>
      </c>
      <c r="H53" s="202">
        <f t="shared" si="25"/>
        <v>13.837194416051478</v>
      </c>
      <c r="I53" s="252">
        <f>AVERAGE(D53:H53)</f>
        <v>15.944810078048747</v>
      </c>
      <c r="J53" s="13" t="s">
        <v>143</v>
      </c>
    </row>
    <row r="54" spans="2:16" x14ac:dyDescent="0.25">
      <c r="B54" s="66"/>
      <c r="C54" s="13"/>
      <c r="D54" s="202"/>
      <c r="E54" s="202"/>
      <c r="F54" s="202"/>
      <c r="G54" s="202"/>
      <c r="H54" s="202"/>
      <c r="I54" s="10"/>
    </row>
    <row r="55" spans="2:16" x14ac:dyDescent="0.25">
      <c r="B55" s="66"/>
      <c r="C55" s="13"/>
      <c r="D55" s="202" t="s">
        <v>144</v>
      </c>
      <c r="E55" s="202">
        <f>I53</f>
        <v>15.944810078048747</v>
      </c>
      <c r="F55" s="202"/>
      <c r="G55" s="202"/>
      <c r="H55" s="202"/>
      <c r="I55" s="10"/>
    </row>
    <row r="56" spans="2:16" x14ac:dyDescent="0.25">
      <c r="B56" s="66"/>
      <c r="C56" s="13"/>
      <c r="D56" s="202" t="s">
        <v>146</v>
      </c>
      <c r="E56" s="202">
        <f>365/I53</f>
        <v>22.89146112204223</v>
      </c>
      <c r="F56" s="202"/>
      <c r="G56" s="202"/>
      <c r="H56" s="202"/>
      <c r="I56" s="10"/>
    </row>
    <row r="57" spans="2:16" x14ac:dyDescent="0.25">
      <c r="B57" s="66"/>
      <c r="C57" s="13"/>
      <c r="D57" s="202" t="s">
        <v>145</v>
      </c>
      <c r="E57" s="202">
        <f>365/E56</f>
        <v>15.944810078048747</v>
      </c>
      <c r="F57" s="202"/>
      <c r="G57" s="202"/>
      <c r="H57" s="202"/>
      <c r="I57" s="10"/>
    </row>
    <row r="58" spans="2:16" x14ac:dyDescent="0.25">
      <c r="B58" s="66"/>
      <c r="C58" s="13"/>
      <c r="D58" s="67"/>
      <c r="E58" s="13"/>
      <c r="F58" s="67"/>
      <c r="G58" s="67"/>
      <c r="H58" s="67"/>
    </row>
    <row r="59" spans="2:16" x14ac:dyDescent="0.25">
      <c r="B59" s="66"/>
      <c r="C59" s="13"/>
      <c r="D59" s="253" t="s">
        <v>148</v>
      </c>
      <c r="E59" s="69" t="s">
        <v>149</v>
      </c>
      <c r="F59" s="67"/>
      <c r="G59" s="67"/>
      <c r="H59" s="67"/>
    </row>
    <row r="60" spans="2:16" x14ac:dyDescent="0.25">
      <c r="B60" s="65" t="s">
        <v>11</v>
      </c>
      <c r="C60" s="70" t="s">
        <v>10</v>
      </c>
      <c r="F60" s="67"/>
      <c r="G60" s="67"/>
      <c r="H60" s="67"/>
    </row>
    <row r="61" spans="2:16" x14ac:dyDescent="0.25">
      <c r="C61" s="71" t="s">
        <v>151</v>
      </c>
      <c r="D61" s="68"/>
      <c r="E61" s="68"/>
      <c r="F61" s="68"/>
      <c r="G61" s="68"/>
      <c r="H61" s="68"/>
    </row>
    <row r="62" spans="2:16" x14ac:dyDescent="0.25">
      <c r="C62" s="72" t="s">
        <v>12</v>
      </c>
    </row>
    <row r="63" spans="2:16" x14ac:dyDescent="0.25">
      <c r="B63" s="114" t="s">
        <v>14</v>
      </c>
      <c r="C63" s="129" t="s">
        <v>62</v>
      </c>
    </row>
  </sheetData>
  <mergeCells count="5">
    <mergeCell ref="C1:M1"/>
    <mergeCell ref="B32:B33"/>
    <mergeCell ref="B34:B36"/>
    <mergeCell ref="B37:B38"/>
    <mergeCell ref="B45:B46"/>
  </mergeCells>
  <pageMargins left="0.7" right="0.7" top="0.75" bottom="0.75" header="0.3" footer="0.3"/>
  <ignoredErrors>
    <ignoredError sqref="I26:M26" formula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6F4-35E4-43AF-A6EB-F439F8B1A80C}">
  <dimension ref="B1:H40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C1" sqref="C1:H1"/>
    </sheetView>
  </sheetViews>
  <sheetFormatPr defaultRowHeight="15" x14ac:dyDescent="0.25"/>
  <cols>
    <col min="1" max="1" width="2" style="2" bestFit="1" customWidth="1"/>
    <col min="2" max="2" width="49.5703125" style="2" bestFit="1" customWidth="1"/>
    <col min="3" max="3" width="2" style="2" bestFit="1" customWidth="1"/>
    <col min="4" max="4" width="12.85546875" style="2" bestFit="1" customWidth="1"/>
    <col min="5" max="8" width="14.5703125" style="2" bestFit="1" customWidth="1"/>
    <col min="9" max="10" width="11.7109375" style="2" bestFit="1" customWidth="1"/>
    <col min="11" max="16384" width="9.140625" style="2"/>
  </cols>
  <sheetData>
    <row r="1" spans="2:8" ht="23.25" x14ac:dyDescent="0.25">
      <c r="B1" s="109" t="s">
        <v>15</v>
      </c>
      <c r="C1" s="265" t="s">
        <v>152</v>
      </c>
      <c r="D1" s="265"/>
      <c r="E1" s="265"/>
      <c r="F1" s="265"/>
      <c r="G1" s="265"/>
      <c r="H1" s="265"/>
    </row>
    <row r="2" spans="2:8" ht="15.75" thickBot="1" x14ac:dyDescent="0.3"/>
    <row r="3" spans="2:8" x14ac:dyDescent="0.25">
      <c r="B3" s="73" t="str">
        <f>'Income Statement'!B3</f>
        <v>Months ➡️</v>
      </c>
      <c r="C3" s="73"/>
      <c r="D3" s="73">
        <f>'Income Statement'!I3</f>
        <v>12</v>
      </c>
      <c r="E3" s="73">
        <f>'Income Statement'!J3</f>
        <v>12</v>
      </c>
      <c r="F3" s="73">
        <f>'Income Statement'!K3</f>
        <v>12</v>
      </c>
      <c r="G3" s="73">
        <f>'Income Statement'!L3</f>
        <v>12</v>
      </c>
      <c r="H3" s="73">
        <f>'Income Statement'!M3</f>
        <v>12</v>
      </c>
    </row>
    <row r="4" spans="2:8" x14ac:dyDescent="0.25">
      <c r="B4" s="74" t="str">
        <f>'Income Statement'!B4</f>
        <v>Year ➡️</v>
      </c>
      <c r="C4" s="74"/>
      <c r="D4" s="74">
        <f>'Income Statement'!I4</f>
        <v>45657</v>
      </c>
      <c r="E4" s="74">
        <f>'Income Statement'!J4</f>
        <v>46022</v>
      </c>
      <c r="F4" s="74">
        <f>'Income Statement'!K4</f>
        <v>46387</v>
      </c>
      <c r="G4" s="74">
        <f>'Income Statement'!L4</f>
        <v>46752</v>
      </c>
      <c r="H4" s="74">
        <f>'Income Statement'!M4</f>
        <v>47118</v>
      </c>
    </row>
    <row r="5" spans="2:8" ht="15.75" thickBot="1" x14ac:dyDescent="0.3">
      <c r="B5" s="75"/>
      <c r="C5" s="75"/>
      <c r="D5" s="77" t="str">
        <f>'Income Statement'!I5</f>
        <v>Projections</v>
      </c>
      <c r="E5" s="77" t="str">
        <f>'Income Statement'!J5</f>
        <v>Projections</v>
      </c>
      <c r="F5" s="77" t="str">
        <f>'Income Statement'!K5</f>
        <v>Projections</v>
      </c>
      <c r="G5" s="77" t="str">
        <f>'Income Statement'!L5</f>
        <v>Projections</v>
      </c>
      <c r="H5" s="77" t="str">
        <f>'Income Statement'!M5</f>
        <v>Projections</v>
      </c>
    </row>
    <row r="6" spans="2:8" x14ac:dyDescent="0.25">
      <c r="B6" s="163"/>
      <c r="C6" s="20"/>
      <c r="D6" s="20"/>
      <c r="E6" s="20"/>
      <c r="F6" s="20"/>
      <c r="G6" s="20"/>
      <c r="H6" s="20"/>
    </row>
    <row r="7" spans="2:8" x14ac:dyDescent="0.25">
      <c r="B7" s="164" t="s">
        <v>106</v>
      </c>
      <c r="C7" s="22"/>
      <c r="D7" s="35"/>
      <c r="E7" s="35"/>
      <c r="F7" s="35"/>
      <c r="G7" s="35"/>
      <c r="H7" s="35"/>
    </row>
    <row r="8" spans="2:8" x14ac:dyDescent="0.25">
      <c r="B8" s="86" t="s">
        <v>107</v>
      </c>
      <c r="C8" s="161"/>
      <c r="D8" s="27">
        <f>'Income Statement'!I32</f>
        <v>5269545.9857665002</v>
      </c>
      <c r="E8" s="27">
        <f>'Income Statement'!J32</f>
        <v>6197788.2333326098</v>
      </c>
      <c r="F8" s="27">
        <f>'Income Statement'!K32</f>
        <v>7333675.4764602063</v>
      </c>
      <c r="G8" s="27">
        <f>'Income Statement'!L32</f>
        <v>8636653.0131712817</v>
      </c>
      <c r="H8" s="27">
        <f>'Income Statement'!M32</f>
        <v>10182028.541764943</v>
      </c>
    </row>
    <row r="9" spans="2:8" x14ac:dyDescent="0.25">
      <c r="B9" s="86" t="s">
        <v>108</v>
      </c>
      <c r="C9" s="161"/>
      <c r="D9" s="27">
        <f>'Income Statement'!I21</f>
        <v>9556308.1557255462</v>
      </c>
      <c r="E9" s="27">
        <f>'Income Statement'!J21</f>
        <v>6882319.3598907096</v>
      </c>
      <c r="F9" s="27">
        <f>'Income Statement'!K21</f>
        <v>5012260.6170093054</v>
      </c>
      <c r="G9" s="27">
        <f>'Income Statement'!L21</f>
        <v>3714444.1618061028</v>
      </c>
      <c r="H9" s="27">
        <f>'Income Statement'!M21</f>
        <v>2825882.3006491833</v>
      </c>
    </row>
    <row r="10" spans="2:8" x14ac:dyDescent="0.25">
      <c r="B10" s="86" t="s">
        <v>109</v>
      </c>
      <c r="C10" s="22"/>
      <c r="D10" s="40">
        <v>0</v>
      </c>
      <c r="E10" s="40">
        <v>0</v>
      </c>
      <c r="F10" s="40">
        <v>0</v>
      </c>
      <c r="G10" s="40">
        <v>0</v>
      </c>
      <c r="H10" s="40">
        <v>0</v>
      </c>
    </row>
    <row r="11" spans="2:8" x14ac:dyDescent="0.25">
      <c r="B11" s="167" t="s">
        <v>110</v>
      </c>
      <c r="C11" s="22"/>
      <c r="D11" s="35"/>
      <c r="E11" s="35"/>
      <c r="F11" s="35"/>
      <c r="G11" s="35"/>
      <c r="H11" s="35"/>
    </row>
    <row r="12" spans="2:8" x14ac:dyDescent="0.25">
      <c r="B12" s="168" t="s">
        <v>111</v>
      </c>
      <c r="C12" s="22"/>
      <c r="D12" s="40">
        <v>0</v>
      </c>
      <c r="E12" s="40">
        <v>0</v>
      </c>
      <c r="F12" s="40">
        <v>0</v>
      </c>
      <c r="G12" s="40">
        <v>0</v>
      </c>
      <c r="H12" s="40">
        <v>0</v>
      </c>
    </row>
    <row r="13" spans="2:8" x14ac:dyDescent="0.25">
      <c r="B13" s="86" t="s">
        <v>112</v>
      </c>
      <c r="C13" s="22"/>
      <c r="D13" s="40">
        <v>0</v>
      </c>
      <c r="E13" s="40">
        <v>0</v>
      </c>
      <c r="F13" s="40">
        <v>0</v>
      </c>
      <c r="G13" s="40">
        <v>0</v>
      </c>
      <c r="H13" s="40">
        <v>0</v>
      </c>
    </row>
    <row r="14" spans="2:8" x14ac:dyDescent="0.25">
      <c r="B14" s="86" t="s">
        <v>113</v>
      </c>
      <c r="C14" s="22"/>
      <c r="D14" s="40">
        <v>0</v>
      </c>
      <c r="E14" s="40">
        <v>0</v>
      </c>
      <c r="F14" s="40">
        <v>0</v>
      </c>
      <c r="G14" s="40">
        <v>0</v>
      </c>
      <c r="H14" s="40">
        <v>0</v>
      </c>
    </row>
    <row r="15" spans="2:8" x14ac:dyDescent="0.25">
      <c r="B15" s="86" t="s">
        <v>114</v>
      </c>
      <c r="C15" s="161"/>
      <c r="D15" s="27">
        <f>'Balance Sheet'!I20-'Balance Sheet'!H20</f>
        <v>276915.3242157799</v>
      </c>
      <c r="E15" s="27">
        <f>'Balance Sheet'!J20-'Balance Sheet'!I20</f>
        <v>158538.87222098454</v>
      </c>
      <c r="F15" s="27">
        <f>'Balance Sheet'!K20-'Balance Sheet'!J20</f>
        <v>186797.6611142219</v>
      </c>
      <c r="G15" s="27">
        <f>'Balance Sheet'!L20-'Balance Sheet'!K20</f>
        <v>220807.79068902857</v>
      </c>
      <c r="H15" s="27">
        <f>'Balance Sheet'!M20-'Balance Sheet'!L20</f>
        <v>261871.38188302773</v>
      </c>
    </row>
    <row r="16" spans="2:8" x14ac:dyDescent="0.25">
      <c r="B16" s="23"/>
      <c r="C16" s="161"/>
      <c r="D16" s="27"/>
      <c r="E16" s="27"/>
      <c r="F16" s="27"/>
      <c r="G16" s="27"/>
      <c r="H16" s="27"/>
    </row>
    <row r="17" spans="2:8" x14ac:dyDescent="0.25">
      <c r="B17" s="166" t="s">
        <v>115</v>
      </c>
      <c r="C17" s="97"/>
      <c r="D17" s="50">
        <f>SUM(D8:D16)</f>
        <v>15102769.465707825</v>
      </c>
      <c r="E17" s="50">
        <f t="shared" ref="E17:H17" si="0">SUM(E8:E16)</f>
        <v>13238646.465444302</v>
      </c>
      <c r="F17" s="50">
        <f t="shared" si="0"/>
        <v>12532733.754583733</v>
      </c>
      <c r="G17" s="50">
        <f t="shared" si="0"/>
        <v>12571904.965666413</v>
      </c>
      <c r="H17" s="50">
        <f t="shared" si="0"/>
        <v>13269782.224297153</v>
      </c>
    </row>
    <row r="18" spans="2:8" x14ac:dyDescent="0.25">
      <c r="B18" s="23"/>
      <c r="C18" s="22"/>
      <c r="D18" s="35"/>
      <c r="E18" s="35"/>
      <c r="F18" s="35"/>
      <c r="G18" s="35"/>
      <c r="H18" s="35"/>
    </row>
    <row r="19" spans="2:8" x14ac:dyDescent="0.25">
      <c r="B19" s="164" t="s">
        <v>116</v>
      </c>
      <c r="C19" s="22"/>
      <c r="D19" s="35"/>
      <c r="E19" s="35"/>
      <c r="F19" s="35"/>
      <c r="G19" s="35"/>
      <c r="H19" s="35"/>
    </row>
    <row r="20" spans="2:8" x14ac:dyDescent="0.25">
      <c r="B20" s="86" t="s">
        <v>117</v>
      </c>
      <c r="C20" s="161"/>
      <c r="D20" s="27">
        <f>-'FA Schedule'!I9</f>
        <v>-297223.69812835287</v>
      </c>
      <c r="E20" s="27">
        <f>-'FA Schedule'!J9</f>
        <v>-557889.84666816471</v>
      </c>
      <c r="F20" s="27">
        <f>-'FA Schedule'!K9</f>
        <v>-650734.31702902727</v>
      </c>
      <c r="G20" s="27">
        <f>-'FA Schedule'!L9</f>
        <v>-761375.25170228793</v>
      </c>
      <c r="H20" s="27">
        <f>-'FA Schedule'!M9</f>
        <v>-893664.43023005035</v>
      </c>
    </row>
    <row r="21" spans="2:8" x14ac:dyDescent="0.25">
      <c r="B21" s="23"/>
      <c r="C21" s="161"/>
      <c r="D21" s="27"/>
      <c r="E21" s="27"/>
      <c r="F21" s="27"/>
      <c r="G21" s="27"/>
      <c r="H21" s="27"/>
    </row>
    <row r="22" spans="2:8" x14ac:dyDescent="0.25">
      <c r="B22" s="166" t="s">
        <v>118</v>
      </c>
      <c r="C22" s="97"/>
      <c r="D22" s="50">
        <f>D20</f>
        <v>-297223.69812835287</v>
      </c>
      <c r="E22" s="50">
        <f t="shared" ref="E22:H22" si="1">E20</f>
        <v>-557889.84666816471</v>
      </c>
      <c r="F22" s="50">
        <f t="shared" si="1"/>
        <v>-650734.31702902727</v>
      </c>
      <c r="G22" s="50">
        <f t="shared" si="1"/>
        <v>-761375.25170228793</v>
      </c>
      <c r="H22" s="50">
        <f t="shared" si="1"/>
        <v>-893664.43023005035</v>
      </c>
    </row>
    <row r="23" spans="2:8" x14ac:dyDescent="0.25">
      <c r="B23" s="23"/>
      <c r="C23" s="22"/>
      <c r="D23" s="35"/>
      <c r="E23" s="35"/>
      <c r="F23" s="35"/>
      <c r="G23" s="35"/>
      <c r="H23" s="35"/>
    </row>
    <row r="24" spans="2:8" x14ac:dyDescent="0.25">
      <c r="B24" s="164" t="s">
        <v>119</v>
      </c>
      <c r="C24" s="22"/>
      <c r="D24" s="35"/>
      <c r="E24" s="35"/>
      <c r="F24" s="35"/>
      <c r="G24" s="35"/>
      <c r="H24" s="35"/>
    </row>
    <row r="25" spans="2:8" x14ac:dyDescent="0.25">
      <c r="B25" s="86" t="s">
        <v>120</v>
      </c>
      <c r="C25" s="22"/>
      <c r="D25" s="40">
        <v>0</v>
      </c>
      <c r="E25" s="40">
        <v>0</v>
      </c>
      <c r="F25" s="40">
        <v>0</v>
      </c>
      <c r="G25" s="40">
        <v>0</v>
      </c>
      <c r="H25" s="40">
        <v>0</v>
      </c>
    </row>
    <row r="26" spans="2:8" x14ac:dyDescent="0.25">
      <c r="B26" s="86" t="s">
        <v>121</v>
      </c>
      <c r="C26" s="22"/>
      <c r="D26" s="40">
        <v>0</v>
      </c>
      <c r="E26" s="40">
        <v>0</v>
      </c>
      <c r="F26" s="40">
        <v>0</v>
      </c>
      <c r="G26" s="40">
        <v>0</v>
      </c>
      <c r="H26" s="40">
        <v>0</v>
      </c>
    </row>
    <row r="27" spans="2:8" x14ac:dyDescent="0.25">
      <c r="B27" s="165"/>
      <c r="C27" s="22"/>
      <c r="D27" s="40"/>
      <c r="E27" s="40"/>
      <c r="F27" s="40"/>
      <c r="G27" s="40"/>
      <c r="H27" s="40"/>
    </row>
    <row r="28" spans="2:8" x14ac:dyDescent="0.25">
      <c r="B28" s="86" t="s">
        <v>122</v>
      </c>
      <c r="C28" s="22"/>
      <c r="D28" s="40">
        <v>0</v>
      </c>
      <c r="E28" s="40">
        <v>0</v>
      </c>
      <c r="F28" s="40">
        <v>0</v>
      </c>
      <c r="G28" s="40">
        <v>0</v>
      </c>
      <c r="H28" s="40">
        <v>0</v>
      </c>
    </row>
    <row r="29" spans="2:8" x14ac:dyDescent="0.25">
      <c r="B29" s="86" t="s">
        <v>123</v>
      </c>
      <c r="C29" s="161"/>
      <c r="D29" s="27">
        <f>-'Debt Schedule'!D10</f>
        <v>-712619.78899999999</v>
      </c>
      <c r="E29" s="27">
        <f>-'Debt Schedule'!E10</f>
        <v>-677701.41933900001</v>
      </c>
      <c r="F29" s="27">
        <f>-'Debt Schedule'!F10</f>
        <v>-644494.04979138903</v>
      </c>
      <c r="G29" s="27">
        <f>-'Debt Schedule'!G10</f>
        <v>-612913.84135161096</v>
      </c>
      <c r="H29" s="27">
        <f>-'Debt Schedule'!H10</f>
        <v>-582881.06312538206</v>
      </c>
    </row>
    <row r="30" spans="2:8" x14ac:dyDescent="0.25">
      <c r="B30" s="23"/>
      <c r="C30" s="161"/>
      <c r="D30" s="27"/>
      <c r="E30" s="27"/>
      <c r="F30" s="27"/>
      <c r="G30" s="27"/>
      <c r="H30" s="27"/>
    </row>
    <row r="31" spans="2:8" x14ac:dyDescent="0.25">
      <c r="B31" s="166" t="s">
        <v>124</v>
      </c>
      <c r="C31" s="97"/>
      <c r="D31" s="50">
        <f>SUM(D25:D29)</f>
        <v>-712619.78899999999</v>
      </c>
      <c r="E31" s="50">
        <f>SUM(E25:E29)</f>
        <v>-677701.41933900001</v>
      </c>
      <c r="F31" s="50">
        <f>SUM(F25:F29)</f>
        <v>-644494.04979138903</v>
      </c>
      <c r="G31" s="50">
        <f>SUM(G25:G29)</f>
        <v>-612913.84135161096</v>
      </c>
      <c r="H31" s="50">
        <f>SUM(H25:H29)</f>
        <v>-582881.06312538206</v>
      </c>
    </row>
    <row r="32" spans="2:8" x14ac:dyDescent="0.25">
      <c r="B32" s="23"/>
      <c r="C32" s="161"/>
      <c r="D32" s="27"/>
      <c r="E32" s="27"/>
      <c r="F32" s="27"/>
      <c r="G32" s="27"/>
      <c r="H32" s="27"/>
    </row>
    <row r="33" spans="2:8" x14ac:dyDescent="0.25">
      <c r="B33" s="166" t="s">
        <v>125</v>
      </c>
      <c r="C33" s="94"/>
      <c r="D33" s="43">
        <f>SUM(D17,D22,D31)</f>
        <v>14092925.978579473</v>
      </c>
      <c r="E33" s="43">
        <f>SUM(E17,E22,E31)</f>
        <v>12003055.199437138</v>
      </c>
      <c r="F33" s="43">
        <f>SUM(F17,F22,F31)</f>
        <v>11237505.387763318</v>
      </c>
      <c r="G33" s="43">
        <f>SUM(G17,G22,G31)</f>
        <v>11197615.872612514</v>
      </c>
      <c r="H33" s="43">
        <f>SUM(H17,H22,H31)</f>
        <v>11793236.730941722</v>
      </c>
    </row>
    <row r="34" spans="2:8" x14ac:dyDescent="0.25">
      <c r="B34" s="171" t="s">
        <v>126</v>
      </c>
      <c r="C34" s="162"/>
      <c r="D34" s="142">
        <f>'Balance Sheet'!H8</f>
        <v>7116913</v>
      </c>
      <c r="E34" s="142">
        <f>D35</f>
        <v>21209838.978579473</v>
      </c>
      <c r="F34" s="142">
        <f t="shared" ref="F34:H34" si="2">E35</f>
        <v>33212894.17801661</v>
      </c>
      <c r="G34" s="142">
        <f t="shared" si="2"/>
        <v>44450399.565779924</v>
      </c>
      <c r="H34" s="142">
        <f t="shared" si="2"/>
        <v>55648015.438392438</v>
      </c>
    </row>
    <row r="35" spans="2:8" ht="15.75" thickBot="1" x14ac:dyDescent="0.3">
      <c r="B35" s="170" t="s">
        <v>127</v>
      </c>
      <c r="C35" s="169"/>
      <c r="D35" s="56">
        <f>SUM(D34,D33)</f>
        <v>21209838.978579473</v>
      </c>
      <c r="E35" s="56">
        <f t="shared" ref="E35:H35" si="3">SUM(E34,E33)</f>
        <v>33212894.17801661</v>
      </c>
      <c r="F35" s="56">
        <f t="shared" si="3"/>
        <v>44450399.565779924</v>
      </c>
      <c r="G35" s="56">
        <f t="shared" si="3"/>
        <v>55648015.438392438</v>
      </c>
      <c r="H35" s="56">
        <f t="shared" si="3"/>
        <v>67441252.169334158</v>
      </c>
    </row>
    <row r="36" spans="2:8" ht="15.75" thickTop="1" x14ac:dyDescent="0.25"/>
    <row r="37" spans="2:8" x14ac:dyDescent="0.25">
      <c r="B37" s="65" t="s">
        <v>11</v>
      </c>
      <c r="C37" s="70" t="s">
        <v>10</v>
      </c>
    </row>
    <row r="38" spans="2:8" x14ac:dyDescent="0.25">
      <c r="C38" s="71" t="s">
        <v>151</v>
      </c>
    </row>
    <row r="39" spans="2:8" x14ac:dyDescent="0.25">
      <c r="C39" s="72" t="s">
        <v>12</v>
      </c>
    </row>
    <row r="40" spans="2:8" x14ac:dyDescent="0.25">
      <c r="B40" s="114" t="s">
        <v>14</v>
      </c>
      <c r="C40" s="129" t="s">
        <v>62</v>
      </c>
    </row>
  </sheetData>
  <mergeCells count="1">
    <mergeCell ref="C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85E8-C7D2-47CC-8516-F72981B95926}">
  <dimension ref="B1:K45"/>
  <sheetViews>
    <sheetView showGridLines="0" zoomScale="80" zoomScaleNormal="80" workbookViewId="0">
      <pane xSplit="2" ySplit="5" topLeftCell="C7" activePane="bottomRight" state="frozen"/>
      <selection pane="topRight" activeCell="C1" sqref="C1"/>
      <selection pane="bottomLeft" activeCell="A6" sqref="A6"/>
      <selection pane="bottomRight" activeCell="C1" sqref="C1:H1"/>
    </sheetView>
  </sheetViews>
  <sheetFormatPr defaultRowHeight="15" x14ac:dyDescent="0.25"/>
  <cols>
    <col min="1" max="1" width="2" style="13" bestFit="1" customWidth="1"/>
    <col min="2" max="2" width="41.42578125" style="13" bestFit="1" customWidth="1"/>
    <col min="3" max="3" width="2" style="13" bestFit="1" customWidth="1"/>
    <col min="4" max="4" width="16.140625" style="13" bestFit="1" customWidth="1"/>
    <col min="5" max="5" width="12.7109375" style="13" bestFit="1" customWidth="1"/>
    <col min="6" max="6" width="16.5703125" style="13" bestFit="1" customWidth="1"/>
    <col min="7" max="7" width="14" style="13" bestFit="1" customWidth="1"/>
    <col min="8" max="8" width="12.42578125" style="13" bestFit="1" customWidth="1"/>
    <col min="9" max="9" width="11.85546875" style="13" bestFit="1" customWidth="1"/>
    <col min="10" max="10" width="21.28515625" style="13" bestFit="1" customWidth="1"/>
    <col min="11" max="11" width="11.5703125" style="13" bestFit="1" customWidth="1"/>
    <col min="12" max="16384" width="9.140625" style="13"/>
  </cols>
  <sheetData>
    <row r="1" spans="2:11" ht="23.25" x14ac:dyDescent="0.25">
      <c r="B1" s="109" t="s">
        <v>15</v>
      </c>
      <c r="C1" s="265" t="s">
        <v>152</v>
      </c>
      <c r="D1" s="265"/>
      <c r="E1" s="265"/>
      <c r="F1" s="265"/>
      <c r="G1" s="265"/>
      <c r="H1" s="265"/>
    </row>
    <row r="2" spans="2:11" ht="15.75" thickBot="1" x14ac:dyDescent="0.3">
      <c r="D2" s="202">
        <f>(K3-K2)/365</f>
        <v>4.1095890410958902E-2</v>
      </c>
      <c r="E2" s="202">
        <f>D2+1</f>
        <v>1.0410958904109588</v>
      </c>
      <c r="F2" s="202">
        <f t="shared" ref="F2:H2" si="0">E2+1</f>
        <v>2.0410958904109586</v>
      </c>
      <c r="G2" s="202">
        <f t="shared" si="0"/>
        <v>3.0410958904109586</v>
      </c>
      <c r="H2" s="202">
        <f t="shared" si="0"/>
        <v>4.0410958904109586</v>
      </c>
      <c r="J2" s="13" t="s">
        <v>258</v>
      </c>
      <c r="K2" s="258">
        <f>DATE(2024,12,16)</f>
        <v>45642</v>
      </c>
    </row>
    <row r="3" spans="2:11" x14ac:dyDescent="0.25">
      <c r="B3" s="73" t="str">
        <f>'Cash Flow Statement'!B3</f>
        <v>Months ➡️</v>
      </c>
      <c r="C3" s="73"/>
      <c r="D3" s="73">
        <f>'Revenue Estimations'!I3</f>
        <v>12</v>
      </c>
      <c r="E3" s="73">
        <f>'Revenue Estimations'!J3</f>
        <v>12</v>
      </c>
      <c r="F3" s="73">
        <f>'Revenue Estimations'!K3</f>
        <v>12</v>
      </c>
      <c r="G3" s="73">
        <f>'Revenue Estimations'!L3</f>
        <v>12</v>
      </c>
      <c r="H3" s="73">
        <f>'Revenue Estimations'!M3</f>
        <v>12</v>
      </c>
      <c r="J3" s="13" t="s">
        <v>259</v>
      </c>
      <c r="K3" s="258">
        <f>DATE(2024,12,31)</f>
        <v>45657</v>
      </c>
    </row>
    <row r="4" spans="2:11" x14ac:dyDescent="0.25">
      <c r="B4" s="74" t="str">
        <f>'Cash Flow Statement'!B4</f>
        <v>Year ➡️</v>
      </c>
      <c r="C4" s="74"/>
      <c r="D4" s="74">
        <f>'Revenue Estimations'!I4</f>
        <v>45657</v>
      </c>
      <c r="E4" s="74">
        <f>'Revenue Estimations'!J4</f>
        <v>46022</v>
      </c>
      <c r="F4" s="74">
        <f>'Revenue Estimations'!K4</f>
        <v>46387</v>
      </c>
      <c r="G4" s="74">
        <f>'Revenue Estimations'!L4</f>
        <v>46752</v>
      </c>
      <c r="H4" s="74">
        <f>'Revenue Estimations'!M4</f>
        <v>47118</v>
      </c>
      <c r="K4" s="202">
        <f>(K3-K2)/365</f>
        <v>4.1095890410958902E-2</v>
      </c>
    </row>
    <row r="5" spans="2:11" ht="15.75" thickBot="1" x14ac:dyDescent="0.3">
      <c r="B5" s="75"/>
      <c r="C5" s="75"/>
      <c r="D5" s="77" t="str">
        <f>'Revenue Estimations'!I5</f>
        <v>Projections</v>
      </c>
      <c r="E5" s="77" t="str">
        <f>'Revenue Estimations'!J5</f>
        <v>Projections</v>
      </c>
      <c r="F5" s="77" t="str">
        <f>'Revenue Estimations'!K5</f>
        <v>Projections</v>
      </c>
      <c r="G5" s="77" t="str">
        <f>'Revenue Estimations'!L5</f>
        <v>Projections</v>
      </c>
      <c r="H5" s="77" t="str">
        <f>'Revenue Estimations'!M5</f>
        <v>Projections</v>
      </c>
    </row>
    <row r="6" spans="2:11" x14ac:dyDescent="0.25">
      <c r="B6" s="164" t="s">
        <v>164</v>
      </c>
      <c r="C6" s="161"/>
      <c r="D6" s="161"/>
      <c r="E6" s="161"/>
      <c r="F6" s="161"/>
      <c r="G6" s="161"/>
      <c r="H6" s="161"/>
    </row>
    <row r="7" spans="2:11" x14ac:dyDescent="0.25">
      <c r="B7" s="86" t="s">
        <v>78</v>
      </c>
      <c r="C7" s="161"/>
      <c r="D7" s="27">
        <f>'Income Statement'!I23</f>
        <v>6773045.7703951672</v>
      </c>
      <c r="E7" s="27">
        <f>'Income Statement'!J23</f>
        <v>7821334.7426352138</v>
      </c>
      <c r="F7" s="27">
        <f>'Income Statement'!K23</f>
        <v>9056476.1653225496</v>
      </c>
      <c r="G7" s="27">
        <f>'Income Statement'!L23</f>
        <v>10516498.989512671</v>
      </c>
      <c r="H7" s="27">
        <f>'Income Statement'!M23</f>
        <v>12248042.035880474</v>
      </c>
    </row>
    <row r="8" spans="2:11" x14ac:dyDescent="0.25">
      <c r="B8" s="86" t="s">
        <v>169</v>
      </c>
      <c r="C8" s="161"/>
      <c r="D8" s="190">
        <f>'Income Statement'!I40</f>
        <v>0.13352767402695159</v>
      </c>
      <c r="E8" s="190">
        <f>'Income Statement'!J40</f>
        <v>0.13352767402695159</v>
      </c>
      <c r="F8" s="190">
        <f>'Income Statement'!K40</f>
        <v>0.13352767402695159</v>
      </c>
      <c r="G8" s="190">
        <f>'Income Statement'!L40</f>
        <v>0.13352767402695159</v>
      </c>
      <c r="H8" s="190">
        <f>'Income Statement'!M40</f>
        <v>0.13352767402695159</v>
      </c>
    </row>
    <row r="9" spans="2:11" x14ac:dyDescent="0.25">
      <c r="B9" s="86" t="s">
        <v>165</v>
      </c>
      <c r="C9" s="161"/>
      <c r="D9" s="27">
        <f>D7*(1-D8)</f>
        <v>5868656.7225962188</v>
      </c>
      <c r="E9" s="27">
        <f t="shared" ref="E9:H9" si="1">E7*(1-E8)</f>
        <v>6776970.1066649482</v>
      </c>
      <c r="F9" s="27">
        <f t="shared" si="1"/>
        <v>7847185.9680865044</v>
      </c>
      <c r="G9" s="27">
        <f t="shared" si="1"/>
        <v>9112255.3405362573</v>
      </c>
      <c r="H9" s="27">
        <f t="shared" si="1"/>
        <v>10612589.471445026</v>
      </c>
    </row>
    <row r="10" spans="2:11" x14ac:dyDescent="0.25">
      <c r="B10" s="167" t="s">
        <v>166</v>
      </c>
      <c r="C10" s="161"/>
      <c r="D10" s="27">
        <f>'Income Statement'!I21</f>
        <v>9556308.1557255462</v>
      </c>
      <c r="E10" s="27">
        <f>'Income Statement'!J21</f>
        <v>6882319.3598907096</v>
      </c>
      <c r="F10" s="27">
        <f>'Income Statement'!K21</f>
        <v>5012260.6170093054</v>
      </c>
      <c r="G10" s="27">
        <f>'Income Statement'!L21</f>
        <v>3714444.1618061028</v>
      </c>
      <c r="H10" s="27">
        <f>'Income Statement'!M21</f>
        <v>2825882.3006491833</v>
      </c>
    </row>
    <row r="11" spans="2:11" x14ac:dyDescent="0.25">
      <c r="B11" s="168" t="s">
        <v>167</v>
      </c>
      <c r="C11" s="161"/>
      <c r="D11" s="27">
        <f>'Cash Flow Statement'!D15</f>
        <v>276915.3242157799</v>
      </c>
      <c r="E11" s="27">
        <f>'Cash Flow Statement'!E15</f>
        <v>158538.87222098454</v>
      </c>
      <c r="F11" s="27">
        <f>'Cash Flow Statement'!F15</f>
        <v>186797.6611142219</v>
      </c>
      <c r="G11" s="27">
        <f>'Cash Flow Statement'!G15</f>
        <v>220807.79068902857</v>
      </c>
      <c r="H11" s="27">
        <f>'Cash Flow Statement'!H15</f>
        <v>261871.38188302773</v>
      </c>
    </row>
    <row r="12" spans="2:11" x14ac:dyDescent="0.25">
      <c r="B12" s="86" t="s">
        <v>168</v>
      </c>
      <c r="C12" s="162"/>
      <c r="D12" s="142">
        <f>'Cash Flow Statement'!D20</f>
        <v>-297223.69812835287</v>
      </c>
      <c r="E12" s="142">
        <f>'Cash Flow Statement'!E20</f>
        <v>-557889.84666816471</v>
      </c>
      <c r="F12" s="142">
        <f>'Cash Flow Statement'!F20</f>
        <v>-650734.31702902727</v>
      </c>
      <c r="G12" s="142">
        <f>'Cash Flow Statement'!G20</f>
        <v>-761375.25170228793</v>
      </c>
      <c r="H12" s="142">
        <f>'Cash Flow Statement'!H20</f>
        <v>-893664.43023005035</v>
      </c>
    </row>
    <row r="13" spans="2:11" ht="15.75" thickBot="1" x14ac:dyDescent="0.3">
      <c r="B13" s="88" t="s">
        <v>170</v>
      </c>
      <c r="C13" s="205"/>
      <c r="D13" s="30">
        <f>D9+D10+D11+D12</f>
        <v>15404656.50440919</v>
      </c>
      <c r="E13" s="30">
        <f t="shared" ref="E13:H13" si="2">E9+E10+E11+E12</f>
        <v>13259938.492108477</v>
      </c>
      <c r="F13" s="30">
        <f t="shared" si="2"/>
        <v>12395509.929181004</v>
      </c>
      <c r="G13" s="30">
        <f t="shared" si="2"/>
        <v>12286132.041329101</v>
      </c>
      <c r="H13" s="30">
        <f t="shared" si="2"/>
        <v>12806678.723747186</v>
      </c>
      <c r="J13" s="13">
        <v>220503</v>
      </c>
    </row>
    <row r="14" spans="2:11" ht="15.75" thickTop="1" x14ac:dyDescent="0.25">
      <c r="J14" s="186">
        <f>J13/('Income Statement'!H17/1000)</f>
        <v>10.291592075031174</v>
      </c>
      <c r="K14" s="13">
        <f>J13/J15</f>
        <v>28.823921568627451</v>
      </c>
    </row>
    <row r="15" spans="2:11" x14ac:dyDescent="0.25">
      <c r="B15" s="13" t="s">
        <v>171</v>
      </c>
      <c r="D15" s="101">
        <f>WACC!G10</f>
        <v>8.9812430775565028E-2</v>
      </c>
      <c r="J15" s="13">
        <v>7650</v>
      </c>
    </row>
    <row r="16" spans="2:11" x14ac:dyDescent="0.25">
      <c r="B16" s="13" t="s">
        <v>233</v>
      </c>
      <c r="D16" s="101">
        <v>2.5000000000000001E-2</v>
      </c>
      <c r="E16" s="13" t="s">
        <v>174</v>
      </c>
      <c r="F16" s="13" t="s">
        <v>175</v>
      </c>
    </row>
    <row r="18" spans="2:9" x14ac:dyDescent="0.25">
      <c r="B18" s="13" t="s">
        <v>172</v>
      </c>
      <c r="D18" s="14">
        <f>PV($D$15,D2,0,-D13,0)</f>
        <v>15350305.213269357</v>
      </c>
      <c r="E18" s="14">
        <f t="shared" ref="E18:H18" si="3">PV($D$15,E2,0,-E13,0)</f>
        <v>12124246.249140432</v>
      </c>
      <c r="F18" s="14">
        <f t="shared" si="3"/>
        <v>10399821.356121305</v>
      </c>
      <c r="G18" s="14">
        <f t="shared" si="3"/>
        <v>9458557.3795743901</v>
      </c>
      <c r="H18" s="14">
        <f t="shared" si="3"/>
        <v>9046789.4253693707</v>
      </c>
    </row>
    <row r="19" spans="2:9" x14ac:dyDescent="0.25">
      <c r="B19" s="13" t="s">
        <v>173</v>
      </c>
      <c r="D19" s="185">
        <f>1/(1+$D$15)^D2</f>
        <v>0.99647176221525768</v>
      </c>
      <c r="E19" s="185">
        <f t="shared" ref="E19:H19" si="4">1/(1+$D$15)^E2</f>
        <v>0.91435162058678165</v>
      </c>
      <c r="F19" s="185">
        <f t="shared" si="4"/>
        <v>0.83899907430500065</v>
      </c>
      <c r="G19" s="185">
        <f t="shared" si="4"/>
        <v>0.76985639969983377</v>
      </c>
      <c r="H19" s="185">
        <f t="shared" si="4"/>
        <v>0.70641183561465293</v>
      </c>
    </row>
    <row r="20" spans="2:9" x14ac:dyDescent="0.25">
      <c r="D20" s="14">
        <f>D13*D19</f>
        <v>15350305.213269357</v>
      </c>
      <c r="E20" s="14">
        <f t="shared" ref="E20:H20" si="5">E13*E19</f>
        <v>12124246.249140432</v>
      </c>
      <c r="F20" s="14">
        <f t="shared" si="5"/>
        <v>10399821.356121307</v>
      </c>
      <c r="G20" s="14">
        <f t="shared" si="5"/>
        <v>9458557.3795743901</v>
      </c>
      <c r="H20" s="14">
        <f t="shared" si="5"/>
        <v>9046789.4253693707</v>
      </c>
    </row>
    <row r="21" spans="2:9" x14ac:dyDescent="0.25">
      <c r="B21" s="13" t="s">
        <v>176</v>
      </c>
      <c r="D21" s="14">
        <f>SUM(D20:H20)</f>
        <v>56379719.623474851</v>
      </c>
      <c r="E21" s="14"/>
      <c r="F21" s="14"/>
      <c r="G21" s="14"/>
      <c r="H21" s="14"/>
    </row>
    <row r="23" spans="2:9" x14ac:dyDescent="0.25">
      <c r="D23" s="109" t="s">
        <v>178</v>
      </c>
      <c r="E23" s="18"/>
      <c r="F23" s="109" t="s">
        <v>179</v>
      </c>
      <c r="G23" s="18" t="s">
        <v>180</v>
      </c>
      <c r="H23" s="18">
        <v>26</v>
      </c>
      <c r="I23" s="13" t="s">
        <v>182</v>
      </c>
    </row>
    <row r="24" spans="2:9" x14ac:dyDescent="0.25">
      <c r="B24" s="71" t="s">
        <v>177</v>
      </c>
      <c r="D24" s="187">
        <f>(H13*(1+D16))/(D15-D16)</f>
        <v>202535926.1296187</v>
      </c>
      <c r="E24" s="18"/>
      <c r="F24" s="187">
        <f>'Income Statement'!M17*FCFF!H23</f>
        <v>391922032.74977112</v>
      </c>
      <c r="G24" s="18"/>
      <c r="H24" s="18"/>
    </row>
    <row r="26" spans="2:9" x14ac:dyDescent="0.25">
      <c r="B26" s="13" t="s">
        <v>181</v>
      </c>
      <c r="D26" s="188">
        <f>D24*H19</f>
        <v>143073775.35513771</v>
      </c>
      <c r="F26" s="186">
        <f>F24*H19</f>
        <v>276858362.57259196</v>
      </c>
    </row>
    <row r="27" spans="2:9" x14ac:dyDescent="0.25">
      <c r="B27" s="13" t="s">
        <v>183</v>
      </c>
      <c r="D27" s="188">
        <f>D26+D21</f>
        <v>199453494.97861254</v>
      </c>
      <c r="F27" s="186">
        <f>F26+D21</f>
        <v>333238082.1960668</v>
      </c>
    </row>
    <row r="28" spans="2:9" x14ac:dyDescent="0.25">
      <c r="B28" s="71" t="s">
        <v>184</v>
      </c>
    </row>
    <row r="29" spans="2:9" x14ac:dyDescent="0.25">
      <c r="B29" s="13" t="str">
        <f>'Balance Sheet'!B9</f>
        <v>Short-term investments</v>
      </c>
      <c r="D29" s="14">
        <f>'Balance Sheet'!H9</f>
        <v>20973</v>
      </c>
      <c r="F29" s="14">
        <f>'Balance Sheet'!H9</f>
        <v>20973</v>
      </c>
    </row>
    <row r="30" spans="2:9" ht="15.75" thickBot="1" x14ac:dyDescent="0.3">
      <c r="B30" s="191" t="s">
        <v>185</v>
      </c>
      <c r="C30" s="189"/>
      <c r="D30" s="192">
        <f>D27+D29</f>
        <v>199474467.97861254</v>
      </c>
      <c r="E30" s="189"/>
      <c r="F30" s="193">
        <f>F27+F29</f>
        <v>333259055.1960668</v>
      </c>
    </row>
    <row r="31" spans="2:9" ht="15.75" thickTop="1" x14ac:dyDescent="0.25"/>
    <row r="32" spans="2:9" x14ac:dyDescent="0.25">
      <c r="B32" s="13" t="s">
        <v>186</v>
      </c>
      <c r="D32" s="14">
        <f>14.16*10^6</f>
        <v>14160000</v>
      </c>
      <c r="E32" s="14"/>
      <c r="F32" s="14">
        <f>14.16*10^6</f>
        <v>14160000</v>
      </c>
    </row>
    <row r="33" spans="2:7" x14ac:dyDescent="0.25">
      <c r="B33" s="13" t="s">
        <v>187</v>
      </c>
      <c r="D33" s="14">
        <f>1.82*10^6</f>
        <v>1820000</v>
      </c>
      <c r="E33" s="14"/>
      <c r="F33" s="14">
        <f>1.82*10^6</f>
        <v>1820000</v>
      </c>
    </row>
    <row r="34" spans="2:7" x14ac:dyDescent="0.25">
      <c r="B34" s="71" t="s">
        <v>188</v>
      </c>
      <c r="D34" s="14">
        <f>D32+D33</f>
        <v>15980000</v>
      </c>
      <c r="E34" s="14"/>
      <c r="F34" s="14">
        <f>F32+F33</f>
        <v>15980000</v>
      </c>
    </row>
    <row r="35" spans="2:7" x14ac:dyDescent="0.25">
      <c r="B35" s="13" t="s">
        <v>189</v>
      </c>
      <c r="D35" s="14">
        <v>0</v>
      </c>
      <c r="E35" s="14"/>
      <c r="F35" s="14">
        <v>0</v>
      </c>
    </row>
    <row r="36" spans="2:7" x14ac:dyDescent="0.25">
      <c r="B36" s="13" t="s">
        <v>190</v>
      </c>
      <c r="D36" s="14">
        <f>7.46*10^6</f>
        <v>7460000</v>
      </c>
      <c r="E36" s="14"/>
      <c r="F36" s="14">
        <f>7.46*10^6</f>
        <v>7460000</v>
      </c>
    </row>
    <row r="37" spans="2:7" ht="15.75" thickBot="1" x14ac:dyDescent="0.3">
      <c r="B37" s="194" t="s">
        <v>191</v>
      </c>
      <c r="C37" s="189"/>
      <c r="D37" s="192">
        <f>D30-D34-D35+D36</f>
        <v>190954467.97861254</v>
      </c>
      <c r="E37" s="189"/>
      <c r="F37" s="195">
        <f>F30-F34-F35+F36</f>
        <v>324739055.1960668</v>
      </c>
    </row>
    <row r="38" spans="2:7" ht="15.75" thickTop="1" x14ac:dyDescent="0.25">
      <c r="B38" s="13" t="s">
        <v>192</v>
      </c>
      <c r="D38" s="246">
        <v>439757</v>
      </c>
      <c r="E38" s="246"/>
      <c r="F38" s="246">
        <v>439757</v>
      </c>
    </row>
    <row r="40" spans="2:7" ht="15.75" thickBot="1" x14ac:dyDescent="0.3">
      <c r="B40" s="194" t="s">
        <v>193</v>
      </c>
      <c r="C40" s="189"/>
      <c r="D40" s="196">
        <f>D37/D38</f>
        <v>434.22723908570538</v>
      </c>
      <c r="E40" s="197"/>
      <c r="F40" s="198">
        <f>F37/F38</f>
        <v>738.45113368534624</v>
      </c>
    </row>
    <row r="41" spans="2:7" ht="15.75" thickTop="1" x14ac:dyDescent="0.25">
      <c r="D41" s="66" t="s">
        <v>195</v>
      </c>
      <c r="E41" s="200">
        <v>889.55</v>
      </c>
      <c r="F41" s="66" t="s">
        <v>196</v>
      </c>
      <c r="G41" s="201">
        <v>430125</v>
      </c>
    </row>
    <row r="42" spans="2:7" x14ac:dyDescent="0.25">
      <c r="B42" s="13" t="s">
        <v>194</v>
      </c>
      <c r="D42" s="99">
        <f>E41*G41</f>
        <v>382617693.75</v>
      </c>
    </row>
    <row r="43" spans="2:7" x14ac:dyDescent="0.25">
      <c r="B43" s="13" t="s">
        <v>197</v>
      </c>
      <c r="D43" s="99">
        <f>D34</f>
        <v>15980000</v>
      </c>
    </row>
    <row r="44" spans="2:7" x14ac:dyDescent="0.25">
      <c r="B44" s="13" t="s">
        <v>198</v>
      </c>
      <c r="D44" s="199">
        <f>D43/SUM(D42:D43)</f>
        <v>4.0090548065294718E-2</v>
      </c>
    </row>
    <row r="45" spans="2:7" x14ac:dyDescent="0.25">
      <c r="B45" s="13" t="s">
        <v>199</v>
      </c>
      <c r="D45" s="199">
        <f>1-D44</f>
        <v>0.95990945193470534</v>
      </c>
    </row>
  </sheetData>
  <mergeCells count="1">
    <mergeCell ref="C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0CE2-3E0A-48DB-8A01-57C43192CABF}">
  <dimension ref="A1:N16"/>
  <sheetViews>
    <sheetView showGridLines="0" zoomScale="80" zoomScaleNormal="80" workbookViewId="0">
      <pane ySplit="1" topLeftCell="A2" activePane="bottomLeft" state="frozen"/>
      <selection pane="bottomLeft" activeCell="C1" sqref="C1:N1"/>
    </sheetView>
  </sheetViews>
  <sheetFormatPr defaultRowHeight="15" x14ac:dyDescent="0.25"/>
  <cols>
    <col min="1" max="1" width="2" style="13" bestFit="1" customWidth="1"/>
    <col min="2" max="2" width="32.28515625" style="13" bestFit="1" customWidth="1"/>
    <col min="3" max="3" width="27.7109375" style="13" bestFit="1" customWidth="1"/>
    <col min="4" max="4" width="12.7109375" style="13" bestFit="1" customWidth="1"/>
    <col min="5" max="5" width="9.140625" style="13"/>
    <col min="6" max="6" width="21.7109375" style="13" bestFit="1" customWidth="1"/>
    <col min="7" max="7" width="19.42578125" style="13" bestFit="1" customWidth="1"/>
    <col min="8" max="16384" width="9.140625" style="13"/>
  </cols>
  <sheetData>
    <row r="1" spans="1:14" ht="23.25" x14ac:dyDescent="0.25">
      <c r="A1" s="18"/>
      <c r="B1" s="109" t="s">
        <v>15</v>
      </c>
      <c r="C1" s="265" t="s">
        <v>152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</row>
    <row r="2" spans="1:14" x14ac:dyDescent="0.25">
      <c r="A2" s="18"/>
    </row>
    <row r="3" spans="1:14" x14ac:dyDescent="0.25">
      <c r="A3" s="18"/>
      <c r="B3" s="210" t="s">
        <v>202</v>
      </c>
      <c r="C3" s="210"/>
      <c r="D3" s="213">
        <v>45646</v>
      </c>
      <c r="E3" s="18"/>
      <c r="F3" s="266" t="s">
        <v>224</v>
      </c>
      <c r="G3" s="266"/>
      <c r="I3" s="266" t="s">
        <v>225</v>
      </c>
      <c r="J3" s="266"/>
      <c r="K3" s="266"/>
      <c r="L3" s="266"/>
    </row>
    <row r="4" spans="1:14" x14ac:dyDescent="0.25">
      <c r="A4" s="18"/>
      <c r="B4" s="208" t="s">
        <v>232</v>
      </c>
      <c r="C4" s="208"/>
      <c r="D4" s="217">
        <v>2.23E-2</v>
      </c>
      <c r="E4" s="18"/>
      <c r="F4" s="208" t="s">
        <v>232</v>
      </c>
      <c r="G4" s="209">
        <f>D4</f>
        <v>2.23E-2</v>
      </c>
      <c r="J4" s="13" t="s">
        <v>223</v>
      </c>
      <c r="K4" s="199">
        <f>_xlfn.RRI(4,'Regression Beta'!AB229,'Regression Beta'!AB21)</f>
        <v>0.12496509578177917</v>
      </c>
      <c r="L4" s="13" t="s">
        <v>235</v>
      </c>
    </row>
    <row r="5" spans="1:14" x14ac:dyDescent="0.25">
      <c r="A5" s="18"/>
      <c r="B5" s="18" t="s">
        <v>200</v>
      </c>
      <c r="C5" s="18"/>
      <c r="D5" s="18" t="s">
        <v>203</v>
      </c>
      <c r="E5" s="18"/>
      <c r="F5" s="18" t="s">
        <v>218</v>
      </c>
      <c r="G5" s="202">
        <f>'Regression Beta'!C231</f>
        <v>1.5232441591147785</v>
      </c>
      <c r="J5" s="13" t="s">
        <v>222</v>
      </c>
      <c r="K5" s="184">
        <f>G4</f>
        <v>2.23E-2</v>
      </c>
    </row>
    <row r="6" spans="1:14" x14ac:dyDescent="0.25">
      <c r="A6" s="18"/>
      <c r="B6" s="18" t="s">
        <v>201</v>
      </c>
      <c r="C6" s="18"/>
      <c r="D6" s="216">
        <v>1.0699999999999999E-2</v>
      </c>
      <c r="E6" s="18"/>
      <c r="F6" s="18" t="s">
        <v>226</v>
      </c>
      <c r="G6" s="216">
        <v>4.5999999999999999E-2</v>
      </c>
      <c r="J6" s="211" t="s">
        <v>219</v>
      </c>
      <c r="K6" s="212">
        <f>K4-K5</f>
        <v>0.10266509578177917</v>
      </c>
    </row>
    <row r="7" spans="1:14" x14ac:dyDescent="0.25">
      <c r="A7" s="18"/>
      <c r="B7" s="206" t="s">
        <v>227</v>
      </c>
      <c r="C7" s="206"/>
      <c r="D7" s="207">
        <f>D4+D6</f>
        <v>3.3000000000000002E-2</v>
      </c>
      <c r="E7" s="18"/>
      <c r="F7" s="206" t="s">
        <v>228</v>
      </c>
      <c r="G7" s="207">
        <f>G4+G5*G6</f>
        <v>9.2369231319279807E-2</v>
      </c>
    </row>
    <row r="8" spans="1:14" x14ac:dyDescent="0.25">
      <c r="A8" s="18"/>
      <c r="B8" s="109" t="s">
        <v>204</v>
      </c>
      <c r="C8" s="109" t="s">
        <v>205</v>
      </c>
      <c r="D8" s="203">
        <f>D11/SUM(D12:D13)</f>
        <v>3.2921544442364239E-2</v>
      </c>
      <c r="E8" s="18"/>
      <c r="F8" s="18"/>
      <c r="G8" s="18"/>
    </row>
    <row r="9" spans="1:14" x14ac:dyDescent="0.25">
      <c r="A9" s="18"/>
      <c r="B9" s="18" t="s">
        <v>207</v>
      </c>
      <c r="C9" s="18"/>
      <c r="D9" s="18"/>
      <c r="E9" s="18"/>
      <c r="F9" s="18"/>
      <c r="G9" s="18"/>
    </row>
    <row r="10" spans="1:14" x14ac:dyDescent="0.25">
      <c r="A10" s="18"/>
      <c r="B10" s="18"/>
      <c r="E10" s="18"/>
      <c r="F10" s="208" t="s">
        <v>221</v>
      </c>
      <c r="G10" s="214">
        <f>G12*D7*(1-G11)+G13*G7</f>
        <v>8.9812430775565028E-2</v>
      </c>
      <c r="H10" s="13" t="s">
        <v>229</v>
      </c>
    </row>
    <row r="11" spans="1:14" x14ac:dyDescent="0.25">
      <c r="A11" s="18"/>
      <c r="B11" s="18" t="s">
        <v>206</v>
      </c>
      <c r="D11" s="215">
        <v>526130</v>
      </c>
      <c r="E11" s="18"/>
      <c r="F11" s="18" t="s">
        <v>169</v>
      </c>
      <c r="G11" s="101">
        <f>FCFF!H8</f>
        <v>0.13352767402695159</v>
      </c>
    </row>
    <row r="12" spans="1:14" x14ac:dyDescent="0.25">
      <c r="A12" s="18"/>
      <c r="B12" s="18" t="s">
        <v>236</v>
      </c>
      <c r="D12" s="215">
        <v>14160932</v>
      </c>
      <c r="E12" s="18"/>
      <c r="F12" s="18" t="str">
        <f>FCFF!B44</f>
        <v>Wd</v>
      </c>
      <c r="G12" s="17">
        <f>FCFF!D44</f>
        <v>4.0090548065294718E-2</v>
      </c>
    </row>
    <row r="13" spans="1:14" x14ac:dyDescent="0.25">
      <c r="A13" s="18"/>
      <c r="B13" s="18" t="s">
        <v>237</v>
      </c>
      <c r="D13" s="215">
        <v>1820396</v>
      </c>
      <c r="E13" s="18"/>
      <c r="F13" s="18" t="str">
        <f>FCFF!B45</f>
        <v>We</v>
      </c>
      <c r="G13" s="17">
        <f>FCFF!D45</f>
        <v>0.95990945193470534</v>
      </c>
    </row>
    <row r="14" spans="1:14" x14ac:dyDescent="0.25">
      <c r="A14" s="18"/>
      <c r="B14" s="18"/>
      <c r="C14" s="18"/>
      <c r="D14" s="18"/>
      <c r="E14" s="18"/>
    </row>
    <row r="15" spans="1:14" x14ac:dyDescent="0.25">
      <c r="A15" s="18"/>
      <c r="B15" s="18"/>
      <c r="C15" s="18"/>
      <c r="D15" s="18"/>
      <c r="E15" s="18"/>
    </row>
    <row r="16" spans="1:14" x14ac:dyDescent="0.25">
      <c r="A16" s="18"/>
      <c r="B16" s="18"/>
      <c r="C16" s="18"/>
      <c r="D16" s="18"/>
      <c r="E16" s="18"/>
    </row>
  </sheetData>
  <mergeCells count="3">
    <mergeCell ref="I3:L3"/>
    <mergeCell ref="F3:G3"/>
    <mergeCell ref="C1:N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300E-3822-4840-B8B5-9141B5296E6F}">
  <dimension ref="B1:AC1027"/>
  <sheetViews>
    <sheetView zoomScale="80" zoomScaleNormal="80" workbookViewId="0">
      <pane xSplit="2" ySplit="20" topLeftCell="C221" activePane="bottomRight" state="frozen"/>
      <selection pane="topRight" activeCell="C1" sqref="C1"/>
      <selection pane="bottomLeft" activeCell="A21" sqref="A21"/>
      <selection pane="bottomRight" activeCell="J11" sqref="J11"/>
    </sheetView>
  </sheetViews>
  <sheetFormatPr defaultRowHeight="15" x14ac:dyDescent="0.25"/>
  <cols>
    <col min="1" max="1" width="2" style="13" bestFit="1" customWidth="1"/>
    <col min="2" max="2" width="18.42578125" style="13" bestFit="1" customWidth="1"/>
    <col min="3" max="3" width="11.5703125" style="13" bestFit="1" customWidth="1"/>
    <col min="4" max="4" width="12.140625" style="13" bestFit="1" customWidth="1"/>
    <col min="5" max="5" width="8.42578125" style="13" bestFit="1" customWidth="1"/>
    <col min="6" max="6" width="3" style="13" bestFit="1" customWidth="1"/>
    <col min="7" max="7" width="11.5703125" style="13" bestFit="1" customWidth="1"/>
    <col min="8" max="8" width="7.7109375" style="13" bestFit="1" customWidth="1"/>
    <col min="9" max="9" width="8.42578125" style="13" bestFit="1" customWidth="1"/>
    <col min="10" max="10" width="3" style="13" bestFit="1" customWidth="1"/>
    <col min="11" max="11" width="11.5703125" style="13" bestFit="1" customWidth="1"/>
    <col min="12" max="12" width="7.7109375" style="13" bestFit="1" customWidth="1"/>
    <col min="13" max="13" width="8.42578125" style="13" bestFit="1" customWidth="1"/>
    <col min="14" max="14" width="3" style="13" bestFit="1" customWidth="1"/>
    <col min="15" max="15" width="11.5703125" style="13" bestFit="1" customWidth="1"/>
    <col min="16" max="17" width="7.7109375" style="13" bestFit="1" customWidth="1"/>
    <col min="18" max="18" width="3" style="13" bestFit="1" customWidth="1"/>
    <col min="19" max="19" width="11.5703125" style="13" bestFit="1" customWidth="1"/>
    <col min="20" max="20" width="6.5703125" style="13" bestFit="1" customWidth="1"/>
    <col min="21" max="21" width="8.42578125" style="13" bestFit="1" customWidth="1"/>
    <col min="22" max="22" width="3" style="13" bestFit="1" customWidth="1"/>
    <col min="23" max="23" width="11.5703125" style="13" bestFit="1" customWidth="1"/>
    <col min="24" max="24" width="6.5703125" style="13" bestFit="1" customWidth="1"/>
    <col min="25" max="25" width="8.42578125" style="13" bestFit="1" customWidth="1"/>
    <col min="26" max="26" width="3" style="13" bestFit="1" customWidth="1"/>
    <col min="27" max="27" width="11.5703125" style="13" bestFit="1" customWidth="1"/>
    <col min="28" max="28" width="8.7109375" style="13" bestFit="1" customWidth="1"/>
    <col min="29" max="29" width="7.28515625" style="13" bestFit="1" customWidth="1"/>
    <col min="30" max="16384" width="9.140625" style="13"/>
  </cols>
  <sheetData>
    <row r="1" spans="2:28" ht="23.25" x14ac:dyDescent="0.25">
      <c r="B1" s="109"/>
      <c r="C1" s="265" t="s">
        <v>152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18"/>
      <c r="U1" s="218"/>
      <c r="V1" s="218"/>
      <c r="W1" s="218"/>
      <c r="X1" s="218"/>
      <c r="Y1" s="218"/>
      <c r="Z1" s="218"/>
      <c r="AA1" s="218"/>
      <c r="AB1" s="218"/>
    </row>
    <row r="3" spans="2:28" x14ac:dyDescent="0.25">
      <c r="E3" s="271" t="s">
        <v>234</v>
      </c>
      <c r="F3" s="271"/>
      <c r="G3" s="271"/>
      <c r="H3" s="271"/>
    </row>
    <row r="4" spans="2:28" x14ac:dyDescent="0.25">
      <c r="B4" s="13" t="s">
        <v>211</v>
      </c>
    </row>
    <row r="5" spans="2:28" x14ac:dyDescent="0.25">
      <c r="B5" s="13" t="s">
        <v>208</v>
      </c>
    </row>
    <row r="6" spans="2:28" x14ac:dyDescent="0.25">
      <c r="B6" s="13" t="s">
        <v>209</v>
      </c>
    </row>
    <row r="7" spans="2:28" x14ac:dyDescent="0.25">
      <c r="B7" s="13" t="s">
        <v>210</v>
      </c>
    </row>
    <row r="8" spans="2:28" ht="15.75" thickBot="1" x14ac:dyDescent="0.3">
      <c r="D8" s="109" t="s">
        <v>239</v>
      </c>
    </row>
    <row r="9" spans="2:28" x14ac:dyDescent="0.25">
      <c r="B9" s="233" t="s">
        <v>213</v>
      </c>
      <c r="C9" s="233"/>
      <c r="D9" s="233" t="s">
        <v>231</v>
      </c>
    </row>
    <row r="10" spans="2:28" x14ac:dyDescent="0.25">
      <c r="B10" s="220" t="s">
        <v>220</v>
      </c>
      <c r="C10" s="268" t="s">
        <v>238</v>
      </c>
      <c r="D10" s="222">
        <f t="shared" ref="D10:D16" si="0">HLOOKUP($B10,$C$19:$AC$231,213,0)</f>
        <v>1.5232441591147785</v>
      </c>
    </row>
    <row r="11" spans="2:28" x14ac:dyDescent="0.25">
      <c r="B11" s="220" t="s">
        <v>216</v>
      </c>
      <c r="C11" s="269"/>
      <c r="D11" s="222">
        <f t="shared" si="0"/>
        <v>1.2600487694757485</v>
      </c>
    </row>
    <row r="12" spans="2:28" x14ac:dyDescent="0.25">
      <c r="B12" s="220" t="s">
        <v>230</v>
      </c>
      <c r="C12" s="269"/>
      <c r="D12" s="222">
        <f t="shared" si="0"/>
        <v>1.2196948918204511</v>
      </c>
    </row>
    <row r="13" spans="2:28" x14ac:dyDescent="0.25">
      <c r="B13" s="220" t="s">
        <v>251</v>
      </c>
      <c r="C13" s="269"/>
      <c r="D13" s="222">
        <f t="shared" si="0"/>
        <v>1.0309383831130361</v>
      </c>
    </row>
    <row r="14" spans="2:28" x14ac:dyDescent="0.25">
      <c r="B14" s="220" t="s">
        <v>252</v>
      </c>
      <c r="C14" s="269"/>
      <c r="D14" s="222">
        <f t="shared" si="0"/>
        <v>0.6486922107512173</v>
      </c>
    </row>
    <row r="15" spans="2:28" x14ac:dyDescent="0.25">
      <c r="B15" s="220" t="s">
        <v>253</v>
      </c>
      <c r="C15" s="269"/>
      <c r="D15" s="222">
        <f t="shared" si="0"/>
        <v>1.2706953491647806</v>
      </c>
    </row>
    <row r="16" spans="2:28" x14ac:dyDescent="0.25">
      <c r="B16" s="221" t="s">
        <v>217</v>
      </c>
      <c r="C16" s="270"/>
      <c r="D16" s="223">
        <f t="shared" si="0"/>
        <v>1</v>
      </c>
    </row>
    <row r="19" spans="3:29" ht="18.75" x14ac:dyDescent="0.3">
      <c r="C19" s="267" t="str">
        <f>B10</f>
        <v>Netflix</v>
      </c>
      <c r="D19" s="267"/>
      <c r="E19" s="267"/>
      <c r="F19" s="18"/>
      <c r="G19" s="267" t="str">
        <f>B11</f>
        <v>Meta</v>
      </c>
      <c r="H19" s="267"/>
      <c r="I19" s="267"/>
      <c r="J19" s="18"/>
      <c r="K19" s="267" t="str">
        <f>B12</f>
        <v>Alphabet</v>
      </c>
      <c r="L19" s="267"/>
      <c r="M19" s="267"/>
      <c r="N19" s="18"/>
      <c r="O19" s="267" t="str">
        <f>B13</f>
        <v>Walt Disney</v>
      </c>
      <c r="P19" s="267"/>
      <c r="Q19" s="267"/>
      <c r="R19" s="18"/>
      <c r="S19" s="267" t="str">
        <f>B14</f>
        <v>Comcast</v>
      </c>
      <c r="T19" s="267"/>
      <c r="U19" s="267"/>
      <c r="V19" s="18"/>
      <c r="W19" s="267" t="str">
        <f>B15</f>
        <v>Paramount</v>
      </c>
      <c r="X19" s="267"/>
      <c r="Y19" s="267"/>
      <c r="Z19" s="18"/>
      <c r="AA19" s="267" t="str">
        <f>B16</f>
        <v>S&amp;P 500</v>
      </c>
      <c r="AB19" s="267"/>
      <c r="AC19" s="267"/>
    </row>
    <row r="20" spans="3:29" x14ac:dyDescent="0.25">
      <c r="C20" s="109" t="s">
        <v>214</v>
      </c>
      <c r="D20" s="109" t="s">
        <v>212</v>
      </c>
      <c r="E20" s="109" t="s">
        <v>215</v>
      </c>
      <c r="F20" s="18"/>
      <c r="G20" s="109" t="s">
        <v>214</v>
      </c>
      <c r="H20" s="109" t="s">
        <v>212</v>
      </c>
      <c r="I20" s="109" t="s">
        <v>215</v>
      </c>
      <c r="J20" s="18"/>
      <c r="K20" s="109" t="s">
        <v>214</v>
      </c>
      <c r="L20" s="109" t="s">
        <v>212</v>
      </c>
      <c r="M20" s="109" t="s">
        <v>215</v>
      </c>
      <c r="N20" s="18"/>
      <c r="O20" s="109" t="s">
        <v>214</v>
      </c>
      <c r="P20" s="109" t="s">
        <v>212</v>
      </c>
      <c r="Q20" s="109" t="s">
        <v>215</v>
      </c>
      <c r="R20" s="18"/>
      <c r="S20" s="109" t="s">
        <v>214</v>
      </c>
      <c r="T20" s="109" t="s">
        <v>212</v>
      </c>
      <c r="U20" s="109" t="s">
        <v>215</v>
      </c>
      <c r="V20" s="18"/>
      <c r="W20" s="109" t="s">
        <v>214</v>
      </c>
      <c r="X20" s="109" t="s">
        <v>212</v>
      </c>
      <c r="Y20" s="109" t="s">
        <v>215</v>
      </c>
      <c r="Z20" s="18"/>
      <c r="AA20" s="109" t="s">
        <v>214</v>
      </c>
      <c r="AB20" s="109" t="s">
        <v>212</v>
      </c>
      <c r="AC20" s="109" t="s">
        <v>215</v>
      </c>
    </row>
    <row r="21" spans="3:29" x14ac:dyDescent="0.25">
      <c r="C21" s="219">
        <v>45641</v>
      </c>
      <c r="D21" s="18">
        <v>909.05</v>
      </c>
      <c r="E21" s="17">
        <f>(D21-D22)/D22</f>
        <v>-1.0687039515927225E-2</v>
      </c>
      <c r="F21" s="18"/>
      <c r="G21" s="219">
        <v>45641</v>
      </c>
      <c r="H21" s="18">
        <v>595.57000000000005</v>
      </c>
      <c r="I21" s="17">
        <f>(H21-H22)/H22</f>
        <v>-3.9945192230192585E-2</v>
      </c>
      <c r="J21" s="18"/>
      <c r="K21" s="219">
        <v>45641</v>
      </c>
      <c r="L21" s="18">
        <v>191.41</v>
      </c>
      <c r="M21" s="17">
        <f>(L21-L22)/L22</f>
        <v>8.3763565483089431E-3</v>
      </c>
      <c r="N21" s="18"/>
      <c r="O21" s="219">
        <v>45641</v>
      </c>
      <c r="P21" s="18">
        <v>112.03</v>
      </c>
      <c r="Q21" s="17">
        <f>(P21-P22)/P22</f>
        <v>-1.1558143638609514E-2</v>
      </c>
      <c r="R21" s="18"/>
      <c r="S21" s="219">
        <v>45641</v>
      </c>
      <c r="T21" s="18">
        <v>38.22</v>
      </c>
      <c r="U21" s="17">
        <f>(T21-T22)/T22</f>
        <v>-4.2585170340681433E-2</v>
      </c>
      <c r="V21" s="18"/>
      <c r="W21" s="219">
        <v>45641</v>
      </c>
      <c r="X21" s="18">
        <v>10.66</v>
      </c>
      <c r="Y21" s="17">
        <f>(X21-X22)/X22</f>
        <v>-4.9910873440285247E-2</v>
      </c>
      <c r="Z21" s="18"/>
      <c r="AA21" s="219">
        <v>45641</v>
      </c>
      <c r="AB21" s="16">
        <v>5930.85</v>
      </c>
      <c r="AC21" s="17">
        <f>(AB21-AB22)/AB22</f>
        <v>-1.9870800136834815E-2</v>
      </c>
    </row>
    <row r="22" spans="3:29" x14ac:dyDescent="0.25">
      <c r="C22" s="219">
        <v>45634</v>
      </c>
      <c r="D22" s="18">
        <v>918.87</v>
      </c>
      <c r="E22" s="17">
        <f t="shared" ref="E22:E85" si="1">(D22-D23)/D23</f>
        <v>-1.6977983182489251E-2</v>
      </c>
      <c r="F22" s="18"/>
      <c r="G22" s="219">
        <v>45634</v>
      </c>
      <c r="H22" s="18">
        <v>620.35</v>
      </c>
      <c r="I22" s="101">
        <f t="shared" ref="I22:I85" si="2">(H22-H23)/H23</f>
        <v>-5.4827901309776987E-3</v>
      </c>
      <c r="J22" s="18"/>
      <c r="K22" s="219">
        <v>45634</v>
      </c>
      <c r="L22" s="18">
        <v>189.82</v>
      </c>
      <c r="M22" s="101">
        <f t="shared" ref="M22:M85" si="3">(L22-L23)/L23</f>
        <v>8.6486177093469091E-2</v>
      </c>
      <c r="N22" s="18"/>
      <c r="O22" s="219">
        <v>45634</v>
      </c>
      <c r="P22" s="18">
        <v>113.34</v>
      </c>
      <c r="Q22" s="101">
        <f t="shared" ref="Q22:Q85" si="4">(P22-P23)/P23</f>
        <v>-2.9041377537907996E-2</v>
      </c>
      <c r="R22" s="18"/>
      <c r="S22" s="219">
        <v>45634</v>
      </c>
      <c r="T22" s="18">
        <v>39.92</v>
      </c>
      <c r="U22" s="101">
        <f t="shared" ref="U22:U85" si="5">(T22-T23)/T23</f>
        <v>-7.4855156431054393E-2</v>
      </c>
      <c r="V22" s="18"/>
      <c r="W22" s="219">
        <v>45634</v>
      </c>
      <c r="X22" s="18">
        <v>11.22</v>
      </c>
      <c r="Y22" s="101">
        <f t="shared" ref="Y22:Y85" si="6">(X22-X23)/X23</f>
        <v>2.0928116469517782E-2</v>
      </c>
      <c r="Z22" s="18"/>
      <c r="AA22" s="219">
        <v>45634</v>
      </c>
      <c r="AB22" s="16">
        <v>6051.09</v>
      </c>
      <c r="AC22" s="17">
        <f t="shared" ref="AC22:AC85" si="7">(AB22-AB23)/AB23</f>
        <v>-6.4332123206360782E-3</v>
      </c>
    </row>
    <row r="23" spans="3:29" x14ac:dyDescent="0.25">
      <c r="C23" s="219">
        <v>45627</v>
      </c>
      <c r="D23" s="18">
        <v>934.74</v>
      </c>
      <c r="E23" s="17">
        <f t="shared" si="1"/>
        <v>5.4047653950677219E-2</v>
      </c>
      <c r="F23" s="18"/>
      <c r="G23" s="219">
        <v>45627</v>
      </c>
      <c r="H23" s="18">
        <v>623.77</v>
      </c>
      <c r="I23" s="101">
        <f t="shared" si="2"/>
        <v>8.6101824766680476E-2</v>
      </c>
      <c r="J23" s="18"/>
      <c r="K23" s="219">
        <v>45627</v>
      </c>
      <c r="L23" s="18">
        <v>174.71</v>
      </c>
      <c r="M23" s="101">
        <f t="shared" si="3"/>
        <v>3.409292690145025E-2</v>
      </c>
      <c r="N23" s="18"/>
      <c r="O23" s="219">
        <v>45627</v>
      </c>
      <c r="P23" s="18">
        <v>116.73</v>
      </c>
      <c r="Q23" s="101">
        <f t="shared" si="4"/>
        <v>-6.2994807184812707E-3</v>
      </c>
      <c r="R23" s="18"/>
      <c r="S23" s="219">
        <v>45627</v>
      </c>
      <c r="T23" s="18">
        <v>43.15</v>
      </c>
      <c r="U23" s="101">
        <f t="shared" si="5"/>
        <v>-9.2614031025698427E-4</v>
      </c>
      <c r="V23" s="18"/>
      <c r="W23" s="219">
        <v>45627</v>
      </c>
      <c r="X23" s="18">
        <v>10.99</v>
      </c>
      <c r="Y23" s="101">
        <f t="shared" si="6"/>
        <v>1.2903225806451665E-2</v>
      </c>
      <c r="Z23" s="18"/>
      <c r="AA23" s="219">
        <v>45627</v>
      </c>
      <c r="AB23" s="16">
        <v>6090.27</v>
      </c>
      <c r="AC23" s="17">
        <f t="shared" si="7"/>
        <v>9.5965439842981247E-3</v>
      </c>
    </row>
    <row r="24" spans="3:29" x14ac:dyDescent="0.25">
      <c r="C24" s="219">
        <v>45620</v>
      </c>
      <c r="D24" s="18">
        <v>886.81</v>
      </c>
      <c r="E24" s="17">
        <f t="shared" si="1"/>
        <v>-1.2230031521848114E-2</v>
      </c>
      <c r="F24" s="18"/>
      <c r="G24" s="219">
        <v>45620</v>
      </c>
      <c r="H24" s="18">
        <v>574.32000000000005</v>
      </c>
      <c r="I24" s="101">
        <f t="shared" si="2"/>
        <v>2.7148835711986379E-2</v>
      </c>
      <c r="J24" s="18"/>
      <c r="K24" s="219">
        <v>45620</v>
      </c>
      <c r="L24" s="18">
        <v>168.95</v>
      </c>
      <c r="M24" s="101">
        <f t="shared" si="3"/>
        <v>2.5430929837339147E-2</v>
      </c>
      <c r="N24" s="18"/>
      <c r="O24" s="219">
        <v>45620</v>
      </c>
      <c r="P24" s="18">
        <v>117.47</v>
      </c>
      <c r="Q24" s="101">
        <f t="shared" si="4"/>
        <v>1.5737137916126184E-2</v>
      </c>
      <c r="R24" s="18"/>
      <c r="S24" s="219">
        <v>45620</v>
      </c>
      <c r="T24" s="18">
        <v>43.19</v>
      </c>
      <c r="U24" s="101">
        <f t="shared" si="5"/>
        <v>-6.4412238325282064E-3</v>
      </c>
      <c r="V24" s="18"/>
      <c r="W24" s="219">
        <v>45620</v>
      </c>
      <c r="X24" s="18">
        <v>10.85</v>
      </c>
      <c r="Y24" s="101">
        <f t="shared" si="6"/>
        <v>-2.7573529411765749E-3</v>
      </c>
      <c r="Z24" s="18"/>
      <c r="AA24" s="219">
        <v>45620</v>
      </c>
      <c r="AB24" s="16">
        <v>6032.38</v>
      </c>
      <c r="AC24" s="17">
        <f t="shared" si="7"/>
        <v>1.0560631493598951E-2</v>
      </c>
    </row>
    <row r="25" spans="3:29" x14ac:dyDescent="0.25">
      <c r="C25" s="219">
        <v>45613</v>
      </c>
      <c r="D25" s="18">
        <v>897.79</v>
      </c>
      <c r="E25" s="17">
        <f t="shared" si="1"/>
        <v>8.9603864265255503E-2</v>
      </c>
      <c r="F25" s="18"/>
      <c r="G25" s="219">
        <v>45613</v>
      </c>
      <c r="H25" s="18">
        <v>559.14</v>
      </c>
      <c r="I25" s="101">
        <f t="shared" si="2"/>
        <v>9.1322552699970132E-3</v>
      </c>
      <c r="J25" s="18"/>
      <c r="K25" s="219">
        <v>45613</v>
      </c>
      <c r="L25" s="18">
        <v>164.76</v>
      </c>
      <c r="M25" s="101">
        <f t="shared" si="3"/>
        <v>-4.4814192127079933E-2</v>
      </c>
      <c r="N25" s="18"/>
      <c r="O25" s="219">
        <v>45613</v>
      </c>
      <c r="P25" s="18">
        <v>115.65</v>
      </c>
      <c r="Q25" s="101">
        <f t="shared" si="4"/>
        <v>4.9530761209593968E-3</v>
      </c>
      <c r="R25" s="18"/>
      <c r="S25" s="219">
        <v>45613</v>
      </c>
      <c r="T25" s="18">
        <v>43.47</v>
      </c>
      <c r="U25" s="101">
        <f t="shared" si="5"/>
        <v>1.3759328358208868E-2</v>
      </c>
      <c r="V25" s="18"/>
      <c r="W25" s="219">
        <v>45613</v>
      </c>
      <c r="X25" s="18">
        <v>10.88</v>
      </c>
      <c r="Y25" s="101">
        <f t="shared" si="6"/>
        <v>3.690036900369089E-3</v>
      </c>
      <c r="Z25" s="18"/>
      <c r="AA25" s="219">
        <v>45613</v>
      </c>
      <c r="AB25" s="16">
        <v>5969.34</v>
      </c>
      <c r="AC25" s="17">
        <f t="shared" si="7"/>
        <v>1.6815941076070373E-2</v>
      </c>
    </row>
    <row r="26" spans="3:29" x14ac:dyDescent="0.25">
      <c r="C26" s="219">
        <v>45606</v>
      </c>
      <c r="D26" s="18">
        <v>823.96</v>
      </c>
      <c r="E26" s="17">
        <f t="shared" si="1"/>
        <v>3.6375528275306997E-2</v>
      </c>
      <c r="F26" s="18"/>
      <c r="G26" s="219">
        <v>45606</v>
      </c>
      <c r="H26" s="18">
        <v>554.08000000000004</v>
      </c>
      <c r="I26" s="101">
        <f t="shared" si="2"/>
        <v>-5.9829639936199795E-2</v>
      </c>
      <c r="J26" s="18"/>
      <c r="K26" s="219">
        <v>45606</v>
      </c>
      <c r="L26" s="18">
        <v>172.49</v>
      </c>
      <c r="M26" s="101">
        <f t="shared" si="3"/>
        <v>-3.2856742360526971E-2</v>
      </c>
      <c r="N26" s="18"/>
      <c r="O26" s="219">
        <v>45606</v>
      </c>
      <c r="P26" s="18">
        <v>115.08</v>
      </c>
      <c r="Q26" s="101">
        <f t="shared" si="4"/>
        <v>0.16218945667541915</v>
      </c>
      <c r="R26" s="18"/>
      <c r="S26" s="219">
        <v>45606</v>
      </c>
      <c r="T26" s="18">
        <v>42.88</v>
      </c>
      <c r="U26" s="101">
        <f t="shared" si="5"/>
        <v>-2.3457071282167938E-2</v>
      </c>
      <c r="V26" s="18"/>
      <c r="W26" s="219">
        <v>45606</v>
      </c>
      <c r="X26" s="18">
        <v>10.84</v>
      </c>
      <c r="Y26" s="101">
        <f t="shared" si="6"/>
        <v>-2.0776874435411059E-2</v>
      </c>
      <c r="Z26" s="18"/>
      <c r="AA26" s="219">
        <v>45606</v>
      </c>
      <c r="AB26" s="16">
        <v>5870.62</v>
      </c>
      <c r="AC26" s="17">
        <f t="shared" si="7"/>
        <v>-2.0835487712532994E-2</v>
      </c>
    </row>
    <row r="27" spans="3:29" x14ac:dyDescent="0.25">
      <c r="C27" s="219">
        <v>45599</v>
      </c>
      <c r="D27" s="18">
        <v>795.04</v>
      </c>
      <c r="E27" s="17">
        <f t="shared" si="1"/>
        <v>5.1501124189921886E-2</v>
      </c>
      <c r="F27" s="18"/>
      <c r="G27" s="219">
        <v>45599</v>
      </c>
      <c r="H27" s="18">
        <v>589.34</v>
      </c>
      <c r="I27" s="101">
        <f t="shared" si="2"/>
        <v>3.9107130263065212E-2</v>
      </c>
      <c r="J27" s="18"/>
      <c r="K27" s="219">
        <v>45599</v>
      </c>
      <c r="L27" s="18">
        <v>178.35</v>
      </c>
      <c r="M27" s="101">
        <f t="shared" si="3"/>
        <v>4.1216650125518145E-2</v>
      </c>
      <c r="N27" s="18"/>
      <c r="O27" s="219">
        <v>45599</v>
      </c>
      <c r="P27" s="18">
        <v>99.02</v>
      </c>
      <c r="Q27" s="101">
        <f t="shared" si="4"/>
        <v>3.350380962321254E-2</v>
      </c>
      <c r="R27" s="18"/>
      <c r="S27" s="219">
        <v>45599</v>
      </c>
      <c r="T27" s="18">
        <v>43.91</v>
      </c>
      <c r="U27" s="101">
        <f t="shared" si="5"/>
        <v>8.0348943985306311E-3</v>
      </c>
      <c r="V27" s="18"/>
      <c r="W27" s="219">
        <v>45599</v>
      </c>
      <c r="X27" s="18">
        <v>11.07</v>
      </c>
      <c r="Y27" s="101">
        <f t="shared" si="6"/>
        <v>8.1967213114753964E-3</v>
      </c>
      <c r="Z27" s="18"/>
      <c r="AA27" s="219">
        <v>45599</v>
      </c>
      <c r="AB27" s="16">
        <v>5995.54</v>
      </c>
      <c r="AC27" s="17">
        <f t="shared" si="7"/>
        <v>4.6561234464460234E-2</v>
      </c>
    </row>
    <row r="28" spans="3:29" x14ac:dyDescent="0.25">
      <c r="C28" s="219">
        <v>45592</v>
      </c>
      <c r="D28" s="18">
        <v>756.1</v>
      </c>
      <c r="E28" s="17">
        <f t="shared" si="1"/>
        <v>1.8815921980177995E-3</v>
      </c>
      <c r="F28" s="18"/>
      <c r="G28" s="219">
        <v>45592</v>
      </c>
      <c r="H28" s="18">
        <v>567.16</v>
      </c>
      <c r="I28" s="101">
        <f t="shared" si="2"/>
        <v>-1.0623637156563509E-2</v>
      </c>
      <c r="J28" s="18"/>
      <c r="K28" s="219">
        <v>45592</v>
      </c>
      <c r="L28" s="18">
        <v>171.29</v>
      </c>
      <c r="M28" s="101">
        <f t="shared" si="3"/>
        <v>3.6425243540872398E-2</v>
      </c>
      <c r="N28" s="18"/>
      <c r="O28" s="219">
        <v>45592</v>
      </c>
      <c r="P28" s="18">
        <v>95.81</v>
      </c>
      <c r="Q28" s="101">
        <f t="shared" si="4"/>
        <v>8.2079343365253198E-3</v>
      </c>
      <c r="R28" s="18"/>
      <c r="S28" s="219">
        <v>45592</v>
      </c>
      <c r="T28" s="18">
        <v>43.56</v>
      </c>
      <c r="U28" s="101">
        <f t="shared" si="5"/>
        <v>4.5607297167546947E-2</v>
      </c>
      <c r="V28" s="18"/>
      <c r="W28" s="219">
        <v>45592</v>
      </c>
      <c r="X28" s="18">
        <v>10.98</v>
      </c>
      <c r="Y28" s="101">
        <f t="shared" si="6"/>
        <v>6.9133398247322383E-2</v>
      </c>
      <c r="Z28" s="18"/>
      <c r="AA28" s="219">
        <v>45592</v>
      </c>
      <c r="AB28" s="16">
        <v>5728.8</v>
      </c>
      <c r="AC28" s="17">
        <f t="shared" si="7"/>
        <v>-1.365674262928447E-2</v>
      </c>
    </row>
    <row r="29" spans="3:29" x14ac:dyDescent="0.25">
      <c r="C29" s="219">
        <v>45585</v>
      </c>
      <c r="D29" s="18">
        <v>754.68</v>
      </c>
      <c r="E29" s="17">
        <f t="shared" si="1"/>
        <v>-1.2056709735694978E-2</v>
      </c>
      <c r="F29" s="18"/>
      <c r="G29" s="219">
        <v>45585</v>
      </c>
      <c r="H29" s="18">
        <v>573.25</v>
      </c>
      <c r="I29" s="101">
        <f t="shared" si="2"/>
        <v>-5.5857199854286036E-3</v>
      </c>
      <c r="J29" s="18"/>
      <c r="K29" s="219">
        <v>45585</v>
      </c>
      <c r="L29" s="18">
        <v>165.27</v>
      </c>
      <c r="M29" s="101">
        <f t="shared" si="3"/>
        <v>1.1320523803696138E-2</v>
      </c>
      <c r="N29" s="18"/>
      <c r="O29" s="219">
        <v>45585</v>
      </c>
      <c r="P29" s="18">
        <v>95.03</v>
      </c>
      <c r="Q29" s="101">
        <f t="shared" si="4"/>
        <v>-2.3129111842105261E-2</v>
      </c>
      <c r="R29" s="18"/>
      <c r="S29" s="219">
        <v>45585</v>
      </c>
      <c r="T29" s="18">
        <v>41.66</v>
      </c>
      <c r="U29" s="101">
        <f t="shared" si="5"/>
        <v>-6.4393036012402368E-3</v>
      </c>
      <c r="V29" s="18"/>
      <c r="W29" s="219">
        <v>45585</v>
      </c>
      <c r="X29" s="18">
        <v>10.27</v>
      </c>
      <c r="Y29" s="101">
        <f t="shared" si="6"/>
        <v>-1.7224880382775094E-2</v>
      </c>
      <c r="Z29" s="18"/>
      <c r="AA29" s="219">
        <v>45585</v>
      </c>
      <c r="AB29" s="16">
        <v>5808.12</v>
      </c>
      <c r="AC29" s="17">
        <f t="shared" si="7"/>
        <v>-9.6424862780003281E-3</v>
      </c>
    </row>
    <row r="30" spans="3:29" x14ac:dyDescent="0.25">
      <c r="C30" s="219">
        <v>45578</v>
      </c>
      <c r="D30" s="18">
        <v>763.89</v>
      </c>
      <c r="E30" s="17">
        <f t="shared" si="1"/>
        <v>5.6862989249989657E-2</v>
      </c>
      <c r="F30" s="18"/>
      <c r="G30" s="219">
        <v>45578</v>
      </c>
      <c r="H30" s="18">
        <v>576.47</v>
      </c>
      <c r="I30" s="101">
        <f t="shared" si="2"/>
        <v>-2.28493940164421E-2</v>
      </c>
      <c r="J30" s="18"/>
      <c r="K30" s="219">
        <v>45578</v>
      </c>
      <c r="L30" s="18">
        <v>163.41999999999999</v>
      </c>
      <c r="M30" s="101">
        <f t="shared" si="3"/>
        <v>1.1026709139915364E-3</v>
      </c>
      <c r="N30" s="18"/>
      <c r="O30" s="219">
        <v>45578</v>
      </c>
      <c r="P30" s="18">
        <v>97.28</v>
      </c>
      <c r="Q30" s="101">
        <f t="shared" si="4"/>
        <v>3.3464357803038414E-2</v>
      </c>
      <c r="R30" s="18"/>
      <c r="S30" s="219">
        <v>45578</v>
      </c>
      <c r="T30" s="18">
        <v>41.93</v>
      </c>
      <c r="U30" s="101">
        <f t="shared" si="5"/>
        <v>1.6238487639360196E-2</v>
      </c>
      <c r="V30" s="18"/>
      <c r="W30" s="219">
        <v>45578</v>
      </c>
      <c r="X30" s="18">
        <v>10.45</v>
      </c>
      <c r="Y30" s="101">
        <f t="shared" si="6"/>
        <v>9.6618357487922371E-3</v>
      </c>
      <c r="Z30" s="18"/>
      <c r="AA30" s="219">
        <v>45578</v>
      </c>
      <c r="AB30" s="16">
        <v>5864.67</v>
      </c>
      <c r="AC30" s="17">
        <f t="shared" si="7"/>
        <v>8.5364993817745281E-3</v>
      </c>
    </row>
    <row r="31" spans="3:29" x14ac:dyDescent="0.25">
      <c r="C31" s="219">
        <v>45571</v>
      </c>
      <c r="D31" s="18">
        <v>722.79</v>
      </c>
      <c r="E31" s="17">
        <f t="shared" si="1"/>
        <v>4.2934556065025954E-3</v>
      </c>
      <c r="F31" s="18"/>
      <c r="G31" s="219">
        <v>45571</v>
      </c>
      <c r="H31" s="18">
        <v>589.95000000000005</v>
      </c>
      <c r="I31" s="101">
        <f t="shared" si="2"/>
        <v>-1.0051347451085694E-2</v>
      </c>
      <c r="J31" s="18"/>
      <c r="K31" s="219">
        <v>45571</v>
      </c>
      <c r="L31" s="18">
        <v>163.24</v>
      </c>
      <c r="M31" s="101">
        <f t="shared" si="3"/>
        <v>-2.2866036154674925E-2</v>
      </c>
      <c r="N31" s="18"/>
      <c r="O31" s="219">
        <v>45571</v>
      </c>
      <c r="P31" s="18">
        <v>94.13</v>
      </c>
      <c r="Q31" s="101">
        <f t="shared" si="4"/>
        <v>-1.0719915922228167E-2</v>
      </c>
      <c r="R31" s="18"/>
      <c r="S31" s="219">
        <v>45571</v>
      </c>
      <c r="T31" s="18">
        <v>41.26</v>
      </c>
      <c r="U31" s="101">
        <f t="shared" si="5"/>
        <v>1.6994416120417646E-3</v>
      </c>
      <c r="V31" s="18"/>
      <c r="W31" s="219">
        <v>45571</v>
      </c>
      <c r="X31" s="18">
        <v>10.35</v>
      </c>
      <c r="Y31" s="101">
        <f t="shared" si="6"/>
        <v>-1.6159695817490487E-2</v>
      </c>
      <c r="Z31" s="18"/>
      <c r="AA31" s="219">
        <v>45571</v>
      </c>
      <c r="AB31" s="16">
        <v>5815.03</v>
      </c>
      <c r="AC31" s="17">
        <f t="shared" si="7"/>
        <v>1.1121408711770165E-2</v>
      </c>
    </row>
    <row r="32" spans="3:29" x14ac:dyDescent="0.25">
      <c r="C32" s="219">
        <v>45564</v>
      </c>
      <c r="D32" s="18">
        <v>719.7</v>
      </c>
      <c r="E32" s="17">
        <f t="shared" si="1"/>
        <v>1.7459532056266377E-2</v>
      </c>
      <c r="F32" s="18"/>
      <c r="G32" s="219">
        <v>45564</v>
      </c>
      <c r="H32" s="18">
        <v>595.94000000000005</v>
      </c>
      <c r="I32" s="101">
        <f t="shared" si="2"/>
        <v>5.0373660462493024E-2</v>
      </c>
      <c r="J32" s="18"/>
      <c r="K32" s="219">
        <v>45564</v>
      </c>
      <c r="L32" s="18">
        <v>167.06</v>
      </c>
      <c r="M32" s="101">
        <f t="shared" si="3"/>
        <v>1.8969197926197095E-2</v>
      </c>
      <c r="N32" s="18"/>
      <c r="O32" s="219">
        <v>45564</v>
      </c>
      <c r="P32" s="18">
        <v>95.15</v>
      </c>
      <c r="Q32" s="101">
        <f t="shared" si="4"/>
        <v>-8.9574002708051187E-3</v>
      </c>
      <c r="R32" s="18"/>
      <c r="S32" s="219">
        <v>45564</v>
      </c>
      <c r="T32" s="18">
        <v>41.19</v>
      </c>
      <c r="U32" s="101">
        <f t="shared" si="5"/>
        <v>-1.0806916426513036E-2</v>
      </c>
      <c r="V32" s="18"/>
      <c r="W32" s="219">
        <v>45564</v>
      </c>
      <c r="X32" s="18">
        <v>10.52</v>
      </c>
      <c r="Y32" s="101">
        <f t="shared" si="6"/>
        <v>-2.5023169601482816E-2</v>
      </c>
      <c r="Z32" s="18"/>
      <c r="AA32" s="219">
        <v>45564</v>
      </c>
      <c r="AB32" s="16">
        <v>5751.07</v>
      </c>
      <c r="AC32" s="17">
        <f t="shared" si="7"/>
        <v>2.2481034894399495E-3</v>
      </c>
    </row>
    <row r="33" spans="3:29" x14ac:dyDescent="0.25">
      <c r="C33" s="219">
        <v>45557</v>
      </c>
      <c r="D33" s="18">
        <v>707.35</v>
      </c>
      <c r="E33" s="17">
        <f t="shared" si="1"/>
        <v>9.0153060496698436E-3</v>
      </c>
      <c r="F33" s="18"/>
      <c r="G33" s="219">
        <v>45557</v>
      </c>
      <c r="H33" s="18">
        <v>567.36</v>
      </c>
      <c r="I33" s="101">
        <f t="shared" si="2"/>
        <v>1.0706332947359029E-2</v>
      </c>
      <c r="J33" s="18"/>
      <c r="K33" s="219">
        <v>45557</v>
      </c>
      <c r="L33" s="18">
        <v>163.95</v>
      </c>
      <c r="M33" s="101">
        <f t="shared" si="3"/>
        <v>2.2006235099944079E-3</v>
      </c>
      <c r="N33" s="18"/>
      <c r="O33" s="219">
        <v>45557</v>
      </c>
      <c r="P33" s="18">
        <v>96.01</v>
      </c>
      <c r="Q33" s="101">
        <f t="shared" si="4"/>
        <v>2.4106666666666721E-2</v>
      </c>
      <c r="R33" s="18"/>
      <c r="S33" s="219">
        <v>45557</v>
      </c>
      <c r="T33" s="18">
        <v>41.64</v>
      </c>
      <c r="U33" s="101">
        <f t="shared" si="5"/>
        <v>3.8145100972326131E-2</v>
      </c>
      <c r="V33" s="18"/>
      <c r="W33" s="219">
        <v>45557</v>
      </c>
      <c r="X33" s="18">
        <v>10.79</v>
      </c>
      <c r="Y33" s="101">
        <f t="shared" si="6"/>
        <v>4.0501446480231434E-2</v>
      </c>
      <c r="Z33" s="18"/>
      <c r="AA33" s="219">
        <v>45557</v>
      </c>
      <c r="AB33" s="16">
        <v>5738.17</v>
      </c>
      <c r="AC33" s="17">
        <f t="shared" si="7"/>
        <v>6.2463283969452065E-3</v>
      </c>
    </row>
    <row r="34" spans="3:29" x14ac:dyDescent="0.25">
      <c r="C34" s="219">
        <v>45550</v>
      </c>
      <c r="D34" s="18">
        <v>701.03</v>
      </c>
      <c r="E34" s="17">
        <f t="shared" si="1"/>
        <v>5.6953490373856308E-3</v>
      </c>
      <c r="F34" s="18"/>
      <c r="G34" s="219">
        <v>45550</v>
      </c>
      <c r="H34" s="18">
        <v>561.35</v>
      </c>
      <c r="I34" s="101">
        <f t="shared" si="2"/>
        <v>7.001258053448213E-2</v>
      </c>
      <c r="J34" s="18"/>
      <c r="K34" s="219">
        <v>45550</v>
      </c>
      <c r="L34" s="18">
        <v>163.59</v>
      </c>
      <c r="M34" s="101">
        <f t="shared" si="3"/>
        <v>3.8930522037342784E-2</v>
      </c>
      <c r="N34" s="18"/>
      <c r="O34" s="219">
        <v>45550</v>
      </c>
      <c r="P34" s="18">
        <v>93.75</v>
      </c>
      <c r="Q34" s="101">
        <f t="shared" si="4"/>
        <v>3.5339591385974631E-2</v>
      </c>
      <c r="R34" s="18"/>
      <c r="S34" s="219">
        <v>45550</v>
      </c>
      <c r="T34" s="18">
        <v>40.11</v>
      </c>
      <c r="U34" s="101">
        <f t="shared" si="5"/>
        <v>1.4159292035398289E-2</v>
      </c>
      <c r="V34" s="18"/>
      <c r="W34" s="219">
        <v>45550</v>
      </c>
      <c r="X34" s="18">
        <v>10.37</v>
      </c>
      <c r="Y34" s="101">
        <f t="shared" si="6"/>
        <v>-1.892147587511836E-2</v>
      </c>
      <c r="Z34" s="18"/>
      <c r="AA34" s="219">
        <v>45550</v>
      </c>
      <c r="AB34" s="16">
        <v>5702.55</v>
      </c>
      <c r="AC34" s="17">
        <f t="shared" si="7"/>
        <v>1.3602866680175282E-2</v>
      </c>
    </row>
    <row r="35" spans="3:29" x14ac:dyDescent="0.25">
      <c r="C35" s="219">
        <v>45543</v>
      </c>
      <c r="D35" s="18">
        <v>697.06</v>
      </c>
      <c r="E35" s="17">
        <f t="shared" si="1"/>
        <v>4.6998212595941488E-2</v>
      </c>
      <c r="F35" s="18"/>
      <c r="G35" s="219">
        <v>45543</v>
      </c>
      <c r="H35" s="18">
        <v>524.62</v>
      </c>
      <c r="I35" s="101">
        <f t="shared" si="2"/>
        <v>4.8673716193255688E-2</v>
      </c>
      <c r="J35" s="18"/>
      <c r="K35" s="219">
        <v>45543</v>
      </c>
      <c r="L35" s="18">
        <v>157.46</v>
      </c>
      <c r="M35" s="101">
        <f t="shared" si="3"/>
        <v>4.3334216803604698E-2</v>
      </c>
      <c r="N35" s="18"/>
      <c r="O35" s="219">
        <v>45543</v>
      </c>
      <c r="P35" s="18">
        <v>90.55</v>
      </c>
      <c r="Q35" s="101">
        <f t="shared" si="4"/>
        <v>2.9679326813736633E-2</v>
      </c>
      <c r="R35" s="18"/>
      <c r="S35" s="219">
        <v>45543</v>
      </c>
      <c r="T35" s="18">
        <v>39.549999999999997</v>
      </c>
      <c r="U35" s="101">
        <f t="shared" si="5"/>
        <v>-1.5147689977279039E-3</v>
      </c>
      <c r="V35" s="18"/>
      <c r="W35" s="219">
        <v>45543</v>
      </c>
      <c r="X35" s="18">
        <v>10.57</v>
      </c>
      <c r="Y35" s="101">
        <f t="shared" si="6"/>
        <v>4.757185332011897E-2</v>
      </c>
      <c r="Z35" s="18"/>
      <c r="AA35" s="219">
        <v>45543</v>
      </c>
      <c r="AB35" s="16">
        <v>5626.02</v>
      </c>
      <c r="AC35" s="17">
        <f t="shared" si="7"/>
        <v>4.0233561742616213E-2</v>
      </c>
    </row>
    <row r="36" spans="3:29" x14ac:dyDescent="0.25">
      <c r="C36" s="219">
        <v>45536</v>
      </c>
      <c r="D36" s="18">
        <v>665.77</v>
      </c>
      <c r="E36" s="17">
        <f t="shared" si="1"/>
        <v>-5.0730733585228546E-2</v>
      </c>
      <c r="F36" s="18"/>
      <c r="G36" s="219">
        <v>45536</v>
      </c>
      <c r="H36" s="18">
        <v>500.27</v>
      </c>
      <c r="I36" s="101">
        <f t="shared" si="2"/>
        <v>-4.0359862653699272E-2</v>
      </c>
      <c r="J36" s="18"/>
      <c r="K36" s="219">
        <v>45536</v>
      </c>
      <c r="L36" s="18">
        <v>150.91999999999999</v>
      </c>
      <c r="M36" s="101">
        <f t="shared" si="3"/>
        <v>-7.6263924592973487E-2</v>
      </c>
      <c r="N36" s="18"/>
      <c r="O36" s="219">
        <v>45536</v>
      </c>
      <c r="P36" s="18">
        <v>87.94</v>
      </c>
      <c r="Q36" s="101">
        <f t="shared" si="4"/>
        <v>-2.69971232573578E-2</v>
      </c>
      <c r="R36" s="18"/>
      <c r="S36" s="219">
        <v>45536</v>
      </c>
      <c r="T36" s="18">
        <v>39.61</v>
      </c>
      <c r="U36" s="101">
        <f t="shared" si="5"/>
        <v>1.0108668182966679E-3</v>
      </c>
      <c r="V36" s="18"/>
      <c r="W36" s="219">
        <v>45536</v>
      </c>
      <c r="X36" s="18">
        <v>10.09</v>
      </c>
      <c r="Y36" s="101">
        <f t="shared" si="6"/>
        <v>-3.629417382999052E-2</v>
      </c>
      <c r="Z36" s="18"/>
      <c r="AA36" s="219">
        <v>45536</v>
      </c>
      <c r="AB36" s="16">
        <v>5408.42</v>
      </c>
      <c r="AC36" s="17">
        <f t="shared" si="7"/>
        <v>-4.2486367820975778E-2</v>
      </c>
    </row>
    <row r="37" spans="3:29" x14ac:dyDescent="0.25">
      <c r="C37" s="219">
        <v>45529</v>
      </c>
      <c r="D37" s="18">
        <v>701.35</v>
      </c>
      <c r="E37" s="17">
        <f t="shared" si="1"/>
        <v>2.1289298559841574E-2</v>
      </c>
      <c r="F37" s="18"/>
      <c r="G37" s="219">
        <v>45529</v>
      </c>
      <c r="H37" s="18">
        <v>521.30999999999995</v>
      </c>
      <c r="I37" s="101">
        <f t="shared" si="2"/>
        <v>-1.267045454545465E-2</v>
      </c>
      <c r="J37" s="18"/>
      <c r="K37" s="219">
        <v>45529</v>
      </c>
      <c r="L37" s="18">
        <v>163.38</v>
      </c>
      <c r="M37" s="101">
        <f t="shared" si="3"/>
        <v>-1.3524936601859733E-2</v>
      </c>
      <c r="N37" s="18"/>
      <c r="O37" s="219">
        <v>45529</v>
      </c>
      <c r="P37" s="18">
        <v>90.38</v>
      </c>
      <c r="Q37" s="101">
        <f t="shared" si="4"/>
        <v>-1.9876325088339975E-3</v>
      </c>
      <c r="R37" s="18"/>
      <c r="S37" s="219">
        <v>45529</v>
      </c>
      <c r="T37" s="18">
        <v>39.57</v>
      </c>
      <c r="U37" s="101">
        <f t="shared" si="5"/>
        <v>-6.2782521346057257E-3</v>
      </c>
      <c r="V37" s="18"/>
      <c r="W37" s="219">
        <v>45529</v>
      </c>
      <c r="X37" s="18">
        <v>10.47</v>
      </c>
      <c r="Y37" s="101">
        <f t="shared" si="6"/>
        <v>-7.8345070422535107E-2</v>
      </c>
      <c r="Z37" s="18"/>
      <c r="AA37" s="219">
        <v>45529</v>
      </c>
      <c r="AB37" s="16">
        <v>5648.4</v>
      </c>
      <c r="AC37" s="17">
        <f t="shared" si="7"/>
        <v>2.4473743524396478E-3</v>
      </c>
    </row>
    <row r="38" spans="3:29" x14ac:dyDescent="0.25">
      <c r="C38" s="219">
        <v>45522</v>
      </c>
      <c r="D38" s="18">
        <v>686.73</v>
      </c>
      <c r="E38" s="17">
        <f t="shared" si="1"/>
        <v>1.8781432195469263E-2</v>
      </c>
      <c r="F38" s="18"/>
      <c r="G38" s="219">
        <v>45522</v>
      </c>
      <c r="H38" s="18">
        <v>528</v>
      </c>
      <c r="I38" s="101">
        <f t="shared" si="2"/>
        <v>1.0996928444125004E-3</v>
      </c>
      <c r="J38" s="18"/>
      <c r="K38" s="219">
        <v>45522</v>
      </c>
      <c r="L38" s="18">
        <v>165.62</v>
      </c>
      <c r="M38" s="101">
        <f t="shared" si="3"/>
        <v>1.6323024054982795E-2</v>
      </c>
      <c r="N38" s="18"/>
      <c r="O38" s="219">
        <v>45522</v>
      </c>
      <c r="P38" s="18">
        <v>90.56</v>
      </c>
      <c r="Q38" s="101">
        <f t="shared" si="4"/>
        <v>1.4109742441209465E-2</v>
      </c>
      <c r="R38" s="18"/>
      <c r="S38" s="219">
        <v>45522</v>
      </c>
      <c r="T38" s="18">
        <v>39.82</v>
      </c>
      <c r="U38" s="101">
        <f t="shared" si="5"/>
        <v>5.0479555779909856E-3</v>
      </c>
      <c r="V38" s="18"/>
      <c r="W38" s="219">
        <v>45522</v>
      </c>
      <c r="X38" s="18">
        <v>11.36</v>
      </c>
      <c r="Y38" s="101">
        <f t="shared" si="6"/>
        <v>3.2727272727272674E-2</v>
      </c>
      <c r="Z38" s="18"/>
      <c r="AA38" s="219">
        <v>45522</v>
      </c>
      <c r="AB38" s="16">
        <v>5634.61</v>
      </c>
      <c r="AC38" s="17">
        <f t="shared" si="7"/>
        <v>1.4468200027006288E-2</v>
      </c>
    </row>
    <row r="39" spans="3:29" x14ac:dyDescent="0.25">
      <c r="C39" s="219">
        <v>45515</v>
      </c>
      <c r="D39" s="18">
        <v>674.07</v>
      </c>
      <c r="E39" s="17">
        <f t="shared" si="1"/>
        <v>6.3302520743288002E-2</v>
      </c>
      <c r="F39" s="18"/>
      <c r="G39" s="219">
        <v>45515</v>
      </c>
      <c r="H39" s="18">
        <v>527.41999999999996</v>
      </c>
      <c r="I39" s="101">
        <f t="shared" si="2"/>
        <v>1.8637619020028154E-2</v>
      </c>
      <c r="J39" s="18"/>
      <c r="K39" s="219">
        <v>45515</v>
      </c>
      <c r="L39" s="18">
        <v>162.96</v>
      </c>
      <c r="M39" s="101">
        <f t="shared" si="3"/>
        <v>-4.3379971894664847E-3</v>
      </c>
      <c r="N39" s="18"/>
      <c r="O39" s="219">
        <v>45515</v>
      </c>
      <c r="P39" s="18">
        <v>89.3</v>
      </c>
      <c r="Q39" s="101">
        <f t="shared" si="4"/>
        <v>3.5842709662452191E-2</v>
      </c>
      <c r="R39" s="18"/>
      <c r="S39" s="219">
        <v>45515</v>
      </c>
      <c r="T39" s="18">
        <v>39.619999999999997</v>
      </c>
      <c r="U39" s="101">
        <f t="shared" si="5"/>
        <v>1.3817809621289642E-2</v>
      </c>
      <c r="V39" s="18"/>
      <c r="W39" s="219">
        <v>45515</v>
      </c>
      <c r="X39" s="18">
        <v>11</v>
      </c>
      <c r="Y39" s="101">
        <f t="shared" si="6"/>
        <v>6.7961165048543618E-2</v>
      </c>
      <c r="Z39" s="18"/>
      <c r="AA39" s="219">
        <v>45515</v>
      </c>
      <c r="AB39" s="16">
        <v>5554.25</v>
      </c>
      <c r="AC39" s="17">
        <f t="shared" si="7"/>
        <v>3.9312071494865451E-2</v>
      </c>
    </row>
    <row r="40" spans="3:29" x14ac:dyDescent="0.25">
      <c r="C40" s="219">
        <v>45508</v>
      </c>
      <c r="D40" s="18">
        <v>633.94000000000005</v>
      </c>
      <c r="E40" s="17">
        <f t="shared" si="1"/>
        <v>3.3081285444234519E-2</v>
      </c>
      <c r="F40" s="18"/>
      <c r="G40" s="219">
        <v>45508</v>
      </c>
      <c r="H40" s="18">
        <v>517.77</v>
      </c>
      <c r="I40" s="101">
        <f t="shared" si="2"/>
        <v>6.0699799237923541E-2</v>
      </c>
      <c r="J40" s="18"/>
      <c r="K40" s="219">
        <v>45508</v>
      </c>
      <c r="L40" s="18">
        <v>163.66999999999999</v>
      </c>
      <c r="M40" s="101">
        <f t="shared" si="3"/>
        <v>-1.7940717628705204E-2</v>
      </c>
      <c r="N40" s="18"/>
      <c r="O40" s="219">
        <v>45508</v>
      </c>
      <c r="P40" s="18">
        <v>86.21</v>
      </c>
      <c r="Q40" s="101">
        <f t="shared" si="4"/>
        <v>-3.7512560008931557E-2</v>
      </c>
      <c r="R40" s="18"/>
      <c r="S40" s="219">
        <v>45508</v>
      </c>
      <c r="T40" s="18">
        <v>39.08</v>
      </c>
      <c r="U40" s="101">
        <f t="shared" si="5"/>
        <v>-2.0551378446115296E-2</v>
      </c>
      <c r="V40" s="18"/>
      <c r="W40" s="219">
        <v>45508</v>
      </c>
      <c r="X40" s="18">
        <v>10.3</v>
      </c>
      <c r="Y40" s="101">
        <f t="shared" si="6"/>
        <v>-6.3636363636363574E-2</v>
      </c>
      <c r="Z40" s="18"/>
      <c r="AA40" s="219">
        <v>45508</v>
      </c>
      <c r="AB40" s="16">
        <v>5344.16</v>
      </c>
      <c r="AC40" s="17">
        <f t="shared" si="7"/>
        <v>-4.4888676083323583E-4</v>
      </c>
    </row>
    <row r="41" spans="3:29" x14ac:dyDescent="0.25">
      <c r="C41" s="219">
        <v>45501</v>
      </c>
      <c r="D41" s="18">
        <v>613.64</v>
      </c>
      <c r="E41" s="17">
        <f t="shared" si="1"/>
        <v>-2.8081790392321487E-2</v>
      </c>
      <c r="F41" s="18"/>
      <c r="G41" s="219">
        <v>45501</v>
      </c>
      <c r="H41" s="18">
        <v>488.14</v>
      </c>
      <c r="I41" s="101">
        <f t="shared" si="2"/>
        <v>4.8185527163409916E-2</v>
      </c>
      <c r="J41" s="18"/>
      <c r="K41" s="219">
        <v>45501</v>
      </c>
      <c r="L41" s="18">
        <v>166.66</v>
      </c>
      <c r="M41" s="101">
        <f t="shared" si="3"/>
        <v>-2.0359281437125954E-3</v>
      </c>
      <c r="N41" s="18"/>
      <c r="O41" s="219">
        <v>45501</v>
      </c>
      <c r="P41" s="18">
        <v>89.57</v>
      </c>
      <c r="Q41" s="101">
        <f t="shared" si="4"/>
        <v>-4.0031135327478441E-3</v>
      </c>
      <c r="R41" s="18"/>
      <c r="S41" s="219">
        <v>45501</v>
      </c>
      <c r="T41" s="18">
        <v>39.9</v>
      </c>
      <c r="U41" s="101">
        <f t="shared" si="5"/>
        <v>5.2910052910053124E-3</v>
      </c>
      <c r="V41" s="18"/>
      <c r="W41" s="219">
        <v>45501</v>
      </c>
      <c r="X41" s="18">
        <v>11</v>
      </c>
      <c r="Y41" s="101">
        <f t="shared" si="6"/>
        <v>-1.6979445933869481E-2</v>
      </c>
      <c r="Z41" s="18"/>
      <c r="AA41" s="219">
        <v>45501</v>
      </c>
      <c r="AB41" s="16">
        <v>5346.56</v>
      </c>
      <c r="AC41" s="17">
        <f t="shared" si="7"/>
        <v>-2.0615119708376831E-2</v>
      </c>
    </row>
    <row r="42" spans="3:29" x14ac:dyDescent="0.25">
      <c r="C42" s="219">
        <v>45494</v>
      </c>
      <c r="D42" s="18">
        <v>631.37</v>
      </c>
      <c r="E42" s="17">
        <f t="shared" si="1"/>
        <v>-3.1104935737518982E-3</v>
      </c>
      <c r="F42" s="18"/>
      <c r="G42" s="219">
        <v>45494</v>
      </c>
      <c r="H42" s="18">
        <v>465.7</v>
      </c>
      <c r="I42" s="101">
        <f t="shared" si="2"/>
        <v>-2.3259716017533991E-2</v>
      </c>
      <c r="J42" s="18"/>
      <c r="K42" s="219">
        <v>45494</v>
      </c>
      <c r="L42" s="18">
        <v>167</v>
      </c>
      <c r="M42" s="101">
        <f t="shared" si="3"/>
        <v>-6.0002251491613173E-2</v>
      </c>
      <c r="N42" s="18"/>
      <c r="O42" s="219">
        <v>45494</v>
      </c>
      <c r="P42" s="18">
        <v>89.93</v>
      </c>
      <c r="Q42" s="101">
        <f t="shared" si="4"/>
        <v>-6.0685189053686944E-2</v>
      </c>
      <c r="R42" s="18"/>
      <c r="S42" s="219">
        <v>45494</v>
      </c>
      <c r="T42" s="18">
        <v>39.69</v>
      </c>
      <c r="U42" s="101">
        <f t="shared" si="5"/>
        <v>-9.7305389221557029E-3</v>
      </c>
      <c r="V42" s="18"/>
      <c r="W42" s="219">
        <v>45494</v>
      </c>
      <c r="X42" s="18">
        <v>11.19</v>
      </c>
      <c r="Y42" s="101">
        <f t="shared" si="6"/>
        <v>-2.8645833333333339E-2</v>
      </c>
      <c r="Z42" s="18"/>
      <c r="AA42" s="219">
        <v>45494</v>
      </c>
      <c r="AB42" s="16">
        <v>5459.1</v>
      </c>
      <c r="AC42" s="17">
        <f t="shared" si="7"/>
        <v>-8.337874659400479E-3</v>
      </c>
    </row>
    <row r="43" spans="3:29" x14ac:dyDescent="0.25">
      <c r="C43" s="219">
        <v>45487</v>
      </c>
      <c r="D43" s="18">
        <v>633.34</v>
      </c>
      <c r="E43" s="17">
        <f t="shared" si="1"/>
        <v>-2.2019765287214315E-2</v>
      </c>
      <c r="F43" s="18"/>
      <c r="G43" s="219">
        <v>45487</v>
      </c>
      <c r="H43" s="18">
        <v>476.79</v>
      </c>
      <c r="I43" s="101">
        <f t="shared" si="2"/>
        <v>-4.4260027662517257E-2</v>
      </c>
      <c r="J43" s="18"/>
      <c r="K43" s="219">
        <v>45487</v>
      </c>
      <c r="L43" s="18">
        <v>177.66</v>
      </c>
      <c r="M43" s="101">
        <f t="shared" si="3"/>
        <v>-4.0038904198411392E-2</v>
      </c>
      <c r="N43" s="18"/>
      <c r="O43" s="219">
        <v>45487</v>
      </c>
      <c r="P43" s="18">
        <v>95.74</v>
      </c>
      <c r="Q43" s="101">
        <f t="shared" si="4"/>
        <v>-1.4310717594975812E-2</v>
      </c>
      <c r="R43" s="18"/>
      <c r="S43" s="219">
        <v>45487</v>
      </c>
      <c r="T43" s="18">
        <v>40.08</v>
      </c>
      <c r="U43" s="101">
        <f t="shared" si="5"/>
        <v>4.6748498302428811E-2</v>
      </c>
      <c r="V43" s="18"/>
      <c r="W43" s="219">
        <v>45487</v>
      </c>
      <c r="X43" s="18">
        <v>11.52</v>
      </c>
      <c r="Y43" s="101">
        <f t="shared" si="6"/>
        <v>-3.4602076124568273E-3</v>
      </c>
      <c r="Z43" s="18"/>
      <c r="AA43" s="219">
        <v>45487</v>
      </c>
      <c r="AB43" s="16">
        <v>5505</v>
      </c>
      <c r="AC43" s="17">
        <f t="shared" si="7"/>
        <v>-1.9651491002341859E-2</v>
      </c>
    </row>
    <row r="44" spans="3:29" x14ac:dyDescent="0.25">
      <c r="C44" s="219">
        <v>45480</v>
      </c>
      <c r="D44" s="18">
        <v>647.6</v>
      </c>
      <c r="E44" s="17">
        <f t="shared" si="1"/>
        <v>-6.2332585245782897E-2</v>
      </c>
      <c r="F44" s="18"/>
      <c r="G44" s="219">
        <v>45480</v>
      </c>
      <c r="H44" s="18">
        <v>498.87</v>
      </c>
      <c r="I44" s="101">
        <f t="shared" si="2"/>
        <v>-7.6012668778129622E-2</v>
      </c>
      <c r="J44" s="18"/>
      <c r="K44" s="219">
        <v>45480</v>
      </c>
      <c r="L44" s="18">
        <v>185.07</v>
      </c>
      <c r="M44" s="101">
        <f t="shared" si="3"/>
        <v>-2.9013641133263386E-2</v>
      </c>
      <c r="N44" s="18"/>
      <c r="O44" s="219">
        <v>45480</v>
      </c>
      <c r="P44" s="18">
        <v>97.13</v>
      </c>
      <c r="Q44" s="101">
        <f t="shared" si="4"/>
        <v>-8.7764057556893506E-3</v>
      </c>
      <c r="R44" s="18"/>
      <c r="S44" s="219">
        <v>45480</v>
      </c>
      <c r="T44" s="18">
        <v>38.29</v>
      </c>
      <c r="U44" s="101">
        <f t="shared" si="5"/>
        <v>1.1357633386159529E-2</v>
      </c>
      <c r="V44" s="18"/>
      <c r="W44" s="219">
        <v>45480</v>
      </c>
      <c r="X44" s="18">
        <v>11.56</v>
      </c>
      <c r="Y44" s="101">
        <f t="shared" si="6"/>
        <v>-2.1168501270110076E-2</v>
      </c>
      <c r="Z44" s="18"/>
      <c r="AA44" s="219">
        <v>45480</v>
      </c>
      <c r="AB44" s="16">
        <v>5615.35</v>
      </c>
      <c r="AC44" s="17">
        <f t="shared" si="7"/>
        <v>8.6506837381157761E-3</v>
      </c>
    </row>
    <row r="45" spans="3:29" x14ac:dyDescent="0.25">
      <c r="C45" s="219">
        <v>45473</v>
      </c>
      <c r="D45" s="18">
        <v>690.65</v>
      </c>
      <c r="E45" s="17">
        <f t="shared" si="1"/>
        <v>2.336711711711709E-2</v>
      </c>
      <c r="F45" s="18"/>
      <c r="G45" s="219">
        <v>45473</v>
      </c>
      <c r="H45" s="18">
        <v>539.91</v>
      </c>
      <c r="I45" s="101">
        <f t="shared" si="2"/>
        <v>7.0782594899051879E-2</v>
      </c>
      <c r="J45" s="18"/>
      <c r="K45" s="219">
        <v>45473</v>
      </c>
      <c r="L45" s="18">
        <v>190.6</v>
      </c>
      <c r="M45" s="101">
        <f t="shared" si="3"/>
        <v>4.6390337633818217E-2</v>
      </c>
      <c r="N45" s="18"/>
      <c r="O45" s="219">
        <v>45473</v>
      </c>
      <c r="P45" s="18">
        <v>97.99</v>
      </c>
      <c r="Q45" s="101">
        <f t="shared" si="4"/>
        <v>-1.3092960016114525E-2</v>
      </c>
      <c r="R45" s="18"/>
      <c r="S45" s="219">
        <v>45473</v>
      </c>
      <c r="T45" s="18">
        <v>37.86</v>
      </c>
      <c r="U45" s="101">
        <f t="shared" si="5"/>
        <v>-3.31971399387129E-2</v>
      </c>
      <c r="V45" s="18"/>
      <c r="W45" s="219">
        <v>45473</v>
      </c>
      <c r="X45" s="18">
        <v>11.81</v>
      </c>
      <c r="Y45" s="101">
        <f t="shared" si="6"/>
        <v>0.13666987487969201</v>
      </c>
      <c r="Z45" s="18"/>
      <c r="AA45" s="219">
        <v>45473</v>
      </c>
      <c r="AB45" s="16">
        <v>5567.19</v>
      </c>
      <c r="AC45" s="17">
        <f t="shared" si="7"/>
        <v>1.954223804500704E-2</v>
      </c>
    </row>
    <row r="46" spans="3:29" x14ac:dyDescent="0.25">
      <c r="C46" s="219">
        <v>45466</v>
      </c>
      <c r="D46" s="18">
        <v>674.88</v>
      </c>
      <c r="E46" s="17">
        <f t="shared" si="1"/>
        <v>-1.638197399871744E-2</v>
      </c>
      <c r="F46" s="18"/>
      <c r="G46" s="219">
        <v>45466</v>
      </c>
      <c r="H46" s="18">
        <v>504.22</v>
      </c>
      <c r="I46" s="101">
        <f t="shared" si="2"/>
        <v>1.9079186709244623E-2</v>
      </c>
      <c r="J46" s="18"/>
      <c r="K46" s="219">
        <v>45466</v>
      </c>
      <c r="L46" s="18">
        <v>182.15</v>
      </c>
      <c r="M46" s="101">
        <f t="shared" si="3"/>
        <v>1.4028837053944277E-2</v>
      </c>
      <c r="N46" s="18"/>
      <c r="O46" s="219">
        <v>45466</v>
      </c>
      <c r="P46" s="18">
        <v>99.29</v>
      </c>
      <c r="Q46" s="101">
        <f t="shared" si="4"/>
        <v>-2.9138554805905836E-2</v>
      </c>
      <c r="R46" s="18"/>
      <c r="S46" s="219">
        <v>45466</v>
      </c>
      <c r="T46" s="18">
        <v>39.159999999999997</v>
      </c>
      <c r="U46" s="101">
        <f t="shared" si="5"/>
        <v>1.7671517671517666E-2</v>
      </c>
      <c r="V46" s="18"/>
      <c r="W46" s="219">
        <v>45466</v>
      </c>
      <c r="X46" s="18">
        <v>10.39</v>
      </c>
      <c r="Y46" s="101">
        <f t="shared" si="6"/>
        <v>2.3645320197044354E-2</v>
      </c>
      <c r="Z46" s="18"/>
      <c r="AA46" s="219">
        <v>45466</v>
      </c>
      <c r="AB46" s="16">
        <v>5460.48</v>
      </c>
      <c r="AC46" s="17">
        <f t="shared" si="7"/>
        <v>-7.5760071148594545E-4</v>
      </c>
    </row>
    <row r="47" spans="3:29" x14ac:dyDescent="0.25">
      <c r="C47" s="219">
        <v>45459</v>
      </c>
      <c r="D47" s="18">
        <v>686.12</v>
      </c>
      <c r="E47" s="17">
        <f t="shared" si="1"/>
        <v>2.5008216558606484E-2</v>
      </c>
      <c r="F47" s="18"/>
      <c r="G47" s="219">
        <v>45459</v>
      </c>
      <c r="H47" s="18">
        <v>494.78</v>
      </c>
      <c r="I47" s="101">
        <f t="shared" si="2"/>
        <v>-1.8605204696921715E-2</v>
      </c>
      <c r="J47" s="18"/>
      <c r="K47" s="219">
        <v>45459</v>
      </c>
      <c r="L47" s="18">
        <v>179.63</v>
      </c>
      <c r="M47" s="101">
        <f t="shared" si="3"/>
        <v>1.6064257028112469E-2</v>
      </c>
      <c r="N47" s="18"/>
      <c r="O47" s="219">
        <v>45459</v>
      </c>
      <c r="P47" s="18">
        <v>102.27</v>
      </c>
      <c r="Q47" s="101">
        <f t="shared" si="4"/>
        <v>2.3006902070621157E-2</v>
      </c>
      <c r="R47" s="18"/>
      <c r="S47" s="219">
        <v>45459</v>
      </c>
      <c r="T47" s="18">
        <v>38.479999999999997</v>
      </c>
      <c r="U47" s="101">
        <f t="shared" si="5"/>
        <v>2.7777777777777755E-2</v>
      </c>
      <c r="V47" s="18"/>
      <c r="W47" s="219">
        <v>45459</v>
      </c>
      <c r="X47" s="18">
        <v>10.15</v>
      </c>
      <c r="Y47" s="101">
        <f t="shared" si="6"/>
        <v>-1.9665683382497122E-3</v>
      </c>
      <c r="Z47" s="18"/>
      <c r="AA47" s="219">
        <v>45459</v>
      </c>
      <c r="AB47" s="16">
        <v>5464.62</v>
      </c>
      <c r="AC47" s="17">
        <f t="shared" si="7"/>
        <v>6.0792400029456373E-3</v>
      </c>
    </row>
    <row r="48" spans="3:29" x14ac:dyDescent="0.25">
      <c r="C48" s="219">
        <v>45452</v>
      </c>
      <c r="D48" s="18">
        <v>669.38</v>
      </c>
      <c r="E48" s="17">
        <f t="shared" si="1"/>
        <v>4.3509439256707201E-2</v>
      </c>
      <c r="F48" s="18"/>
      <c r="G48" s="219">
        <v>45452</v>
      </c>
      <c r="H48" s="18">
        <v>504.16</v>
      </c>
      <c r="I48" s="101">
        <f t="shared" si="2"/>
        <v>2.271989613761775E-2</v>
      </c>
      <c r="J48" s="18"/>
      <c r="K48" s="219">
        <v>45452</v>
      </c>
      <c r="L48" s="18">
        <v>176.79</v>
      </c>
      <c r="M48" s="101">
        <f t="shared" si="3"/>
        <v>1.3355496962054247E-2</v>
      </c>
      <c r="N48" s="18"/>
      <c r="O48" s="219">
        <v>45452</v>
      </c>
      <c r="P48" s="18">
        <v>99.97</v>
      </c>
      <c r="Q48" s="101">
        <f t="shared" si="4"/>
        <v>-1.5461886941107025E-2</v>
      </c>
      <c r="R48" s="18"/>
      <c r="S48" s="219">
        <v>45452</v>
      </c>
      <c r="T48" s="18">
        <v>37.44</v>
      </c>
      <c r="U48" s="101">
        <f t="shared" si="5"/>
        <v>-3.9014373716632522E-2</v>
      </c>
      <c r="V48" s="18"/>
      <c r="W48" s="219">
        <v>45452</v>
      </c>
      <c r="X48" s="18">
        <v>10.17</v>
      </c>
      <c r="Y48" s="101">
        <f t="shared" si="6"/>
        <v>-0.15320566194837634</v>
      </c>
      <c r="Z48" s="18"/>
      <c r="AA48" s="219">
        <v>45452</v>
      </c>
      <c r="AB48" s="16">
        <v>5431.6</v>
      </c>
      <c r="AC48" s="17">
        <f t="shared" si="7"/>
        <v>1.5823856038631189E-2</v>
      </c>
    </row>
    <row r="49" spans="3:29" x14ac:dyDescent="0.25">
      <c r="C49" s="219">
        <v>45445</v>
      </c>
      <c r="D49" s="18">
        <v>641.47</v>
      </c>
      <c r="E49" s="17">
        <f t="shared" si="1"/>
        <v>-2.3378323618337531E-4</v>
      </c>
      <c r="F49" s="18"/>
      <c r="G49" s="219">
        <v>45445</v>
      </c>
      <c r="H49" s="18">
        <v>492.96</v>
      </c>
      <c r="I49" s="101">
        <f t="shared" si="2"/>
        <v>5.5973266499582279E-2</v>
      </c>
      <c r="J49" s="18"/>
      <c r="K49" s="219">
        <v>45445</v>
      </c>
      <c r="L49" s="18">
        <v>174.46</v>
      </c>
      <c r="M49" s="101">
        <f t="shared" si="3"/>
        <v>1.1362318840579757E-2</v>
      </c>
      <c r="N49" s="18"/>
      <c r="O49" s="219">
        <v>45445</v>
      </c>
      <c r="P49" s="18">
        <v>101.54</v>
      </c>
      <c r="Q49" s="101">
        <f t="shared" si="4"/>
        <v>-2.2808199403329711E-2</v>
      </c>
      <c r="R49" s="18"/>
      <c r="S49" s="219">
        <v>45445</v>
      </c>
      <c r="T49" s="18">
        <v>38.96</v>
      </c>
      <c r="U49" s="101">
        <f t="shared" si="5"/>
        <v>-2.6729952535598307E-2</v>
      </c>
      <c r="V49" s="18"/>
      <c r="W49" s="219">
        <v>45445</v>
      </c>
      <c r="X49" s="18">
        <v>12.01</v>
      </c>
      <c r="Y49" s="101">
        <f t="shared" si="6"/>
        <v>8.3963056255247394E-3</v>
      </c>
      <c r="Z49" s="18"/>
      <c r="AA49" s="219">
        <v>45445</v>
      </c>
      <c r="AB49" s="16">
        <v>5346.99</v>
      </c>
      <c r="AC49" s="17">
        <f t="shared" si="7"/>
        <v>1.3165299544671551E-2</v>
      </c>
    </row>
    <row r="50" spans="3:29" x14ac:dyDescent="0.25">
      <c r="C50" s="219">
        <v>45438</v>
      </c>
      <c r="D50" s="18">
        <v>641.62</v>
      </c>
      <c r="E50" s="17">
        <f t="shared" si="1"/>
        <v>-7.9319675299574718E-3</v>
      </c>
      <c r="F50" s="18"/>
      <c r="G50" s="219">
        <v>45438</v>
      </c>
      <c r="H50" s="18">
        <v>466.83</v>
      </c>
      <c r="I50" s="101">
        <f t="shared" si="2"/>
        <v>-2.3817489858224336E-2</v>
      </c>
      <c r="J50" s="18"/>
      <c r="K50" s="219">
        <v>45438</v>
      </c>
      <c r="L50" s="18">
        <v>172.5</v>
      </c>
      <c r="M50" s="101">
        <f t="shared" si="3"/>
        <v>-1.4229384536259266E-2</v>
      </c>
      <c r="N50" s="18"/>
      <c r="O50" s="219">
        <v>45438</v>
      </c>
      <c r="P50" s="18">
        <v>103.91</v>
      </c>
      <c r="Q50" s="101">
        <f t="shared" si="4"/>
        <v>2.1128144654087966E-2</v>
      </c>
      <c r="R50" s="18"/>
      <c r="S50" s="219">
        <v>45438</v>
      </c>
      <c r="T50" s="18">
        <v>40.03</v>
      </c>
      <c r="U50" s="101">
        <f t="shared" si="5"/>
        <v>3.8661131292164037E-2</v>
      </c>
      <c r="V50" s="18"/>
      <c r="W50" s="219">
        <v>45438</v>
      </c>
      <c r="X50" s="18">
        <v>11.91</v>
      </c>
      <c r="Y50" s="101">
        <f t="shared" si="6"/>
        <v>-4.180602006689022E-3</v>
      </c>
      <c r="Z50" s="18"/>
      <c r="AA50" s="219">
        <v>45438</v>
      </c>
      <c r="AB50" s="16">
        <v>5277.51</v>
      </c>
      <c r="AC50" s="17">
        <f t="shared" si="7"/>
        <v>-5.1293941998823752E-3</v>
      </c>
    </row>
    <row r="51" spans="3:29" x14ac:dyDescent="0.25">
      <c r="C51" s="219">
        <v>45431</v>
      </c>
      <c r="D51" s="18">
        <v>646.75</v>
      </c>
      <c r="E51" s="17">
        <f t="shared" si="1"/>
        <v>4.1297697633231323E-2</v>
      </c>
      <c r="F51" s="18"/>
      <c r="G51" s="219">
        <v>45431</v>
      </c>
      <c r="H51" s="18">
        <v>478.22</v>
      </c>
      <c r="I51" s="101">
        <f t="shared" si="2"/>
        <v>1.3371193659808019E-2</v>
      </c>
      <c r="J51" s="18"/>
      <c r="K51" s="219">
        <v>45431</v>
      </c>
      <c r="L51" s="18">
        <v>174.99</v>
      </c>
      <c r="M51" s="101">
        <f t="shared" si="3"/>
        <v>-6.0774735885493194E-3</v>
      </c>
      <c r="N51" s="18"/>
      <c r="O51" s="219">
        <v>45431</v>
      </c>
      <c r="P51" s="18">
        <v>101.76</v>
      </c>
      <c r="Q51" s="101">
        <f t="shared" si="4"/>
        <v>-1.4430992736077432E-2</v>
      </c>
      <c r="R51" s="18"/>
      <c r="S51" s="219">
        <v>45431</v>
      </c>
      <c r="T51" s="18">
        <v>38.54</v>
      </c>
      <c r="U51" s="101">
        <f t="shared" si="5"/>
        <v>-1.8589253883371629E-2</v>
      </c>
      <c r="V51" s="18"/>
      <c r="W51" s="219">
        <v>45431</v>
      </c>
      <c r="X51" s="18">
        <v>11.96</v>
      </c>
      <c r="Y51" s="101">
        <f t="shared" si="6"/>
        <v>-4.9916805324458175E-3</v>
      </c>
      <c r="Z51" s="18"/>
      <c r="AA51" s="219">
        <v>45431</v>
      </c>
      <c r="AB51" s="16">
        <v>5304.72</v>
      </c>
      <c r="AC51" s="17">
        <f t="shared" si="7"/>
        <v>2.7341621301570882E-4</v>
      </c>
    </row>
    <row r="52" spans="3:29" x14ac:dyDescent="0.25">
      <c r="C52" s="219">
        <v>45424</v>
      </c>
      <c r="D52" s="18">
        <v>621.1</v>
      </c>
      <c r="E52" s="17">
        <f t="shared" si="1"/>
        <v>1.6746607297788429E-2</v>
      </c>
      <c r="F52" s="18"/>
      <c r="G52" s="219">
        <v>45424</v>
      </c>
      <c r="H52" s="18">
        <v>471.91</v>
      </c>
      <c r="I52" s="101">
        <f t="shared" si="2"/>
        <v>-9.0088198236034523E-3</v>
      </c>
      <c r="J52" s="18"/>
      <c r="K52" s="219">
        <v>45424</v>
      </c>
      <c r="L52" s="18">
        <v>176.06</v>
      </c>
      <c r="M52" s="101">
        <f t="shared" si="3"/>
        <v>4.3937147939519694E-2</v>
      </c>
      <c r="N52" s="18"/>
      <c r="O52" s="219">
        <v>45424</v>
      </c>
      <c r="P52" s="18">
        <v>103.25</v>
      </c>
      <c r="Q52" s="101">
        <f t="shared" si="4"/>
        <v>-2.4009830796861763E-2</v>
      </c>
      <c r="R52" s="18"/>
      <c r="S52" s="219">
        <v>45424</v>
      </c>
      <c r="T52" s="18">
        <v>39.270000000000003</v>
      </c>
      <c r="U52" s="101">
        <f t="shared" si="5"/>
        <v>-1.0175527855507288E-3</v>
      </c>
      <c r="V52" s="18"/>
      <c r="W52" s="219">
        <v>45424</v>
      </c>
      <c r="X52" s="18">
        <v>12.02</v>
      </c>
      <c r="Y52" s="101">
        <f t="shared" si="6"/>
        <v>-7.8927203065134177E-2</v>
      </c>
      <c r="Z52" s="18"/>
      <c r="AA52" s="219">
        <v>45424</v>
      </c>
      <c r="AB52" s="16">
        <v>5303.27</v>
      </c>
      <c r="AC52" s="17">
        <f t="shared" si="7"/>
        <v>1.5430775004403896E-2</v>
      </c>
    </row>
    <row r="53" spans="3:29" x14ac:dyDescent="0.25">
      <c r="C53" s="219">
        <v>45417</v>
      </c>
      <c r="D53" s="18">
        <v>610.87</v>
      </c>
      <c r="E53" s="17">
        <f t="shared" si="1"/>
        <v>5.4423999723823613E-2</v>
      </c>
      <c r="F53" s="18"/>
      <c r="G53" s="219">
        <v>45417</v>
      </c>
      <c r="H53" s="18">
        <v>476.2</v>
      </c>
      <c r="I53" s="101">
        <f t="shared" si="2"/>
        <v>5.3633064872997634E-2</v>
      </c>
      <c r="J53" s="18"/>
      <c r="K53" s="219">
        <v>45417</v>
      </c>
      <c r="L53" s="18">
        <v>168.65</v>
      </c>
      <c r="M53" s="101">
        <f t="shared" si="3"/>
        <v>8.4309973690504456E-3</v>
      </c>
      <c r="N53" s="18"/>
      <c r="O53" s="219">
        <v>45417</v>
      </c>
      <c r="P53" s="18">
        <v>105.79</v>
      </c>
      <c r="Q53" s="101">
        <f t="shared" si="4"/>
        <v>-6.9241597747668401E-2</v>
      </c>
      <c r="R53" s="18"/>
      <c r="S53" s="219">
        <v>45417</v>
      </c>
      <c r="T53" s="18">
        <v>39.31</v>
      </c>
      <c r="U53" s="101">
        <f t="shared" si="5"/>
        <v>1.6024812613078435E-2</v>
      </c>
      <c r="V53" s="18"/>
      <c r="W53" s="219">
        <v>45417</v>
      </c>
      <c r="X53" s="18">
        <v>13.05</v>
      </c>
      <c r="Y53" s="101">
        <f t="shared" si="6"/>
        <v>1.2412723041117155E-2</v>
      </c>
      <c r="Z53" s="18"/>
      <c r="AA53" s="219">
        <v>45417</v>
      </c>
      <c r="AB53" s="16">
        <v>5222.68</v>
      </c>
      <c r="AC53" s="17">
        <f t="shared" si="7"/>
        <v>1.8505047983634341E-2</v>
      </c>
    </row>
    <row r="54" spans="3:29" x14ac:dyDescent="0.25">
      <c r="C54" s="219">
        <v>45410</v>
      </c>
      <c r="D54" s="18">
        <v>579.34</v>
      </c>
      <c r="E54" s="17">
        <f t="shared" si="1"/>
        <v>3.226841045560646E-2</v>
      </c>
      <c r="F54" s="18"/>
      <c r="G54" s="219">
        <v>45410</v>
      </c>
      <c r="H54" s="18">
        <v>451.96</v>
      </c>
      <c r="I54" s="101">
        <f t="shared" si="2"/>
        <v>1.9558302691240405E-2</v>
      </c>
      <c r="J54" s="18"/>
      <c r="K54" s="219">
        <v>45410</v>
      </c>
      <c r="L54" s="18">
        <v>167.24</v>
      </c>
      <c r="M54" s="101">
        <f t="shared" si="3"/>
        <v>-2.7391683628961789E-2</v>
      </c>
      <c r="N54" s="18"/>
      <c r="O54" s="219">
        <v>45410</v>
      </c>
      <c r="P54" s="18">
        <v>113.66</v>
      </c>
      <c r="Q54" s="101">
        <f t="shared" si="4"/>
        <v>8.2498004080545778E-3</v>
      </c>
      <c r="R54" s="18"/>
      <c r="S54" s="219">
        <v>45410</v>
      </c>
      <c r="T54" s="18">
        <v>38.69</v>
      </c>
      <c r="U54" s="101">
        <f t="shared" si="5"/>
        <v>3.1112263417162936E-3</v>
      </c>
      <c r="V54" s="18"/>
      <c r="W54" s="219">
        <v>45410</v>
      </c>
      <c r="X54" s="18">
        <v>12.89</v>
      </c>
      <c r="Y54" s="101">
        <f t="shared" si="6"/>
        <v>8.2283795130142778E-2</v>
      </c>
      <c r="Z54" s="18"/>
      <c r="AA54" s="219">
        <v>45410</v>
      </c>
      <c r="AB54" s="16">
        <v>5127.79</v>
      </c>
      <c r="AC54" s="17">
        <f t="shared" si="7"/>
        <v>5.4569055443571962E-3</v>
      </c>
    </row>
    <row r="55" spans="3:29" x14ac:dyDescent="0.25">
      <c r="C55" s="219">
        <v>45403</v>
      </c>
      <c r="D55" s="18">
        <v>561.23</v>
      </c>
      <c r="E55" s="17">
        <f t="shared" si="1"/>
        <v>1.1152349380224948E-2</v>
      </c>
      <c r="F55" s="18"/>
      <c r="G55" s="219">
        <v>45403</v>
      </c>
      <c r="H55" s="18">
        <v>443.29</v>
      </c>
      <c r="I55" s="101">
        <f t="shared" si="2"/>
        <v>-7.8533269586546606E-2</v>
      </c>
      <c r="J55" s="18"/>
      <c r="K55" s="219">
        <v>45403</v>
      </c>
      <c r="L55" s="18">
        <v>171.95</v>
      </c>
      <c r="M55" s="101">
        <f t="shared" si="3"/>
        <v>0.11590628853267561</v>
      </c>
      <c r="N55" s="18"/>
      <c r="O55" s="219">
        <v>45403</v>
      </c>
      <c r="P55" s="18">
        <v>112.73</v>
      </c>
      <c r="Q55" s="101">
        <f t="shared" si="4"/>
        <v>1.0656247224936023E-3</v>
      </c>
      <c r="R55" s="18"/>
      <c r="S55" s="219">
        <v>45403</v>
      </c>
      <c r="T55" s="18">
        <v>38.57</v>
      </c>
      <c r="U55" s="101">
        <f t="shared" si="5"/>
        <v>-4.1500994035785325E-2</v>
      </c>
      <c r="V55" s="18"/>
      <c r="W55" s="219">
        <v>45403</v>
      </c>
      <c r="X55" s="18">
        <v>11.91</v>
      </c>
      <c r="Y55" s="101">
        <f t="shared" si="6"/>
        <v>-4.2604501607716991E-2</v>
      </c>
      <c r="Z55" s="18"/>
      <c r="AA55" s="219">
        <v>45403</v>
      </c>
      <c r="AB55" s="16">
        <v>5099.96</v>
      </c>
      <c r="AC55" s="17">
        <f t="shared" si="7"/>
        <v>2.6721130287907041E-2</v>
      </c>
    </row>
    <row r="56" spans="3:29" x14ac:dyDescent="0.25">
      <c r="C56" s="219">
        <v>45396</v>
      </c>
      <c r="D56" s="18">
        <v>555.04</v>
      </c>
      <c r="E56" s="17">
        <f t="shared" si="1"/>
        <v>-0.1088418990735836</v>
      </c>
      <c r="F56" s="18"/>
      <c r="G56" s="219">
        <v>45396</v>
      </c>
      <c r="H56" s="18">
        <v>481.07</v>
      </c>
      <c r="I56" s="101">
        <f t="shared" si="2"/>
        <v>-6.0226606759132613E-2</v>
      </c>
      <c r="J56" s="18"/>
      <c r="K56" s="219">
        <v>45396</v>
      </c>
      <c r="L56" s="18">
        <v>154.09</v>
      </c>
      <c r="M56" s="101">
        <f t="shared" si="3"/>
        <v>-2.3077410765231642E-2</v>
      </c>
      <c r="N56" s="18"/>
      <c r="O56" s="219">
        <v>45396</v>
      </c>
      <c r="P56" s="18">
        <v>112.61</v>
      </c>
      <c r="Q56" s="101">
        <f t="shared" si="4"/>
        <v>-1.227962459433388E-2</v>
      </c>
      <c r="R56" s="18"/>
      <c r="S56" s="219">
        <v>45396</v>
      </c>
      <c r="T56" s="18">
        <v>40.24</v>
      </c>
      <c r="U56" s="101">
        <f t="shared" si="5"/>
        <v>2.2098044196088511E-2</v>
      </c>
      <c r="V56" s="18"/>
      <c r="W56" s="219">
        <v>45396</v>
      </c>
      <c r="X56" s="18">
        <v>12.44</v>
      </c>
      <c r="Y56" s="101">
        <f t="shared" si="6"/>
        <v>0.13503649635036483</v>
      </c>
      <c r="Z56" s="18"/>
      <c r="AA56" s="219">
        <v>45396</v>
      </c>
      <c r="AB56" s="16">
        <v>4967.2299999999996</v>
      </c>
      <c r="AC56" s="17">
        <f t="shared" si="7"/>
        <v>-3.0483603693633791E-2</v>
      </c>
    </row>
    <row r="57" spans="3:29" x14ac:dyDescent="0.25">
      <c r="C57" s="219">
        <v>45389</v>
      </c>
      <c r="D57" s="18">
        <v>622.83000000000004</v>
      </c>
      <c r="E57" s="17">
        <f t="shared" si="1"/>
        <v>-2.0984626992360512E-2</v>
      </c>
      <c r="F57" s="18"/>
      <c r="G57" s="219">
        <v>45389</v>
      </c>
      <c r="H57" s="18">
        <v>511.9</v>
      </c>
      <c r="I57" s="101">
        <f t="shared" si="2"/>
        <v>-2.9279023021200844E-2</v>
      </c>
      <c r="J57" s="18"/>
      <c r="K57" s="219">
        <v>45389</v>
      </c>
      <c r="L57" s="18">
        <v>157.72999999999999</v>
      </c>
      <c r="M57" s="101">
        <f t="shared" si="3"/>
        <v>3.4295081967213051E-2</v>
      </c>
      <c r="N57" s="18"/>
      <c r="O57" s="219">
        <v>45389</v>
      </c>
      <c r="P57" s="18">
        <v>114.01</v>
      </c>
      <c r="Q57" s="101">
        <f t="shared" si="4"/>
        <v>-3.6915019428957516E-2</v>
      </c>
      <c r="R57" s="18"/>
      <c r="S57" s="219">
        <v>45389</v>
      </c>
      <c r="T57" s="18">
        <v>39.369999999999997</v>
      </c>
      <c r="U57" s="101">
        <f t="shared" si="5"/>
        <v>-3.740831295843524E-2</v>
      </c>
      <c r="V57" s="18"/>
      <c r="W57" s="219">
        <v>45389</v>
      </c>
      <c r="X57" s="18">
        <v>10.96</v>
      </c>
      <c r="Y57" s="101">
        <f t="shared" si="6"/>
        <v>-8.4377610693400149E-2</v>
      </c>
      <c r="Z57" s="18"/>
      <c r="AA57" s="219">
        <v>45389</v>
      </c>
      <c r="AB57" s="16">
        <v>5123.41</v>
      </c>
      <c r="AC57" s="17">
        <f t="shared" si="7"/>
        <v>-1.5550482866223247E-2</v>
      </c>
    </row>
    <row r="58" spans="3:29" x14ac:dyDescent="0.25">
      <c r="C58" s="219">
        <v>45382</v>
      </c>
      <c r="D58" s="18">
        <v>636.17999999999995</v>
      </c>
      <c r="E58" s="17">
        <f t="shared" si="1"/>
        <v>4.7503004956119255E-2</v>
      </c>
      <c r="F58" s="18"/>
      <c r="G58" s="219">
        <v>45382</v>
      </c>
      <c r="H58" s="18">
        <v>527.34</v>
      </c>
      <c r="I58" s="101">
        <f t="shared" si="2"/>
        <v>8.6000247127147017E-2</v>
      </c>
      <c r="J58" s="18"/>
      <c r="K58" s="219">
        <v>45382</v>
      </c>
      <c r="L58" s="18">
        <v>152.5</v>
      </c>
      <c r="M58" s="101">
        <f t="shared" si="3"/>
        <v>1.0402173192870822E-2</v>
      </c>
      <c r="N58" s="18"/>
      <c r="O58" s="219">
        <v>45382</v>
      </c>
      <c r="P58" s="18">
        <v>118.38</v>
      </c>
      <c r="Q58" s="101">
        <f t="shared" si="4"/>
        <v>-3.2526969597907844E-2</v>
      </c>
      <c r="R58" s="18"/>
      <c r="S58" s="219">
        <v>45382</v>
      </c>
      <c r="T58" s="18">
        <v>40.9</v>
      </c>
      <c r="U58" s="101">
        <f t="shared" si="5"/>
        <v>-5.6516724336793604E-2</v>
      </c>
      <c r="V58" s="18"/>
      <c r="W58" s="219">
        <v>45382</v>
      </c>
      <c r="X58" s="18">
        <v>11.97</v>
      </c>
      <c r="Y58" s="101">
        <f t="shared" si="6"/>
        <v>1.6992353440951662E-2</v>
      </c>
      <c r="Z58" s="18"/>
      <c r="AA58" s="219">
        <v>45382</v>
      </c>
      <c r="AB58" s="16">
        <v>5204.34</v>
      </c>
      <c r="AC58" s="17">
        <f t="shared" si="7"/>
        <v>-9.5178280853007915E-3</v>
      </c>
    </row>
    <row r="59" spans="3:29" x14ac:dyDescent="0.25">
      <c r="C59" s="219">
        <v>45375</v>
      </c>
      <c r="D59" s="18">
        <v>607.33000000000004</v>
      </c>
      <c r="E59" s="17">
        <f t="shared" si="1"/>
        <v>-3.2929411952038898E-2</v>
      </c>
      <c r="F59" s="18"/>
      <c r="G59" s="219">
        <v>45375</v>
      </c>
      <c r="H59" s="18">
        <v>485.58</v>
      </c>
      <c r="I59" s="101">
        <f t="shared" si="2"/>
        <v>-4.7097609796302842E-2</v>
      </c>
      <c r="J59" s="18"/>
      <c r="K59" s="219">
        <v>45375</v>
      </c>
      <c r="L59" s="18">
        <v>150.93</v>
      </c>
      <c r="M59" s="101">
        <f t="shared" si="3"/>
        <v>1.0612190754128578E-3</v>
      </c>
      <c r="N59" s="18"/>
      <c r="O59" s="219">
        <v>45375</v>
      </c>
      <c r="P59" s="18">
        <v>122.36</v>
      </c>
      <c r="Q59" s="101">
        <f t="shared" si="4"/>
        <v>5.6011046862863505E-2</v>
      </c>
      <c r="R59" s="18"/>
      <c r="S59" s="219">
        <v>45375</v>
      </c>
      <c r="T59" s="18">
        <v>43.35</v>
      </c>
      <c r="U59" s="101">
        <f t="shared" si="5"/>
        <v>1.4272344408048653E-2</v>
      </c>
      <c r="V59" s="18"/>
      <c r="W59" s="219">
        <v>45375</v>
      </c>
      <c r="X59" s="18">
        <v>11.77</v>
      </c>
      <c r="Y59" s="101">
        <f t="shared" si="6"/>
        <v>4.6222222222222185E-2</v>
      </c>
      <c r="Z59" s="18"/>
      <c r="AA59" s="219">
        <v>45375</v>
      </c>
      <c r="AB59" s="16">
        <v>5254.35</v>
      </c>
      <c r="AC59" s="17">
        <f t="shared" si="7"/>
        <v>3.8535166922039499E-3</v>
      </c>
    </row>
    <row r="60" spans="3:29" x14ac:dyDescent="0.25">
      <c r="C60" s="219">
        <v>45368</v>
      </c>
      <c r="D60" s="18">
        <v>628.01</v>
      </c>
      <c r="E60" s="17">
        <f t="shared" si="1"/>
        <v>3.6525384564600243E-2</v>
      </c>
      <c r="F60" s="18"/>
      <c r="G60" s="219">
        <v>45368</v>
      </c>
      <c r="H60" s="18">
        <v>509.58</v>
      </c>
      <c r="I60" s="101">
        <f t="shared" si="2"/>
        <v>5.2633753356744389E-2</v>
      </c>
      <c r="J60" s="18"/>
      <c r="K60" s="219">
        <v>45368</v>
      </c>
      <c r="L60" s="18">
        <v>150.77000000000001</v>
      </c>
      <c r="M60" s="101">
        <f t="shared" si="3"/>
        <v>6.7927468479954692E-2</v>
      </c>
      <c r="N60" s="18"/>
      <c r="O60" s="219">
        <v>45368</v>
      </c>
      <c r="P60" s="18">
        <v>115.87</v>
      </c>
      <c r="Q60" s="101">
        <f t="shared" si="4"/>
        <v>3.5015631978561869E-2</v>
      </c>
      <c r="R60" s="18"/>
      <c r="S60" s="219">
        <v>45368</v>
      </c>
      <c r="T60" s="18">
        <v>42.74</v>
      </c>
      <c r="U60" s="101">
        <f t="shared" si="5"/>
        <v>-7.0142623334115348E-4</v>
      </c>
      <c r="V60" s="18"/>
      <c r="W60" s="219">
        <v>45368</v>
      </c>
      <c r="X60" s="18">
        <v>11.25</v>
      </c>
      <c r="Y60" s="101">
        <f t="shared" si="6"/>
        <v>3.5682426404994778E-3</v>
      </c>
      <c r="Z60" s="18"/>
      <c r="AA60" s="219">
        <v>45368</v>
      </c>
      <c r="AB60" s="16">
        <v>5234.18</v>
      </c>
      <c r="AC60" s="17">
        <f t="shared" si="7"/>
        <v>2.2882145907146472E-2</v>
      </c>
    </row>
    <row r="61" spans="3:29" x14ac:dyDescent="0.25">
      <c r="C61" s="219">
        <v>45361</v>
      </c>
      <c r="D61" s="18">
        <v>605.88</v>
      </c>
      <c r="E61" s="17">
        <f t="shared" si="1"/>
        <v>1.7525875467080212E-3</v>
      </c>
      <c r="F61" s="18"/>
      <c r="G61" s="219">
        <v>45361</v>
      </c>
      <c r="H61" s="18">
        <v>484.1</v>
      </c>
      <c r="I61" s="101">
        <f t="shared" si="2"/>
        <v>-4.3186085581579138E-2</v>
      </c>
      <c r="J61" s="18"/>
      <c r="K61" s="219">
        <v>45361</v>
      </c>
      <c r="L61" s="18">
        <v>141.18</v>
      </c>
      <c r="M61" s="101">
        <f t="shared" si="3"/>
        <v>4.2611328557713685E-2</v>
      </c>
      <c r="N61" s="18"/>
      <c r="O61" s="219">
        <v>45361</v>
      </c>
      <c r="P61" s="18">
        <v>111.95</v>
      </c>
      <c r="Q61" s="101">
        <f t="shared" si="4"/>
        <v>1.4775199419869559E-2</v>
      </c>
      <c r="R61" s="18"/>
      <c r="S61" s="219">
        <v>45361</v>
      </c>
      <c r="T61" s="18">
        <v>42.77</v>
      </c>
      <c r="U61" s="101">
        <f t="shared" si="5"/>
        <v>4.4621888210428567E-3</v>
      </c>
      <c r="V61" s="18"/>
      <c r="W61" s="219">
        <v>45361</v>
      </c>
      <c r="X61" s="18">
        <v>11.21</v>
      </c>
      <c r="Y61" s="101">
        <f t="shared" si="6"/>
        <v>2.5617566331198639E-2</v>
      </c>
      <c r="Z61" s="18"/>
      <c r="AA61" s="219">
        <v>45361</v>
      </c>
      <c r="AB61" s="16">
        <v>5117.09</v>
      </c>
      <c r="AC61" s="17">
        <f t="shared" si="7"/>
        <v>-1.288134137701433E-3</v>
      </c>
    </row>
    <row r="62" spans="3:29" x14ac:dyDescent="0.25">
      <c r="C62" s="219">
        <v>45354</v>
      </c>
      <c r="D62" s="18">
        <v>604.82000000000005</v>
      </c>
      <c r="E62" s="17">
        <f t="shared" si="1"/>
        <v>-2.3444311686634127E-2</v>
      </c>
      <c r="F62" s="18"/>
      <c r="G62" s="219">
        <v>45354</v>
      </c>
      <c r="H62" s="18">
        <v>505.95</v>
      </c>
      <c r="I62" s="101">
        <f t="shared" si="2"/>
        <v>7.2665737607007308E-3</v>
      </c>
      <c r="J62" s="18"/>
      <c r="K62" s="219">
        <v>45354</v>
      </c>
      <c r="L62" s="18">
        <v>135.41</v>
      </c>
      <c r="M62" s="101">
        <f t="shared" si="3"/>
        <v>-1.2614846142627898E-2</v>
      </c>
      <c r="N62" s="18"/>
      <c r="O62" s="219">
        <v>45354</v>
      </c>
      <c r="P62" s="18">
        <v>110.32</v>
      </c>
      <c r="Q62" s="101">
        <f t="shared" si="4"/>
        <v>-1.4560071460473511E-2</v>
      </c>
      <c r="R62" s="18"/>
      <c r="S62" s="219">
        <v>45354</v>
      </c>
      <c r="T62" s="18">
        <v>42.58</v>
      </c>
      <c r="U62" s="101">
        <f t="shared" si="5"/>
        <v>-5.1401869158878245E-3</v>
      </c>
      <c r="V62" s="18"/>
      <c r="W62" s="219">
        <v>45354</v>
      </c>
      <c r="X62" s="18">
        <v>10.93</v>
      </c>
      <c r="Y62" s="101">
        <f t="shared" si="6"/>
        <v>-1.8264840182648013E-3</v>
      </c>
      <c r="Z62" s="18"/>
      <c r="AA62" s="219">
        <v>45354</v>
      </c>
      <c r="AB62" s="16">
        <v>5123.6899999999996</v>
      </c>
      <c r="AC62" s="17">
        <f t="shared" si="7"/>
        <v>-2.6065391233931197E-3</v>
      </c>
    </row>
    <row r="63" spans="3:29" x14ac:dyDescent="0.25">
      <c r="C63" s="219">
        <v>45347</v>
      </c>
      <c r="D63" s="18">
        <v>619.34</v>
      </c>
      <c r="E63" s="17">
        <f t="shared" si="1"/>
        <v>6.1313318253478799E-2</v>
      </c>
      <c r="F63" s="18"/>
      <c r="G63" s="219">
        <v>45347</v>
      </c>
      <c r="H63" s="18">
        <v>502.3</v>
      </c>
      <c r="I63" s="101">
        <f t="shared" si="2"/>
        <v>3.774559428134628E-2</v>
      </c>
      <c r="J63" s="18"/>
      <c r="K63" s="219">
        <v>45347</v>
      </c>
      <c r="L63" s="18">
        <v>137.13999999999999</v>
      </c>
      <c r="M63" s="101">
        <f t="shared" si="3"/>
        <v>-4.7374270630730908E-2</v>
      </c>
      <c r="N63" s="18"/>
      <c r="O63" s="219">
        <v>45347</v>
      </c>
      <c r="P63" s="18">
        <v>111.95</v>
      </c>
      <c r="Q63" s="101">
        <f t="shared" si="4"/>
        <v>3.9075552255429816E-2</v>
      </c>
      <c r="R63" s="18"/>
      <c r="S63" s="219">
        <v>45347</v>
      </c>
      <c r="T63" s="18">
        <v>42.8</v>
      </c>
      <c r="U63" s="101">
        <f t="shared" si="5"/>
        <v>2.1479713603818583E-2</v>
      </c>
      <c r="V63" s="18"/>
      <c r="W63" s="219">
        <v>45347</v>
      </c>
      <c r="X63" s="18">
        <v>10.95</v>
      </c>
      <c r="Y63" s="101">
        <f t="shared" si="6"/>
        <v>-2.3193577163247239E-2</v>
      </c>
      <c r="Z63" s="18"/>
      <c r="AA63" s="219">
        <v>45347</v>
      </c>
      <c r="AB63" s="16">
        <v>5137.08</v>
      </c>
      <c r="AC63" s="17">
        <f t="shared" si="7"/>
        <v>9.4875019650997768E-3</v>
      </c>
    </row>
    <row r="64" spans="3:29" x14ac:dyDescent="0.25">
      <c r="C64" s="219">
        <v>45340</v>
      </c>
      <c r="D64" s="18">
        <v>583.55999999999995</v>
      </c>
      <c r="E64" s="17">
        <f t="shared" si="1"/>
        <v>-6.6786539943505439E-4</v>
      </c>
      <c r="F64" s="18"/>
      <c r="G64" s="219">
        <v>45340</v>
      </c>
      <c r="H64" s="18">
        <v>484.03</v>
      </c>
      <c r="I64" s="101">
        <f t="shared" si="2"/>
        <v>2.2627397954871925E-2</v>
      </c>
      <c r="J64" s="18"/>
      <c r="K64" s="219">
        <v>45340</v>
      </c>
      <c r="L64" s="18">
        <v>143.96</v>
      </c>
      <c r="M64" s="101">
        <f t="shared" si="3"/>
        <v>2.4480500996299441E-2</v>
      </c>
      <c r="N64" s="18"/>
      <c r="O64" s="219">
        <v>45340</v>
      </c>
      <c r="P64" s="18">
        <v>107.74</v>
      </c>
      <c r="Q64" s="101">
        <f t="shared" si="4"/>
        <v>-3.4587813620071683E-2</v>
      </c>
      <c r="R64" s="18"/>
      <c r="S64" s="219">
        <v>45340</v>
      </c>
      <c r="T64" s="18">
        <v>41.9</v>
      </c>
      <c r="U64" s="101">
        <f t="shared" si="5"/>
        <v>1.6003879728418928E-2</v>
      </c>
      <c r="V64" s="18"/>
      <c r="W64" s="219">
        <v>45340</v>
      </c>
      <c r="X64" s="18">
        <v>11.21</v>
      </c>
      <c r="Y64" s="101">
        <f t="shared" si="6"/>
        <v>-6.5833333333333258E-2</v>
      </c>
      <c r="Z64" s="18"/>
      <c r="AA64" s="219">
        <v>45340</v>
      </c>
      <c r="AB64" s="16">
        <v>5088.8</v>
      </c>
      <c r="AC64" s="17">
        <f t="shared" si="7"/>
        <v>1.662747699063253E-2</v>
      </c>
    </row>
    <row r="65" spans="3:29" x14ac:dyDescent="0.25">
      <c r="C65" s="219">
        <v>45333</v>
      </c>
      <c r="D65" s="18">
        <v>583.95000000000005</v>
      </c>
      <c r="E65" s="17">
        <f t="shared" si="1"/>
        <v>4.0315684458063127E-2</v>
      </c>
      <c r="F65" s="18"/>
      <c r="G65" s="219">
        <v>45333</v>
      </c>
      <c r="H65" s="18">
        <v>473.32</v>
      </c>
      <c r="I65" s="101">
        <f t="shared" si="2"/>
        <v>1.1129862639123239E-2</v>
      </c>
      <c r="J65" s="18"/>
      <c r="K65" s="219">
        <v>45333</v>
      </c>
      <c r="L65" s="18">
        <v>140.52000000000001</v>
      </c>
      <c r="M65" s="101">
        <f t="shared" si="3"/>
        <v>-5.6912751677852279E-2</v>
      </c>
      <c r="N65" s="18"/>
      <c r="O65" s="219">
        <v>45333</v>
      </c>
      <c r="P65" s="18">
        <v>111.6</v>
      </c>
      <c r="Q65" s="101">
        <f t="shared" si="4"/>
        <v>2.9615278162192026E-2</v>
      </c>
      <c r="R65" s="18"/>
      <c r="S65" s="219">
        <v>45333</v>
      </c>
      <c r="T65" s="18">
        <v>41.24</v>
      </c>
      <c r="U65" s="101">
        <f t="shared" si="5"/>
        <v>-1.9729023056810038E-2</v>
      </c>
      <c r="V65" s="18"/>
      <c r="W65" s="219">
        <v>45333</v>
      </c>
      <c r="X65" s="18">
        <v>12</v>
      </c>
      <c r="Y65" s="101">
        <f t="shared" si="6"/>
        <v>-6.9767441860465143E-2</v>
      </c>
      <c r="Z65" s="18"/>
      <c r="AA65" s="219">
        <v>45333</v>
      </c>
      <c r="AB65" s="16">
        <v>5005.57</v>
      </c>
      <c r="AC65" s="17">
        <f t="shared" si="7"/>
        <v>-4.1857235791119595E-3</v>
      </c>
    </row>
    <row r="66" spans="3:29" x14ac:dyDescent="0.25">
      <c r="C66" s="219">
        <v>45326</v>
      </c>
      <c r="D66" s="18">
        <v>561.32000000000005</v>
      </c>
      <c r="E66" s="17">
        <f t="shared" si="1"/>
        <v>-5.8798526494756595E-3</v>
      </c>
      <c r="F66" s="18"/>
      <c r="G66" s="219">
        <v>45326</v>
      </c>
      <c r="H66" s="18">
        <v>468.11</v>
      </c>
      <c r="I66" s="101">
        <f t="shared" si="2"/>
        <v>-1.4484515463483432E-2</v>
      </c>
      <c r="J66" s="18"/>
      <c r="K66" s="219">
        <v>45326</v>
      </c>
      <c r="L66" s="18">
        <v>149</v>
      </c>
      <c r="M66" s="101">
        <f t="shared" si="3"/>
        <v>4.6495294282904935E-2</v>
      </c>
      <c r="N66" s="18"/>
      <c r="O66" s="219">
        <v>45326</v>
      </c>
      <c r="P66" s="18">
        <v>108.39</v>
      </c>
      <c r="Q66" s="101">
        <f t="shared" si="4"/>
        <v>0.11592710799958823</v>
      </c>
      <c r="R66" s="18"/>
      <c r="S66" s="219">
        <v>45326</v>
      </c>
      <c r="T66" s="18">
        <v>42.07</v>
      </c>
      <c r="U66" s="101">
        <f t="shared" si="5"/>
        <v>-6.6977156797516146E-2</v>
      </c>
      <c r="V66" s="18"/>
      <c r="W66" s="219">
        <v>45326</v>
      </c>
      <c r="X66" s="18">
        <v>12.9</v>
      </c>
      <c r="Y66" s="101">
        <f t="shared" si="6"/>
        <v>-0.10602910602910599</v>
      </c>
      <c r="Z66" s="18"/>
      <c r="AA66" s="219">
        <v>45326</v>
      </c>
      <c r="AB66" s="16">
        <v>5026.6099999999997</v>
      </c>
      <c r="AC66" s="17">
        <f t="shared" si="7"/>
        <v>1.3713520522888472E-2</v>
      </c>
    </row>
    <row r="67" spans="3:29" x14ac:dyDescent="0.25">
      <c r="C67" s="219">
        <v>45319</v>
      </c>
      <c r="D67" s="18">
        <v>564.64</v>
      </c>
      <c r="E67" s="17">
        <f t="shared" si="1"/>
        <v>-1.0132884541215198E-2</v>
      </c>
      <c r="F67" s="18"/>
      <c r="G67" s="219">
        <v>45319</v>
      </c>
      <c r="H67" s="18">
        <v>474.99</v>
      </c>
      <c r="I67" s="101">
        <f t="shared" si="2"/>
        <v>0.20513015679707725</v>
      </c>
      <c r="J67" s="18"/>
      <c r="K67" s="219">
        <v>45319</v>
      </c>
      <c r="L67" s="18">
        <v>142.38</v>
      </c>
      <c r="M67" s="101">
        <f t="shared" si="3"/>
        <v>-6.439742410303595E-2</v>
      </c>
      <c r="N67" s="18"/>
      <c r="O67" s="219">
        <v>45319</v>
      </c>
      <c r="P67" s="18">
        <v>97.13</v>
      </c>
      <c r="Q67" s="101">
        <f t="shared" si="4"/>
        <v>1.8561241610738213E-2</v>
      </c>
      <c r="R67" s="18"/>
      <c r="S67" s="219">
        <v>45319</v>
      </c>
      <c r="T67" s="18">
        <v>45.09</v>
      </c>
      <c r="U67" s="101">
        <f t="shared" si="5"/>
        <v>-2.5291828793774205E-2</v>
      </c>
      <c r="V67" s="18"/>
      <c r="W67" s="219">
        <v>45319</v>
      </c>
      <c r="X67" s="18">
        <v>14.43</v>
      </c>
      <c r="Y67" s="101">
        <f t="shared" si="6"/>
        <v>4.5652173913043402E-2</v>
      </c>
      <c r="Z67" s="18"/>
      <c r="AA67" s="219">
        <v>45319</v>
      </c>
      <c r="AB67" s="16">
        <v>4958.6099999999997</v>
      </c>
      <c r="AC67" s="17">
        <f t="shared" si="7"/>
        <v>1.3829567549995075E-2</v>
      </c>
    </row>
    <row r="68" spans="3:29" x14ac:dyDescent="0.25">
      <c r="C68" s="219">
        <v>45312</v>
      </c>
      <c r="D68" s="18">
        <v>570.41999999999996</v>
      </c>
      <c r="E68" s="17">
        <f t="shared" si="1"/>
        <v>0.18111605756289464</v>
      </c>
      <c r="F68" s="18"/>
      <c r="G68" s="219">
        <v>45312</v>
      </c>
      <c r="H68" s="18">
        <v>394.14</v>
      </c>
      <c r="I68" s="101">
        <f t="shared" si="2"/>
        <v>2.7878471769461462E-2</v>
      </c>
      <c r="J68" s="18"/>
      <c r="K68" s="219">
        <v>45312</v>
      </c>
      <c r="L68" s="18">
        <v>152.18</v>
      </c>
      <c r="M68" s="101">
        <f t="shared" si="3"/>
        <v>3.9622899303183572E-2</v>
      </c>
      <c r="N68" s="18"/>
      <c r="O68" s="219">
        <v>45312</v>
      </c>
      <c r="P68" s="18">
        <v>95.36</v>
      </c>
      <c r="Q68" s="101">
        <f t="shared" si="4"/>
        <v>2.4715237481194897E-2</v>
      </c>
      <c r="R68" s="18"/>
      <c r="S68" s="219">
        <v>45312</v>
      </c>
      <c r="T68" s="18">
        <v>46.26</v>
      </c>
      <c r="U68" s="101">
        <f t="shared" si="5"/>
        <v>6.7128027681660818E-2</v>
      </c>
      <c r="V68" s="18"/>
      <c r="W68" s="219">
        <v>45312</v>
      </c>
      <c r="X68" s="18">
        <v>13.8</v>
      </c>
      <c r="Y68" s="101">
        <f t="shared" si="6"/>
        <v>2.9850746268656744E-2</v>
      </c>
      <c r="Z68" s="18"/>
      <c r="AA68" s="219">
        <v>45312</v>
      </c>
      <c r="AB68" s="16">
        <v>4890.97</v>
      </c>
      <c r="AC68" s="17">
        <f t="shared" si="7"/>
        <v>1.0570662897923648E-2</v>
      </c>
    </row>
    <row r="69" spans="3:29" x14ac:dyDescent="0.25">
      <c r="C69" s="219">
        <v>45305</v>
      </c>
      <c r="D69" s="18">
        <v>482.95</v>
      </c>
      <c r="E69" s="17">
        <f t="shared" si="1"/>
        <v>-1.871342652795846E-2</v>
      </c>
      <c r="F69" s="18"/>
      <c r="G69" s="219">
        <v>45305</v>
      </c>
      <c r="H69" s="18">
        <v>383.45</v>
      </c>
      <c r="I69" s="101">
        <f t="shared" si="2"/>
        <v>2.3925872519960423E-2</v>
      </c>
      <c r="J69" s="18"/>
      <c r="K69" s="219">
        <v>45305</v>
      </c>
      <c r="L69" s="18">
        <v>146.38</v>
      </c>
      <c r="M69" s="101">
        <f t="shared" si="3"/>
        <v>2.6147914475990113E-2</v>
      </c>
      <c r="N69" s="18"/>
      <c r="O69" s="219">
        <v>45305</v>
      </c>
      <c r="P69" s="18">
        <v>93.06</v>
      </c>
      <c r="Q69" s="101">
        <f t="shared" si="4"/>
        <v>2.9994465965689079E-2</v>
      </c>
      <c r="R69" s="18"/>
      <c r="S69" s="219">
        <v>45305</v>
      </c>
      <c r="T69" s="18">
        <v>43.35</v>
      </c>
      <c r="U69" s="101">
        <f t="shared" si="5"/>
        <v>8.3740404745289466E-3</v>
      </c>
      <c r="V69" s="18"/>
      <c r="W69" s="219">
        <v>45305</v>
      </c>
      <c r="X69" s="18">
        <v>13.4</v>
      </c>
      <c r="Y69" s="101">
        <f t="shared" si="6"/>
        <v>5.2513128282070734E-3</v>
      </c>
      <c r="Z69" s="18"/>
      <c r="AA69" s="219">
        <v>45305</v>
      </c>
      <c r="AB69" s="16">
        <v>4839.8100000000004</v>
      </c>
      <c r="AC69" s="17">
        <f t="shared" si="7"/>
        <v>1.1701920845849555E-2</v>
      </c>
    </row>
    <row r="70" spans="3:29" x14ac:dyDescent="0.25">
      <c r="C70" s="219">
        <v>45298</v>
      </c>
      <c r="D70" s="18">
        <v>492.16</v>
      </c>
      <c r="E70" s="17">
        <f t="shared" si="1"/>
        <v>3.8180820993123282E-2</v>
      </c>
      <c r="F70" s="18"/>
      <c r="G70" s="219">
        <v>45298</v>
      </c>
      <c r="H70" s="18">
        <v>374.49</v>
      </c>
      <c r="I70" s="101">
        <f t="shared" si="2"/>
        <v>6.4043187952834271E-2</v>
      </c>
      <c r="J70" s="18"/>
      <c r="K70" s="219">
        <v>45298</v>
      </c>
      <c r="L70" s="18">
        <v>142.65</v>
      </c>
      <c r="M70" s="101">
        <f t="shared" si="3"/>
        <v>5.0983570323436353E-2</v>
      </c>
      <c r="N70" s="18"/>
      <c r="O70" s="219">
        <v>45298</v>
      </c>
      <c r="P70" s="18">
        <v>90.35</v>
      </c>
      <c r="Q70" s="101">
        <f t="shared" si="4"/>
        <v>-6.0506050605061753E-3</v>
      </c>
      <c r="R70" s="18"/>
      <c r="S70" s="219">
        <v>45298</v>
      </c>
      <c r="T70" s="18">
        <v>42.99</v>
      </c>
      <c r="U70" s="101">
        <f t="shared" si="5"/>
        <v>-1.1617100371746551E-3</v>
      </c>
      <c r="V70" s="18"/>
      <c r="W70" s="219">
        <v>45298</v>
      </c>
      <c r="X70" s="18">
        <v>13.33</v>
      </c>
      <c r="Y70" s="101">
        <f t="shared" si="6"/>
        <v>-9.010238907849831E-2</v>
      </c>
      <c r="Z70" s="18"/>
      <c r="AA70" s="219">
        <v>45298</v>
      </c>
      <c r="AB70" s="16">
        <v>4783.83</v>
      </c>
      <c r="AC70" s="17">
        <f t="shared" si="7"/>
        <v>1.8434229462407744E-2</v>
      </c>
    </row>
    <row r="71" spans="3:29" x14ac:dyDescent="0.25">
      <c r="C71" s="219">
        <v>45291</v>
      </c>
      <c r="D71" s="18">
        <v>474.06</v>
      </c>
      <c r="E71" s="17">
        <f t="shared" si="1"/>
        <v>-2.633092343082483E-2</v>
      </c>
      <c r="F71" s="18"/>
      <c r="G71" s="219">
        <v>45291</v>
      </c>
      <c r="H71" s="18">
        <v>351.95</v>
      </c>
      <c r="I71" s="101">
        <f t="shared" si="2"/>
        <v>-5.6786077522883692E-3</v>
      </c>
      <c r="J71" s="18"/>
      <c r="K71" s="219">
        <v>45291</v>
      </c>
      <c r="L71" s="18">
        <v>135.72999999999999</v>
      </c>
      <c r="M71" s="101">
        <f t="shared" si="3"/>
        <v>-2.834848593313772E-2</v>
      </c>
      <c r="N71" s="18"/>
      <c r="O71" s="219">
        <v>45291</v>
      </c>
      <c r="P71" s="18">
        <v>90.9</v>
      </c>
      <c r="Q71" s="101">
        <f t="shared" si="4"/>
        <v>6.7560084173219556E-3</v>
      </c>
      <c r="R71" s="18"/>
      <c r="S71" s="219">
        <v>45291</v>
      </c>
      <c r="T71" s="18">
        <v>43.04</v>
      </c>
      <c r="U71" s="101">
        <f t="shared" si="5"/>
        <v>-1.847206385404794E-2</v>
      </c>
      <c r="V71" s="18"/>
      <c r="W71" s="219">
        <v>45291</v>
      </c>
      <c r="X71" s="18">
        <v>14.65</v>
      </c>
      <c r="Y71" s="101">
        <f t="shared" si="6"/>
        <v>-9.4658553076402158E-3</v>
      </c>
      <c r="Z71" s="18"/>
      <c r="AA71" s="219">
        <v>45291</v>
      </c>
      <c r="AB71" s="16">
        <v>4697.24</v>
      </c>
      <c r="AC71" s="17">
        <f t="shared" si="7"/>
        <v>-1.5218571731068014E-2</v>
      </c>
    </row>
    <row r="72" spans="3:29" x14ac:dyDescent="0.25">
      <c r="C72" s="219">
        <v>45284</v>
      </c>
      <c r="D72" s="18">
        <v>486.88</v>
      </c>
      <c r="E72" s="17">
        <f t="shared" si="1"/>
        <v>2.465280631111935E-4</v>
      </c>
      <c r="F72" s="18"/>
      <c r="G72" s="219">
        <v>45284</v>
      </c>
      <c r="H72" s="18">
        <v>353.96</v>
      </c>
      <c r="I72" s="101">
        <f t="shared" si="2"/>
        <v>1.6129488666911719E-3</v>
      </c>
      <c r="J72" s="18"/>
      <c r="K72" s="219">
        <v>45284</v>
      </c>
      <c r="L72" s="18">
        <v>139.69</v>
      </c>
      <c r="M72" s="101">
        <f t="shared" si="3"/>
        <v>-1.2721747119937885E-2</v>
      </c>
      <c r="N72" s="18"/>
      <c r="O72" s="219">
        <v>45284</v>
      </c>
      <c r="P72" s="18">
        <v>90.29</v>
      </c>
      <c r="Q72" s="101">
        <f t="shared" si="4"/>
        <v>-8.0202153372883958E-3</v>
      </c>
      <c r="R72" s="18"/>
      <c r="S72" s="219">
        <v>45284</v>
      </c>
      <c r="T72" s="18">
        <v>43.85</v>
      </c>
      <c r="U72" s="101">
        <f t="shared" si="5"/>
        <v>-3.4090909090908768E-3</v>
      </c>
      <c r="V72" s="18"/>
      <c r="W72" s="219">
        <v>45284</v>
      </c>
      <c r="X72" s="18">
        <v>14.79</v>
      </c>
      <c r="Y72" s="101">
        <f t="shared" si="6"/>
        <v>-1.4000000000000058E-2</v>
      </c>
      <c r="Z72" s="18"/>
      <c r="AA72" s="219">
        <v>45284</v>
      </c>
      <c r="AB72" s="16">
        <v>4769.83</v>
      </c>
      <c r="AC72" s="17">
        <f t="shared" si="7"/>
        <v>3.1968838795026779E-3</v>
      </c>
    </row>
    <row r="73" spans="3:29" x14ac:dyDescent="0.25">
      <c r="C73" s="219">
        <v>45277</v>
      </c>
      <c r="D73" s="18">
        <v>486.76</v>
      </c>
      <c r="E73" s="17">
        <f t="shared" si="1"/>
        <v>3.1140109308138771E-2</v>
      </c>
      <c r="F73" s="18"/>
      <c r="G73" s="219">
        <v>45277</v>
      </c>
      <c r="H73" s="18">
        <v>353.39</v>
      </c>
      <c r="I73" s="101">
        <f t="shared" si="2"/>
        <v>5.5147497909948551E-2</v>
      </c>
      <c r="J73" s="18"/>
      <c r="K73" s="219">
        <v>45277</v>
      </c>
      <c r="L73" s="18">
        <v>141.49</v>
      </c>
      <c r="M73" s="101">
        <f t="shared" si="3"/>
        <v>6.7043740573152447E-2</v>
      </c>
      <c r="N73" s="18"/>
      <c r="O73" s="219">
        <v>45277</v>
      </c>
      <c r="P73" s="18">
        <v>91.02</v>
      </c>
      <c r="Q73" s="101">
        <f t="shared" si="4"/>
        <v>-2.610742563663597E-2</v>
      </c>
      <c r="R73" s="18"/>
      <c r="S73" s="219">
        <v>45277</v>
      </c>
      <c r="T73" s="18">
        <v>44</v>
      </c>
      <c r="U73" s="101">
        <f t="shared" si="5"/>
        <v>-1.0791366906474751E-2</v>
      </c>
      <c r="V73" s="18"/>
      <c r="W73" s="219">
        <v>45277</v>
      </c>
      <c r="X73" s="18">
        <v>15</v>
      </c>
      <c r="Y73" s="101">
        <f t="shared" si="6"/>
        <v>-7.805777504609708E-2</v>
      </c>
      <c r="Z73" s="18"/>
      <c r="AA73" s="219">
        <v>45277</v>
      </c>
      <c r="AB73" s="16">
        <v>4754.63</v>
      </c>
      <c r="AC73" s="17">
        <f t="shared" si="7"/>
        <v>7.5097633280288593E-3</v>
      </c>
    </row>
    <row r="74" spans="3:29" x14ac:dyDescent="0.25">
      <c r="C74" s="219">
        <v>45270</v>
      </c>
      <c r="D74" s="18">
        <v>472.06</v>
      </c>
      <c r="E74" s="17">
        <f t="shared" si="1"/>
        <v>4.0329689703808208E-2</v>
      </c>
      <c r="F74" s="18"/>
      <c r="G74" s="219">
        <v>45270</v>
      </c>
      <c r="H74" s="18">
        <v>334.92</v>
      </c>
      <c r="I74" s="101">
        <f t="shared" si="2"/>
        <v>6.5214124718257424E-3</v>
      </c>
      <c r="J74" s="18"/>
      <c r="K74" s="219">
        <v>45270</v>
      </c>
      <c r="L74" s="18">
        <v>132.6</v>
      </c>
      <c r="M74" s="101">
        <f t="shared" si="3"/>
        <v>-1.7705015186310204E-2</v>
      </c>
      <c r="N74" s="18"/>
      <c r="O74" s="219">
        <v>45270</v>
      </c>
      <c r="P74" s="18">
        <v>93.46</v>
      </c>
      <c r="Q74" s="101">
        <f t="shared" si="4"/>
        <v>6.8950657185951371E-3</v>
      </c>
      <c r="R74" s="18"/>
      <c r="S74" s="219">
        <v>45270</v>
      </c>
      <c r="T74" s="18">
        <v>44.48</v>
      </c>
      <c r="U74" s="101">
        <f t="shared" si="5"/>
        <v>5.6532066508313432E-2</v>
      </c>
      <c r="V74" s="18"/>
      <c r="W74" s="219">
        <v>45270</v>
      </c>
      <c r="X74" s="18">
        <v>16.27</v>
      </c>
      <c r="Y74" s="101">
        <f t="shared" si="6"/>
        <v>-3.4421364985163315E-2</v>
      </c>
      <c r="Z74" s="18"/>
      <c r="AA74" s="219">
        <v>45270</v>
      </c>
      <c r="AB74" s="16">
        <v>4719.1899999999996</v>
      </c>
      <c r="AC74" s="17">
        <f t="shared" si="7"/>
        <v>2.4937179244934642E-2</v>
      </c>
    </row>
    <row r="75" spans="3:29" x14ac:dyDescent="0.25">
      <c r="C75" s="219">
        <v>45263</v>
      </c>
      <c r="D75" s="18">
        <v>453.76</v>
      </c>
      <c r="E75" s="17">
        <f t="shared" si="1"/>
        <v>-2.5722506119294067E-2</v>
      </c>
      <c r="F75" s="18"/>
      <c r="G75" s="219">
        <v>45263</v>
      </c>
      <c r="H75" s="18">
        <v>332.75</v>
      </c>
      <c r="I75" s="101">
        <f t="shared" si="2"/>
        <v>2.4413521334893194E-2</v>
      </c>
      <c r="J75" s="18"/>
      <c r="K75" s="219">
        <v>45263</v>
      </c>
      <c r="L75" s="18">
        <v>134.99</v>
      </c>
      <c r="M75" s="101">
        <f t="shared" si="3"/>
        <v>2.3737297133323183E-2</v>
      </c>
      <c r="N75" s="18"/>
      <c r="O75" s="219">
        <v>45263</v>
      </c>
      <c r="P75" s="18">
        <v>92.82</v>
      </c>
      <c r="Q75" s="101">
        <f t="shared" si="4"/>
        <v>2.5923525599480979E-3</v>
      </c>
      <c r="R75" s="18"/>
      <c r="S75" s="219">
        <v>45263</v>
      </c>
      <c r="T75" s="18">
        <v>42.1</v>
      </c>
      <c r="U75" s="101">
        <f t="shared" si="5"/>
        <v>-2.6060175313906524E-3</v>
      </c>
      <c r="V75" s="18"/>
      <c r="W75" s="219">
        <v>45263</v>
      </c>
      <c r="X75" s="18">
        <v>16.850000000000001</v>
      </c>
      <c r="Y75" s="101">
        <f t="shared" si="6"/>
        <v>6.7807351077313185E-2</v>
      </c>
      <c r="Z75" s="18"/>
      <c r="AA75" s="219">
        <v>45263</v>
      </c>
      <c r="AB75" s="16">
        <v>4604.37</v>
      </c>
      <c r="AC75" s="17">
        <f t="shared" si="7"/>
        <v>2.119866017502994E-3</v>
      </c>
    </row>
    <row r="76" spans="3:29" x14ac:dyDescent="0.25">
      <c r="C76" s="219">
        <v>45256</v>
      </c>
      <c r="D76" s="18">
        <v>465.74</v>
      </c>
      <c r="E76" s="17">
        <f t="shared" si="1"/>
        <v>-2.8818083242972709E-2</v>
      </c>
      <c r="F76" s="18"/>
      <c r="G76" s="219">
        <v>45256</v>
      </c>
      <c r="H76" s="18">
        <v>324.82</v>
      </c>
      <c r="I76" s="101">
        <f t="shared" si="2"/>
        <v>-3.9647577092511085E-2</v>
      </c>
      <c r="J76" s="18"/>
      <c r="K76" s="219">
        <v>45256</v>
      </c>
      <c r="L76" s="18">
        <v>131.86000000000001</v>
      </c>
      <c r="M76" s="101">
        <f t="shared" si="3"/>
        <v>-3.5335430536249796E-2</v>
      </c>
      <c r="N76" s="18"/>
      <c r="O76" s="219">
        <v>45256</v>
      </c>
      <c r="P76" s="18">
        <v>92.58</v>
      </c>
      <c r="Q76" s="101">
        <f t="shared" si="4"/>
        <v>-3.6227357901311721E-2</v>
      </c>
      <c r="R76" s="18"/>
      <c r="S76" s="219">
        <v>45256</v>
      </c>
      <c r="T76" s="18">
        <v>42.21</v>
      </c>
      <c r="U76" s="101">
        <f t="shared" si="5"/>
        <v>-8.6895255988726511E-3</v>
      </c>
      <c r="V76" s="18"/>
      <c r="W76" s="219">
        <v>45256</v>
      </c>
      <c r="X76" s="18">
        <v>15.78</v>
      </c>
      <c r="Y76" s="101">
        <f t="shared" si="6"/>
        <v>0.11048557353976061</v>
      </c>
      <c r="Z76" s="18"/>
      <c r="AA76" s="219">
        <v>45256</v>
      </c>
      <c r="AB76" s="16">
        <v>4594.63</v>
      </c>
      <c r="AC76" s="17">
        <f t="shared" si="7"/>
        <v>7.7401553733654352E-3</v>
      </c>
    </row>
    <row r="77" spans="3:29" x14ac:dyDescent="0.25">
      <c r="C77" s="219">
        <v>45249</v>
      </c>
      <c r="D77" s="18">
        <v>479.56</v>
      </c>
      <c r="E77" s="17">
        <f t="shared" si="1"/>
        <v>2.9297503809748614E-2</v>
      </c>
      <c r="F77" s="18"/>
      <c r="G77" s="219">
        <v>45249</v>
      </c>
      <c r="H77" s="18">
        <v>338.23</v>
      </c>
      <c r="I77" s="101">
        <f t="shared" si="2"/>
        <v>9.5212511938872896E-3</v>
      </c>
      <c r="J77" s="18"/>
      <c r="K77" s="219">
        <v>45249</v>
      </c>
      <c r="L77" s="18">
        <v>136.69</v>
      </c>
      <c r="M77" s="101">
        <f t="shared" si="3"/>
        <v>1.0198802749242446E-2</v>
      </c>
      <c r="N77" s="18"/>
      <c r="O77" s="219">
        <v>45249</v>
      </c>
      <c r="P77" s="18">
        <v>96.06</v>
      </c>
      <c r="Q77" s="101">
        <f t="shared" si="4"/>
        <v>2.028677642060538E-2</v>
      </c>
      <c r="R77" s="18"/>
      <c r="S77" s="219">
        <v>45249</v>
      </c>
      <c r="T77" s="18">
        <v>42.58</v>
      </c>
      <c r="U77" s="101">
        <f t="shared" si="5"/>
        <v>3.7718057520036911E-3</v>
      </c>
      <c r="V77" s="18"/>
      <c r="W77" s="219">
        <v>45249</v>
      </c>
      <c r="X77" s="18">
        <v>14.21</v>
      </c>
      <c r="Y77" s="101">
        <f t="shared" si="6"/>
        <v>7.7331311599696848E-2</v>
      </c>
      <c r="Z77" s="18"/>
      <c r="AA77" s="219">
        <v>45249</v>
      </c>
      <c r="AB77" s="16">
        <v>4559.34</v>
      </c>
      <c r="AC77" s="17">
        <f t="shared" si="7"/>
        <v>1.003983145843388E-2</v>
      </c>
    </row>
    <row r="78" spans="3:29" x14ac:dyDescent="0.25">
      <c r="C78" s="219">
        <v>45242</v>
      </c>
      <c r="D78" s="18">
        <v>465.91</v>
      </c>
      <c r="E78" s="17">
        <f t="shared" si="1"/>
        <v>4.1744924425364489E-2</v>
      </c>
      <c r="F78" s="18"/>
      <c r="G78" s="219">
        <v>45242</v>
      </c>
      <c r="H78" s="18">
        <v>335.04</v>
      </c>
      <c r="I78" s="101">
        <f t="shared" si="2"/>
        <v>1.9071083128022748E-2</v>
      </c>
      <c r="J78" s="18"/>
      <c r="K78" s="219">
        <v>45242</v>
      </c>
      <c r="L78" s="18">
        <v>135.31</v>
      </c>
      <c r="M78" s="101">
        <f t="shared" si="3"/>
        <v>2.0514367599366458E-2</v>
      </c>
      <c r="N78" s="18"/>
      <c r="O78" s="219">
        <v>45242</v>
      </c>
      <c r="P78" s="18">
        <v>94.15</v>
      </c>
      <c r="Q78" s="101">
        <f t="shared" si="4"/>
        <v>6.6613798572561569E-2</v>
      </c>
      <c r="R78" s="18"/>
      <c r="S78" s="219">
        <v>45242</v>
      </c>
      <c r="T78" s="18">
        <v>42.42</v>
      </c>
      <c r="U78" s="101">
        <f t="shared" si="5"/>
        <v>1.2168933428776072E-2</v>
      </c>
      <c r="V78" s="18"/>
      <c r="W78" s="219">
        <v>45242</v>
      </c>
      <c r="X78" s="18">
        <v>13.19</v>
      </c>
      <c r="Y78" s="101">
        <f t="shared" si="6"/>
        <v>9.0082644628099159E-2</v>
      </c>
      <c r="Z78" s="18"/>
      <c r="AA78" s="219">
        <v>45242</v>
      </c>
      <c r="AB78" s="16">
        <v>4514.0200000000004</v>
      </c>
      <c r="AC78" s="17">
        <f t="shared" si="7"/>
        <v>2.237250976164391E-2</v>
      </c>
    </row>
    <row r="79" spans="3:29" x14ac:dyDescent="0.25">
      <c r="C79" s="219">
        <v>45235</v>
      </c>
      <c r="D79" s="18">
        <v>447.24</v>
      </c>
      <c r="E79" s="17">
        <f t="shared" si="1"/>
        <v>3.4415764640577287E-2</v>
      </c>
      <c r="F79" s="18"/>
      <c r="G79" s="219">
        <v>45235</v>
      </c>
      <c r="H79" s="18">
        <v>328.77</v>
      </c>
      <c r="I79" s="101">
        <f t="shared" si="2"/>
        <v>4.5041322314049455E-2</v>
      </c>
      <c r="J79" s="18"/>
      <c r="K79" s="219">
        <v>45235</v>
      </c>
      <c r="L79" s="18">
        <v>132.59</v>
      </c>
      <c r="M79" s="101">
        <f t="shared" si="3"/>
        <v>2.7033307513555455E-2</v>
      </c>
      <c r="N79" s="18"/>
      <c r="O79" s="219">
        <v>45235</v>
      </c>
      <c r="P79" s="18">
        <v>88.27</v>
      </c>
      <c r="Q79" s="101">
        <f t="shared" si="4"/>
        <v>3.7616080874573916E-2</v>
      </c>
      <c r="R79" s="18"/>
      <c r="S79" s="219">
        <v>45235</v>
      </c>
      <c r="T79" s="18">
        <v>41.91</v>
      </c>
      <c r="U79" s="101">
        <f t="shared" si="5"/>
        <v>-2.9411764705882425E-2</v>
      </c>
      <c r="V79" s="18"/>
      <c r="W79" s="219">
        <v>45235</v>
      </c>
      <c r="X79" s="18">
        <v>12.1</v>
      </c>
      <c r="Y79" s="101">
        <f t="shared" si="6"/>
        <v>-0.12063953488372094</v>
      </c>
      <c r="Z79" s="18"/>
      <c r="AA79" s="219">
        <v>45235</v>
      </c>
      <c r="AB79" s="16">
        <v>4415.24</v>
      </c>
      <c r="AC79" s="17">
        <f t="shared" si="7"/>
        <v>1.3055429360719822E-2</v>
      </c>
    </row>
    <row r="80" spans="3:29" x14ac:dyDescent="0.25">
      <c r="C80" s="219">
        <v>45228</v>
      </c>
      <c r="D80" s="18">
        <v>432.36</v>
      </c>
      <c r="E80" s="17">
        <f t="shared" si="1"/>
        <v>8.6686606177897321E-2</v>
      </c>
      <c r="F80" s="18"/>
      <c r="G80" s="219">
        <v>45228</v>
      </c>
      <c r="H80" s="18">
        <v>314.60000000000002</v>
      </c>
      <c r="I80" s="101">
        <f t="shared" si="2"/>
        <v>6.0223098439658958E-2</v>
      </c>
      <c r="J80" s="18"/>
      <c r="K80" s="219">
        <v>45228</v>
      </c>
      <c r="L80" s="18">
        <v>129.1</v>
      </c>
      <c r="M80" s="101">
        <f t="shared" si="3"/>
        <v>5.6724236719325472E-2</v>
      </c>
      <c r="N80" s="18"/>
      <c r="O80" s="219">
        <v>45228</v>
      </c>
      <c r="P80" s="18">
        <v>85.07</v>
      </c>
      <c r="Q80" s="101">
        <f t="shared" si="4"/>
        <v>7.2355981343753872E-2</v>
      </c>
      <c r="R80" s="18"/>
      <c r="S80" s="219">
        <v>45228</v>
      </c>
      <c r="T80" s="18">
        <v>43.18</v>
      </c>
      <c r="U80" s="101">
        <f t="shared" si="5"/>
        <v>8.9303733602421775E-2</v>
      </c>
      <c r="V80" s="18"/>
      <c r="W80" s="219">
        <v>45228</v>
      </c>
      <c r="X80" s="18">
        <v>13.76</v>
      </c>
      <c r="Y80" s="101">
        <f t="shared" si="6"/>
        <v>0.285981308411215</v>
      </c>
      <c r="Z80" s="18"/>
      <c r="AA80" s="219">
        <v>45228</v>
      </c>
      <c r="AB80" s="16">
        <v>4358.34</v>
      </c>
      <c r="AC80" s="17">
        <f t="shared" si="7"/>
        <v>5.8525223625761166E-2</v>
      </c>
    </row>
    <row r="81" spans="3:29" x14ac:dyDescent="0.25">
      <c r="C81" s="219">
        <v>45221</v>
      </c>
      <c r="D81" s="18">
        <v>397.87</v>
      </c>
      <c r="E81" s="17">
        <f t="shared" si="1"/>
        <v>-7.7065043894652217E-3</v>
      </c>
      <c r="F81" s="18"/>
      <c r="G81" s="219">
        <v>45221</v>
      </c>
      <c r="H81" s="18">
        <v>296.73</v>
      </c>
      <c r="I81" s="101">
        <f t="shared" si="2"/>
        <v>-3.8619795885306854E-2</v>
      </c>
      <c r="J81" s="18"/>
      <c r="K81" s="219">
        <v>45221</v>
      </c>
      <c r="L81" s="18">
        <v>122.17</v>
      </c>
      <c r="M81" s="101">
        <f t="shared" si="3"/>
        <v>-9.904129793510319E-2</v>
      </c>
      <c r="N81" s="18"/>
      <c r="O81" s="219">
        <v>45221</v>
      </c>
      <c r="P81" s="18">
        <v>79.33</v>
      </c>
      <c r="Q81" s="101">
        <f t="shared" si="4"/>
        <v>-4.0169388989715754E-2</v>
      </c>
      <c r="R81" s="18"/>
      <c r="S81" s="219">
        <v>45221</v>
      </c>
      <c r="T81" s="18">
        <v>39.64</v>
      </c>
      <c r="U81" s="101">
        <f t="shared" si="5"/>
        <v>-7.5128324778348091E-2</v>
      </c>
      <c r="V81" s="18"/>
      <c r="W81" s="219">
        <v>45221</v>
      </c>
      <c r="X81" s="18">
        <v>10.7</v>
      </c>
      <c r="Y81" s="101">
        <f t="shared" si="6"/>
        <v>-6.9565217391304404E-2</v>
      </c>
      <c r="Z81" s="18"/>
      <c r="AA81" s="219">
        <v>45221</v>
      </c>
      <c r="AB81" s="16">
        <v>4117.37</v>
      </c>
      <c r="AC81" s="17">
        <f t="shared" si="7"/>
        <v>-2.5280765880080294E-2</v>
      </c>
    </row>
    <row r="82" spans="3:29" x14ac:dyDescent="0.25">
      <c r="C82" s="219">
        <v>45214</v>
      </c>
      <c r="D82" s="18">
        <v>400.96</v>
      </c>
      <c r="E82" s="17">
        <f t="shared" si="1"/>
        <v>0.1273054430949167</v>
      </c>
      <c r="F82" s="18"/>
      <c r="G82" s="219">
        <v>45214</v>
      </c>
      <c r="H82" s="18">
        <v>308.64999999999998</v>
      </c>
      <c r="I82" s="101">
        <f t="shared" si="2"/>
        <v>-1.9193492008007944E-2</v>
      </c>
      <c r="J82" s="18"/>
      <c r="K82" s="219">
        <v>45214</v>
      </c>
      <c r="L82" s="18">
        <v>135.6</v>
      </c>
      <c r="M82" s="101">
        <f t="shared" si="3"/>
        <v>-1.2813046010483541E-2</v>
      </c>
      <c r="N82" s="18"/>
      <c r="O82" s="219">
        <v>45214</v>
      </c>
      <c r="P82" s="18">
        <v>82.65</v>
      </c>
      <c r="Q82" s="101">
        <f t="shared" si="4"/>
        <v>-2.0154119739181846E-2</v>
      </c>
      <c r="R82" s="18"/>
      <c r="S82" s="219">
        <v>45214</v>
      </c>
      <c r="T82" s="18">
        <v>42.86</v>
      </c>
      <c r="U82" s="101">
        <f t="shared" si="5"/>
        <v>-2.1684546907098898E-2</v>
      </c>
      <c r="V82" s="18"/>
      <c r="W82" s="219">
        <v>45214</v>
      </c>
      <c r="X82" s="18">
        <v>11.5</v>
      </c>
      <c r="Y82" s="101">
        <f t="shared" si="6"/>
        <v>-3.3613445378151287E-2</v>
      </c>
      <c r="Z82" s="18"/>
      <c r="AA82" s="219">
        <v>45214</v>
      </c>
      <c r="AB82" s="16">
        <v>4224.16</v>
      </c>
      <c r="AC82" s="17">
        <f t="shared" si="7"/>
        <v>-2.394299155687209E-2</v>
      </c>
    </row>
    <row r="83" spans="3:29" x14ac:dyDescent="0.25">
      <c r="C83" s="219">
        <v>45207</v>
      </c>
      <c r="D83" s="18">
        <v>355.68</v>
      </c>
      <c r="E83" s="17">
        <f t="shared" si="1"/>
        <v>-6.7704647322481673E-2</v>
      </c>
      <c r="F83" s="18"/>
      <c r="G83" s="219">
        <v>45207</v>
      </c>
      <c r="H83" s="18">
        <v>314.69</v>
      </c>
      <c r="I83" s="101">
        <f t="shared" si="2"/>
        <v>-2.3460038677361353E-3</v>
      </c>
      <c r="J83" s="18"/>
      <c r="K83" s="219">
        <v>45207</v>
      </c>
      <c r="L83" s="18">
        <v>137.36000000000001</v>
      </c>
      <c r="M83" s="101">
        <f t="shared" si="3"/>
        <v>-1.5990696322139761E-3</v>
      </c>
      <c r="N83" s="18"/>
      <c r="O83" s="219">
        <v>45207</v>
      </c>
      <c r="P83" s="18">
        <v>84.35</v>
      </c>
      <c r="Q83" s="101">
        <f t="shared" si="4"/>
        <v>1.7000241138172133E-2</v>
      </c>
      <c r="R83" s="18"/>
      <c r="S83" s="219">
        <v>45207</v>
      </c>
      <c r="T83" s="18">
        <v>43.81</v>
      </c>
      <c r="U83" s="101">
        <f t="shared" si="5"/>
        <v>7.8214860823557254E-3</v>
      </c>
      <c r="V83" s="18"/>
      <c r="W83" s="219">
        <v>45207</v>
      </c>
      <c r="X83" s="18">
        <v>11.9</v>
      </c>
      <c r="Y83" s="101">
        <f t="shared" si="6"/>
        <v>6.7681895093062664E-3</v>
      </c>
      <c r="Z83" s="18"/>
      <c r="AA83" s="219">
        <v>45207</v>
      </c>
      <c r="AB83" s="16">
        <v>4327.78</v>
      </c>
      <c r="AC83" s="17">
        <f t="shared" si="7"/>
        <v>4.4748752466054883E-3</v>
      </c>
    </row>
    <row r="84" spans="3:29" x14ac:dyDescent="0.25">
      <c r="C84" s="219">
        <v>45200</v>
      </c>
      <c r="D84" s="18">
        <v>381.51</v>
      </c>
      <c r="E84" s="17">
        <f t="shared" si="1"/>
        <v>1.0354872881355847E-2</v>
      </c>
      <c r="F84" s="18"/>
      <c r="G84" s="219">
        <v>45200</v>
      </c>
      <c r="H84" s="18">
        <v>315.43</v>
      </c>
      <c r="I84" s="101">
        <f t="shared" si="2"/>
        <v>5.0697844841944069E-2</v>
      </c>
      <c r="J84" s="18"/>
      <c r="K84" s="219">
        <v>45200</v>
      </c>
      <c r="L84" s="18">
        <v>137.58000000000001</v>
      </c>
      <c r="M84" s="101">
        <f t="shared" si="3"/>
        <v>5.1352590554791369E-2</v>
      </c>
      <c r="N84" s="18"/>
      <c r="O84" s="219">
        <v>45200</v>
      </c>
      <c r="P84" s="18">
        <v>82.94</v>
      </c>
      <c r="Q84" s="101">
        <f t="shared" si="4"/>
        <v>2.3318938926588532E-2</v>
      </c>
      <c r="R84" s="18"/>
      <c r="S84" s="219">
        <v>45200</v>
      </c>
      <c r="T84" s="18">
        <v>43.47</v>
      </c>
      <c r="U84" s="101">
        <f t="shared" si="5"/>
        <v>-1.9621109607577909E-2</v>
      </c>
      <c r="V84" s="18"/>
      <c r="W84" s="219">
        <v>45200</v>
      </c>
      <c r="X84" s="18">
        <v>11.82</v>
      </c>
      <c r="Y84" s="101">
        <f t="shared" si="6"/>
        <v>-8.3720930232558138E-2</v>
      </c>
      <c r="Z84" s="18"/>
      <c r="AA84" s="219">
        <v>45200</v>
      </c>
      <c r="AB84" s="16">
        <v>4308.5</v>
      </c>
      <c r="AC84" s="17">
        <f t="shared" si="7"/>
        <v>4.7690675248655721E-3</v>
      </c>
    </row>
    <row r="85" spans="3:29" x14ac:dyDescent="0.25">
      <c r="C85" s="219">
        <v>45193</v>
      </c>
      <c r="D85" s="18">
        <v>377.6</v>
      </c>
      <c r="E85" s="17">
        <f t="shared" si="1"/>
        <v>-5.8186988230957042E-3</v>
      </c>
      <c r="F85" s="18"/>
      <c r="G85" s="219">
        <v>45193</v>
      </c>
      <c r="H85" s="18">
        <v>300.20999999999998</v>
      </c>
      <c r="I85" s="101">
        <f t="shared" si="2"/>
        <v>3.7782533101511149E-3</v>
      </c>
      <c r="J85" s="18"/>
      <c r="K85" s="219">
        <v>45193</v>
      </c>
      <c r="L85" s="18">
        <v>130.86000000000001</v>
      </c>
      <c r="M85" s="101">
        <f t="shared" si="3"/>
        <v>4.6833013435701627E-3</v>
      </c>
      <c r="N85" s="18"/>
      <c r="O85" s="219">
        <v>45193</v>
      </c>
      <c r="P85" s="18">
        <v>81.05</v>
      </c>
      <c r="Q85" s="101">
        <f t="shared" si="4"/>
        <v>-2.4615384615384963E-3</v>
      </c>
      <c r="R85" s="18"/>
      <c r="S85" s="219">
        <v>45193</v>
      </c>
      <c r="T85" s="18">
        <v>44.34</v>
      </c>
      <c r="U85" s="101">
        <f t="shared" si="5"/>
        <v>-2.1192052980132315E-2</v>
      </c>
      <c r="V85" s="18"/>
      <c r="W85" s="219">
        <v>45193</v>
      </c>
      <c r="X85" s="18">
        <v>12.9</v>
      </c>
      <c r="Y85" s="101">
        <f t="shared" si="6"/>
        <v>2.0569620253164538E-2</v>
      </c>
      <c r="Z85" s="18"/>
      <c r="AA85" s="219">
        <v>45193</v>
      </c>
      <c r="AB85" s="16">
        <v>4288.05</v>
      </c>
      <c r="AC85" s="17">
        <f t="shared" si="7"/>
        <v>-7.4096193108429548E-3</v>
      </c>
    </row>
    <row r="86" spans="3:29" x14ac:dyDescent="0.25">
      <c r="C86" s="219">
        <v>45186</v>
      </c>
      <c r="D86" s="18">
        <v>379.81</v>
      </c>
      <c r="E86" s="17">
        <f t="shared" ref="E86:E149" si="8">(D86-D87)/D87</f>
        <v>-4.315513679649316E-2</v>
      </c>
      <c r="F86" s="18"/>
      <c r="G86" s="219">
        <v>45186</v>
      </c>
      <c r="H86" s="18">
        <v>299.08</v>
      </c>
      <c r="I86" s="101">
        <f t="shared" ref="I86:I149" si="9">(H86-H87)/H87</f>
        <v>-4.0957677067031337E-3</v>
      </c>
      <c r="J86" s="18"/>
      <c r="K86" s="219">
        <v>45186</v>
      </c>
      <c r="L86" s="18">
        <v>130.25</v>
      </c>
      <c r="M86" s="101">
        <f t="shared" ref="M86:M149" si="10">(L86-L87)/L87</f>
        <v>-5.2037845705968019E-2</v>
      </c>
      <c r="N86" s="18"/>
      <c r="O86" s="219">
        <v>45186</v>
      </c>
      <c r="P86" s="18">
        <v>81.25</v>
      </c>
      <c r="Q86" s="101">
        <f t="shared" ref="Q86:Q149" si="11">(P86-P87)/P87</f>
        <v>-5.0595933629352635E-2</v>
      </c>
      <c r="R86" s="18"/>
      <c r="S86" s="219">
        <v>45186</v>
      </c>
      <c r="T86" s="18">
        <v>45.3</v>
      </c>
      <c r="U86" s="101">
        <f t="shared" ref="U86:U149" si="12">(T86-T87)/T87</f>
        <v>-8.8222320247036286E-4</v>
      </c>
      <c r="V86" s="18"/>
      <c r="W86" s="219">
        <v>45186</v>
      </c>
      <c r="X86" s="18">
        <v>12.64</v>
      </c>
      <c r="Y86" s="101">
        <f t="shared" ref="Y86:Y149" si="13">(X86-X87)/X87</f>
        <v>-0.10099573257467993</v>
      </c>
      <c r="Z86" s="18"/>
      <c r="AA86" s="219">
        <v>45186</v>
      </c>
      <c r="AB86" s="16">
        <v>4320.0600000000004</v>
      </c>
      <c r="AC86" s="17">
        <f t="shared" ref="AC86:AC149" si="14">(AB86-AB87)/AB87</f>
        <v>-2.9269805317370282E-2</v>
      </c>
    </row>
    <row r="87" spans="3:29" x14ac:dyDescent="0.25">
      <c r="C87" s="219">
        <v>45179</v>
      </c>
      <c r="D87" s="18">
        <v>396.94</v>
      </c>
      <c r="E87" s="17">
        <f t="shared" si="8"/>
        <v>-0.10356820234869019</v>
      </c>
      <c r="F87" s="18"/>
      <c r="G87" s="219">
        <v>45179</v>
      </c>
      <c r="H87" s="18">
        <v>300.31</v>
      </c>
      <c r="I87" s="101">
        <f t="shared" si="9"/>
        <v>8.1238040887576489E-3</v>
      </c>
      <c r="J87" s="18"/>
      <c r="K87" s="219">
        <v>45179</v>
      </c>
      <c r="L87" s="18">
        <v>137.4</v>
      </c>
      <c r="M87" s="101">
        <f t="shared" si="10"/>
        <v>7.4791025076991514E-3</v>
      </c>
      <c r="N87" s="18"/>
      <c r="O87" s="219">
        <v>45179</v>
      </c>
      <c r="P87" s="18">
        <v>85.58</v>
      </c>
      <c r="Q87" s="101">
        <f t="shared" si="11"/>
        <v>4.9031625398381955E-2</v>
      </c>
      <c r="R87" s="18"/>
      <c r="S87" s="219">
        <v>45179</v>
      </c>
      <c r="T87" s="18">
        <v>45.34</v>
      </c>
      <c r="U87" s="101">
        <f t="shared" si="12"/>
        <v>6.884299355984949E-3</v>
      </c>
      <c r="V87" s="18"/>
      <c r="W87" s="219">
        <v>45179</v>
      </c>
      <c r="X87" s="18">
        <v>14.06</v>
      </c>
      <c r="Y87" s="101">
        <f t="shared" si="13"/>
        <v>2.92825768667643E-2</v>
      </c>
      <c r="Z87" s="18"/>
      <c r="AA87" s="219">
        <v>45179</v>
      </c>
      <c r="AB87" s="16">
        <v>4450.32</v>
      </c>
      <c r="AC87" s="17">
        <f t="shared" si="14"/>
        <v>-1.6085285665251236E-3</v>
      </c>
    </row>
    <row r="88" spans="3:29" x14ac:dyDescent="0.25">
      <c r="C88" s="219">
        <v>45172</v>
      </c>
      <c r="D88" s="18">
        <v>442.8</v>
      </c>
      <c r="E88" s="17">
        <f t="shared" si="8"/>
        <v>6.6381740474675275E-3</v>
      </c>
      <c r="F88" s="18"/>
      <c r="G88" s="219">
        <v>45172</v>
      </c>
      <c r="H88" s="18">
        <v>297.89</v>
      </c>
      <c r="I88" s="101">
        <f t="shared" si="9"/>
        <v>5.0948107159727073E-3</v>
      </c>
      <c r="J88" s="18"/>
      <c r="K88" s="219">
        <v>45172</v>
      </c>
      <c r="L88" s="18">
        <v>136.38</v>
      </c>
      <c r="M88" s="101">
        <f t="shared" si="10"/>
        <v>5.3073861123396644E-3</v>
      </c>
      <c r="N88" s="18"/>
      <c r="O88" s="219">
        <v>45172</v>
      </c>
      <c r="P88" s="18">
        <v>81.58</v>
      </c>
      <c r="Q88" s="101">
        <f t="shared" si="11"/>
        <v>-7.3493385595299208E-4</v>
      </c>
      <c r="R88" s="18"/>
      <c r="S88" s="219">
        <v>45172</v>
      </c>
      <c r="T88" s="18">
        <v>45.03</v>
      </c>
      <c r="U88" s="101">
        <f t="shared" si="12"/>
        <v>-1.5307238136890352E-2</v>
      </c>
      <c r="V88" s="18"/>
      <c r="W88" s="219">
        <v>45172</v>
      </c>
      <c r="X88" s="18">
        <v>13.66</v>
      </c>
      <c r="Y88" s="101">
        <f t="shared" si="13"/>
        <v>7.3260073260071699E-4</v>
      </c>
      <c r="Z88" s="18"/>
      <c r="AA88" s="219">
        <v>45172</v>
      </c>
      <c r="AB88" s="16">
        <v>4457.49</v>
      </c>
      <c r="AC88" s="17">
        <f t="shared" si="14"/>
        <v>-1.2905883160568551E-2</v>
      </c>
    </row>
    <row r="89" spans="3:29" x14ac:dyDescent="0.25">
      <c r="C89" s="219">
        <v>45165</v>
      </c>
      <c r="D89" s="18">
        <v>439.88</v>
      </c>
      <c r="E89" s="17">
        <f t="shared" si="8"/>
        <v>5.7327596567555282E-2</v>
      </c>
      <c r="F89" s="18"/>
      <c r="G89" s="219">
        <v>45165</v>
      </c>
      <c r="H89" s="18">
        <v>296.38</v>
      </c>
      <c r="I89" s="101">
        <f t="shared" si="9"/>
        <v>3.8108581436077045E-2</v>
      </c>
      <c r="J89" s="18"/>
      <c r="K89" s="219">
        <v>45165</v>
      </c>
      <c r="L89" s="18">
        <v>135.66</v>
      </c>
      <c r="M89" s="101">
        <f t="shared" si="10"/>
        <v>4.4502617801047133E-2</v>
      </c>
      <c r="N89" s="18"/>
      <c r="O89" s="219">
        <v>45165</v>
      </c>
      <c r="P89" s="18">
        <v>81.64</v>
      </c>
      <c r="Q89" s="101">
        <f t="shared" si="11"/>
        <v>-2.0633397312859871E-2</v>
      </c>
      <c r="R89" s="18"/>
      <c r="S89" s="219">
        <v>45165</v>
      </c>
      <c r="T89" s="18">
        <v>45.73</v>
      </c>
      <c r="U89" s="101">
        <f t="shared" si="12"/>
        <v>5.718055861007214E-3</v>
      </c>
      <c r="V89" s="18"/>
      <c r="W89" s="219">
        <v>45165</v>
      </c>
      <c r="X89" s="18">
        <v>13.65</v>
      </c>
      <c r="Y89" s="101">
        <f t="shared" si="13"/>
        <v>-5.470914127423817E-2</v>
      </c>
      <c r="Z89" s="18"/>
      <c r="AA89" s="219">
        <v>45165</v>
      </c>
      <c r="AB89" s="16">
        <v>4515.7700000000004</v>
      </c>
      <c r="AC89" s="17">
        <f t="shared" si="14"/>
        <v>2.4981217556307701E-2</v>
      </c>
    </row>
    <row r="90" spans="3:29" x14ac:dyDescent="0.25">
      <c r="C90" s="219">
        <v>45158</v>
      </c>
      <c r="D90" s="18">
        <v>416.03</v>
      </c>
      <c r="E90" s="17">
        <f t="shared" si="8"/>
        <v>2.8428052307616247E-2</v>
      </c>
      <c r="F90" s="18"/>
      <c r="G90" s="219">
        <v>45158</v>
      </c>
      <c r="H90" s="18">
        <v>285.5</v>
      </c>
      <c r="I90" s="101">
        <f t="shared" si="9"/>
        <v>7.9435127978817292E-3</v>
      </c>
      <c r="J90" s="18"/>
      <c r="K90" s="219">
        <v>45158</v>
      </c>
      <c r="L90" s="18">
        <v>129.88</v>
      </c>
      <c r="M90" s="101">
        <f t="shared" si="10"/>
        <v>1.8986348658402652E-2</v>
      </c>
      <c r="N90" s="18"/>
      <c r="O90" s="219">
        <v>45158</v>
      </c>
      <c r="P90" s="18">
        <v>83.36</v>
      </c>
      <c r="Q90" s="101">
        <f t="shared" si="11"/>
        <v>-3.0246626337831487E-2</v>
      </c>
      <c r="R90" s="18"/>
      <c r="S90" s="219">
        <v>45158</v>
      </c>
      <c r="T90" s="18">
        <v>45.47</v>
      </c>
      <c r="U90" s="101">
        <f t="shared" si="12"/>
        <v>-6.3374125874125688E-3</v>
      </c>
      <c r="V90" s="18"/>
      <c r="W90" s="219">
        <v>45158</v>
      </c>
      <c r="X90" s="18">
        <v>14.44</v>
      </c>
      <c r="Y90" s="101">
        <f t="shared" si="13"/>
        <v>-2.4983119513842064E-2</v>
      </c>
      <c r="Z90" s="18"/>
      <c r="AA90" s="219">
        <v>45158</v>
      </c>
      <c r="AB90" s="16">
        <v>4405.71</v>
      </c>
      <c r="AC90" s="17">
        <f t="shared" si="14"/>
        <v>8.2385329918919104E-3</v>
      </c>
    </row>
    <row r="91" spans="3:29" x14ac:dyDescent="0.25">
      <c r="C91" s="219">
        <v>45151</v>
      </c>
      <c r="D91" s="18">
        <v>404.53</v>
      </c>
      <c r="E91" s="17">
        <f t="shared" si="8"/>
        <v>-4.062514822368745E-2</v>
      </c>
      <c r="F91" s="18"/>
      <c r="G91" s="219">
        <v>45151</v>
      </c>
      <c r="H91" s="18">
        <v>283.25</v>
      </c>
      <c r="I91" s="101">
        <f t="shared" si="9"/>
        <v>-6.0966715289749326E-2</v>
      </c>
      <c r="J91" s="18"/>
      <c r="K91" s="219">
        <v>45151</v>
      </c>
      <c r="L91" s="18">
        <v>127.46</v>
      </c>
      <c r="M91" s="101">
        <f t="shared" si="10"/>
        <v>-1.6208706390861444E-2</v>
      </c>
      <c r="N91" s="18"/>
      <c r="O91" s="219">
        <v>45151</v>
      </c>
      <c r="P91" s="18">
        <v>85.96</v>
      </c>
      <c r="Q91" s="101">
        <f t="shared" si="11"/>
        <v>-3.437429791058192E-2</v>
      </c>
      <c r="R91" s="18"/>
      <c r="S91" s="219">
        <v>45151</v>
      </c>
      <c r="T91" s="18">
        <v>45.76</v>
      </c>
      <c r="U91" s="101">
        <f t="shared" si="12"/>
        <v>-5.8657397349555314E-3</v>
      </c>
      <c r="V91" s="18"/>
      <c r="W91" s="219">
        <v>45151</v>
      </c>
      <c r="X91" s="18">
        <v>14.81</v>
      </c>
      <c r="Y91" s="101">
        <f t="shared" si="13"/>
        <v>-3.0124426981008454E-2</v>
      </c>
      <c r="Z91" s="18"/>
      <c r="AA91" s="219">
        <v>45151</v>
      </c>
      <c r="AB91" s="16">
        <v>4369.71</v>
      </c>
      <c r="AC91" s="17">
        <f t="shared" si="14"/>
        <v>-2.1133275836964224E-2</v>
      </c>
    </row>
    <row r="92" spans="3:29" x14ac:dyDescent="0.25">
      <c r="C92" s="219">
        <v>45144</v>
      </c>
      <c r="D92" s="18">
        <v>421.66</v>
      </c>
      <c r="E92" s="17">
        <f t="shared" si="8"/>
        <v>-2.3030583873957362E-2</v>
      </c>
      <c r="F92" s="18"/>
      <c r="G92" s="219">
        <v>45144</v>
      </c>
      <c r="H92" s="18">
        <v>301.64</v>
      </c>
      <c r="I92" s="101">
        <f t="shared" si="9"/>
        <v>-2.9253692916680177E-2</v>
      </c>
      <c r="J92" s="18"/>
      <c r="K92" s="219">
        <v>45144</v>
      </c>
      <c r="L92" s="18">
        <v>129.56</v>
      </c>
      <c r="M92" s="101">
        <f t="shared" si="10"/>
        <v>1.1318398251502526E-2</v>
      </c>
      <c r="N92" s="18"/>
      <c r="O92" s="219">
        <v>45144</v>
      </c>
      <c r="P92" s="18">
        <v>89.02</v>
      </c>
      <c r="Q92" s="101">
        <f t="shared" si="11"/>
        <v>3.1517960602549237E-2</v>
      </c>
      <c r="R92" s="18"/>
      <c r="S92" s="219">
        <v>45144</v>
      </c>
      <c r="T92" s="18">
        <v>46.03</v>
      </c>
      <c r="U92" s="101">
        <f t="shared" si="12"/>
        <v>2.6538804638715378E-2</v>
      </c>
      <c r="V92" s="18"/>
      <c r="W92" s="219">
        <v>45144</v>
      </c>
      <c r="X92" s="18">
        <v>15.27</v>
      </c>
      <c r="Y92" s="101">
        <f t="shared" si="13"/>
        <v>-2.3032629558541344E-2</v>
      </c>
      <c r="Z92" s="18"/>
      <c r="AA92" s="219">
        <v>45144</v>
      </c>
      <c r="AB92" s="16">
        <v>4464.05</v>
      </c>
      <c r="AC92" s="17">
        <f t="shared" si="14"/>
        <v>-3.1219085178079567E-3</v>
      </c>
    </row>
    <row r="93" spans="3:29" x14ac:dyDescent="0.25">
      <c r="C93" s="219">
        <v>45137</v>
      </c>
      <c r="D93" s="18">
        <v>431.6</v>
      </c>
      <c r="E93" s="17">
        <f t="shared" si="8"/>
        <v>1.3669030954953381E-2</v>
      </c>
      <c r="F93" s="18"/>
      <c r="G93" s="219">
        <v>45137</v>
      </c>
      <c r="H93" s="18">
        <v>310.73</v>
      </c>
      <c r="I93" s="101">
        <f t="shared" si="9"/>
        <v>-4.5317684650362539E-2</v>
      </c>
      <c r="J93" s="18"/>
      <c r="K93" s="219">
        <v>45137</v>
      </c>
      <c r="L93" s="18">
        <v>128.11000000000001</v>
      </c>
      <c r="M93" s="101">
        <f t="shared" si="10"/>
        <v>-3.3715492532810365E-2</v>
      </c>
      <c r="N93" s="18"/>
      <c r="O93" s="219">
        <v>45137</v>
      </c>
      <c r="P93" s="18">
        <v>86.3</v>
      </c>
      <c r="Q93" s="101">
        <f t="shared" si="11"/>
        <v>1.9737605944502696E-3</v>
      </c>
      <c r="R93" s="18"/>
      <c r="S93" s="219">
        <v>45137</v>
      </c>
      <c r="T93" s="18">
        <v>44.84</v>
      </c>
      <c r="U93" s="101">
        <f t="shared" si="12"/>
        <v>-8.6225956223743867E-3</v>
      </c>
      <c r="V93" s="18"/>
      <c r="W93" s="219">
        <v>45137</v>
      </c>
      <c r="X93" s="18">
        <v>15.63</v>
      </c>
      <c r="Y93" s="101">
        <f t="shared" si="13"/>
        <v>1.9569471624266192E-2</v>
      </c>
      <c r="Z93" s="18"/>
      <c r="AA93" s="219">
        <v>45137</v>
      </c>
      <c r="AB93" s="16">
        <v>4478.03</v>
      </c>
      <c r="AC93" s="17">
        <f t="shared" si="14"/>
        <v>-2.2740019597444875E-2</v>
      </c>
    </row>
    <row r="94" spans="3:29" x14ac:dyDescent="0.25">
      <c r="C94" s="219">
        <v>45130</v>
      </c>
      <c r="D94" s="18">
        <v>425.78</v>
      </c>
      <c r="E94" s="17">
        <f t="shared" si="8"/>
        <v>-4.0233918128655607E-3</v>
      </c>
      <c r="F94" s="18"/>
      <c r="G94" s="219">
        <v>45130</v>
      </c>
      <c r="H94" s="18">
        <v>325.48</v>
      </c>
      <c r="I94" s="101">
        <f t="shared" si="9"/>
        <v>0.10609664922177675</v>
      </c>
      <c r="J94" s="18"/>
      <c r="K94" s="219">
        <v>45130</v>
      </c>
      <c r="L94" s="18">
        <v>132.58000000000001</v>
      </c>
      <c r="M94" s="101">
        <f t="shared" si="10"/>
        <v>0.10464922512914529</v>
      </c>
      <c r="N94" s="18"/>
      <c r="O94" s="219">
        <v>45130</v>
      </c>
      <c r="P94" s="18">
        <v>86.13</v>
      </c>
      <c r="Q94" s="101">
        <f t="shared" si="11"/>
        <v>-1.2044046799724838E-2</v>
      </c>
      <c r="R94" s="18"/>
      <c r="S94" s="219">
        <v>45130</v>
      </c>
      <c r="T94" s="18">
        <v>45.23</v>
      </c>
      <c r="U94" s="101">
        <f t="shared" si="12"/>
        <v>5.455817206808105E-2</v>
      </c>
      <c r="V94" s="18"/>
      <c r="W94" s="219">
        <v>45130</v>
      </c>
      <c r="X94" s="18">
        <v>15.33</v>
      </c>
      <c r="Y94" s="101">
        <f t="shared" si="13"/>
        <v>-1.2242268041237082E-2</v>
      </c>
      <c r="Z94" s="18"/>
      <c r="AA94" s="219">
        <v>45130</v>
      </c>
      <c r="AB94" s="16">
        <v>4582.2299999999996</v>
      </c>
      <c r="AC94" s="17">
        <f t="shared" si="14"/>
        <v>1.0116084773187066E-2</v>
      </c>
    </row>
    <row r="95" spans="3:29" x14ac:dyDescent="0.25">
      <c r="C95" s="219">
        <v>45123</v>
      </c>
      <c r="D95" s="18">
        <v>427.5</v>
      </c>
      <c r="E95" s="17">
        <f t="shared" si="8"/>
        <v>-3.2608449684324914E-2</v>
      </c>
      <c r="F95" s="18"/>
      <c r="G95" s="219">
        <v>45123</v>
      </c>
      <c r="H95" s="18">
        <v>294.26</v>
      </c>
      <c r="I95" s="101">
        <f t="shared" si="9"/>
        <v>-4.7301453686016813E-2</v>
      </c>
      <c r="J95" s="18"/>
      <c r="K95" s="219">
        <v>45123</v>
      </c>
      <c r="L95" s="18">
        <v>120.02</v>
      </c>
      <c r="M95" s="101">
        <f t="shared" si="10"/>
        <v>-4.3055334077499646E-2</v>
      </c>
      <c r="N95" s="18"/>
      <c r="O95" s="219">
        <v>45123</v>
      </c>
      <c r="P95" s="18">
        <v>87.18</v>
      </c>
      <c r="Q95" s="101">
        <f t="shared" si="11"/>
        <v>-1.6249153689911956E-2</v>
      </c>
      <c r="R95" s="18"/>
      <c r="S95" s="219">
        <v>45123</v>
      </c>
      <c r="T95" s="18">
        <v>42.89</v>
      </c>
      <c r="U95" s="101">
        <f t="shared" si="12"/>
        <v>2.0947393477743458E-2</v>
      </c>
      <c r="V95" s="18"/>
      <c r="W95" s="219">
        <v>45123</v>
      </c>
      <c r="X95" s="18">
        <v>15.52</v>
      </c>
      <c r="Y95" s="101">
        <f t="shared" si="13"/>
        <v>-2.7568922305764489E-2</v>
      </c>
      <c r="Z95" s="18"/>
      <c r="AA95" s="219">
        <v>45123</v>
      </c>
      <c r="AB95" s="16">
        <v>4536.34</v>
      </c>
      <c r="AC95" s="17">
        <f t="shared" si="14"/>
        <v>6.862845195342515E-3</v>
      </c>
    </row>
    <row r="96" spans="3:29" x14ac:dyDescent="0.25">
      <c r="C96" s="219">
        <v>45116</v>
      </c>
      <c r="D96" s="18">
        <v>441.91</v>
      </c>
      <c r="E96" s="17">
        <f t="shared" si="8"/>
        <v>8.6966446016891168E-3</v>
      </c>
      <c r="F96" s="18"/>
      <c r="G96" s="219">
        <v>45116</v>
      </c>
      <c r="H96" s="18">
        <v>308.87</v>
      </c>
      <c r="I96" s="101">
        <f t="shared" si="9"/>
        <v>6.3126011083192907E-2</v>
      </c>
      <c r="J96" s="18"/>
      <c r="K96" s="219">
        <v>45116</v>
      </c>
      <c r="L96" s="18">
        <v>125.42</v>
      </c>
      <c r="M96" s="101">
        <f t="shared" si="10"/>
        <v>4.9715433545363223E-2</v>
      </c>
      <c r="N96" s="18"/>
      <c r="O96" s="219">
        <v>45116</v>
      </c>
      <c r="P96" s="18">
        <v>88.62</v>
      </c>
      <c r="Q96" s="101">
        <f t="shared" si="11"/>
        <v>-2.2563176895302371E-4</v>
      </c>
      <c r="R96" s="18"/>
      <c r="S96" s="219">
        <v>45116</v>
      </c>
      <c r="T96" s="18">
        <v>42.01</v>
      </c>
      <c r="U96" s="101">
        <f t="shared" si="12"/>
        <v>1.3999517258025545E-2</v>
      </c>
      <c r="V96" s="18"/>
      <c r="W96" s="219">
        <v>45116</v>
      </c>
      <c r="X96" s="18">
        <v>15.96</v>
      </c>
      <c r="Y96" s="101">
        <f t="shared" si="13"/>
        <v>-2.0257826887661038E-2</v>
      </c>
      <c r="Z96" s="18"/>
      <c r="AA96" s="219">
        <v>45116</v>
      </c>
      <c r="AB96" s="16">
        <v>4505.42</v>
      </c>
      <c r="AC96" s="17">
        <f t="shared" si="14"/>
        <v>2.4203503108696452E-2</v>
      </c>
    </row>
    <row r="97" spans="3:29" x14ac:dyDescent="0.25">
      <c r="C97" s="219">
        <v>45109</v>
      </c>
      <c r="D97" s="18">
        <v>438.1</v>
      </c>
      <c r="E97" s="17">
        <f t="shared" si="8"/>
        <v>-5.4257758405411843E-3</v>
      </c>
      <c r="F97" s="18"/>
      <c r="G97" s="219">
        <v>45109</v>
      </c>
      <c r="H97" s="18">
        <v>290.52999999999997</v>
      </c>
      <c r="I97" s="101">
        <f t="shared" si="9"/>
        <v>1.2370200013938095E-2</v>
      </c>
      <c r="J97" s="18"/>
      <c r="K97" s="219">
        <v>45109</v>
      </c>
      <c r="L97" s="18">
        <v>119.48</v>
      </c>
      <c r="M97" s="101">
        <f t="shared" si="10"/>
        <v>-1.8379281537176178E-3</v>
      </c>
      <c r="N97" s="18"/>
      <c r="O97" s="219">
        <v>45109</v>
      </c>
      <c r="P97" s="18">
        <v>88.64</v>
      </c>
      <c r="Q97" s="101">
        <f t="shared" si="11"/>
        <v>-7.1684587813620132E-3</v>
      </c>
      <c r="R97" s="18"/>
      <c r="S97" s="219">
        <v>45109</v>
      </c>
      <c r="T97" s="18">
        <v>41.43</v>
      </c>
      <c r="U97" s="101">
        <f t="shared" si="12"/>
        <v>-2.8880866425992167E-3</v>
      </c>
      <c r="V97" s="18"/>
      <c r="W97" s="219">
        <v>45109</v>
      </c>
      <c r="X97" s="18">
        <v>16.29</v>
      </c>
      <c r="Y97" s="101">
        <f t="shared" si="13"/>
        <v>2.3884349465744751E-2</v>
      </c>
      <c r="Z97" s="18"/>
      <c r="AA97" s="219">
        <v>45109</v>
      </c>
      <c r="AB97" s="16">
        <v>4398.95</v>
      </c>
      <c r="AC97" s="17">
        <f t="shared" si="14"/>
        <v>-1.155631653926188E-2</v>
      </c>
    </row>
    <row r="98" spans="3:29" x14ac:dyDescent="0.25">
      <c r="C98" s="219">
        <v>45102</v>
      </c>
      <c r="D98" s="18">
        <v>440.49</v>
      </c>
      <c r="E98" s="17">
        <f t="shared" si="8"/>
        <v>3.8842507428894932E-2</v>
      </c>
      <c r="F98" s="18"/>
      <c r="G98" s="219">
        <v>45102</v>
      </c>
      <c r="H98" s="18">
        <v>286.98</v>
      </c>
      <c r="I98" s="101">
        <f t="shared" si="9"/>
        <v>-6.061025871921864E-3</v>
      </c>
      <c r="J98" s="18"/>
      <c r="K98" s="219">
        <v>45102</v>
      </c>
      <c r="L98" s="18">
        <v>119.7</v>
      </c>
      <c r="M98" s="101">
        <f t="shared" si="10"/>
        <v>-2.1579205492888675E-2</v>
      </c>
      <c r="N98" s="18"/>
      <c r="O98" s="219">
        <v>45102</v>
      </c>
      <c r="P98" s="18">
        <v>89.28</v>
      </c>
      <c r="Q98" s="101">
        <f t="shared" si="11"/>
        <v>1.3393870601589182E-2</v>
      </c>
      <c r="R98" s="18"/>
      <c r="S98" s="219">
        <v>45102</v>
      </c>
      <c r="T98" s="18">
        <v>41.55</v>
      </c>
      <c r="U98" s="101">
        <f t="shared" si="12"/>
        <v>3.6418059366425386E-2</v>
      </c>
      <c r="V98" s="18"/>
      <c r="W98" s="219">
        <v>45102</v>
      </c>
      <c r="X98" s="18">
        <v>15.91</v>
      </c>
      <c r="Y98" s="101">
        <f t="shared" si="13"/>
        <v>3.5807291666666713E-2</v>
      </c>
      <c r="Z98" s="18"/>
      <c r="AA98" s="219">
        <v>45102</v>
      </c>
      <c r="AB98" s="16">
        <v>4450.38</v>
      </c>
      <c r="AC98" s="17">
        <f t="shared" si="14"/>
        <v>2.3468779968401705E-2</v>
      </c>
    </row>
    <row r="99" spans="3:29" x14ac:dyDescent="0.25">
      <c r="C99" s="219">
        <v>45095</v>
      </c>
      <c r="D99" s="18">
        <v>424.02</v>
      </c>
      <c r="E99" s="17">
        <f t="shared" si="8"/>
        <v>-1.8381331604778214E-2</v>
      </c>
      <c r="F99" s="18"/>
      <c r="G99" s="219">
        <v>45095</v>
      </c>
      <c r="H99" s="18">
        <v>288.73</v>
      </c>
      <c r="I99" s="101">
        <f t="shared" si="9"/>
        <v>2.7508896797153088E-2</v>
      </c>
      <c r="J99" s="18"/>
      <c r="K99" s="219">
        <v>45095</v>
      </c>
      <c r="L99" s="18">
        <v>122.34</v>
      </c>
      <c r="M99" s="101">
        <f t="shared" si="10"/>
        <v>-9.6332874605358845E-3</v>
      </c>
      <c r="N99" s="18"/>
      <c r="O99" s="219">
        <v>45095</v>
      </c>
      <c r="P99" s="18">
        <v>88.1</v>
      </c>
      <c r="Q99" s="101">
        <f t="shared" si="11"/>
        <v>-3.5260621988611469E-2</v>
      </c>
      <c r="R99" s="18"/>
      <c r="S99" s="219">
        <v>45095</v>
      </c>
      <c r="T99" s="18">
        <v>40.090000000000003</v>
      </c>
      <c r="U99" s="101">
        <f t="shared" si="12"/>
        <v>-2.6941747572815519E-2</v>
      </c>
      <c r="V99" s="18"/>
      <c r="W99" s="219">
        <v>45095</v>
      </c>
      <c r="X99" s="18">
        <v>15.36</v>
      </c>
      <c r="Y99" s="101">
        <f t="shared" si="13"/>
        <v>-5.6511056511056611E-2</v>
      </c>
      <c r="Z99" s="18"/>
      <c r="AA99" s="219">
        <v>45095</v>
      </c>
      <c r="AB99" s="16">
        <v>4348.33</v>
      </c>
      <c r="AC99" s="17">
        <f t="shared" si="14"/>
        <v>-1.3892448050725854E-2</v>
      </c>
    </row>
    <row r="100" spans="3:29" x14ac:dyDescent="0.25">
      <c r="C100" s="219">
        <v>45088</v>
      </c>
      <c r="D100" s="18">
        <v>431.96</v>
      </c>
      <c r="E100" s="17">
        <f t="shared" si="8"/>
        <v>2.8427217751535637E-2</v>
      </c>
      <c r="F100" s="18"/>
      <c r="G100" s="219">
        <v>45088</v>
      </c>
      <c r="H100" s="18">
        <v>281</v>
      </c>
      <c r="I100" s="101">
        <f t="shared" si="9"/>
        <v>6.0577467446688099E-2</v>
      </c>
      <c r="J100" s="18"/>
      <c r="K100" s="219">
        <v>45088</v>
      </c>
      <c r="L100" s="18">
        <v>123.53</v>
      </c>
      <c r="M100" s="101">
        <f t="shared" si="10"/>
        <v>1.0635686819929617E-2</v>
      </c>
      <c r="N100" s="18"/>
      <c r="O100" s="219">
        <v>45088</v>
      </c>
      <c r="P100" s="18">
        <v>91.32</v>
      </c>
      <c r="Q100" s="101">
        <f t="shared" si="11"/>
        <v>-6.6354835200697661E-3</v>
      </c>
      <c r="R100" s="18"/>
      <c r="S100" s="219">
        <v>45088</v>
      </c>
      <c r="T100" s="18">
        <v>41.2</v>
      </c>
      <c r="U100" s="101">
        <f t="shared" si="12"/>
        <v>2.411135968182963E-2</v>
      </c>
      <c r="V100" s="18"/>
      <c r="W100" s="219">
        <v>45088</v>
      </c>
      <c r="X100" s="18">
        <v>16.28</v>
      </c>
      <c r="Y100" s="101">
        <f t="shared" si="13"/>
        <v>1.1180124223602466E-2</v>
      </c>
      <c r="Z100" s="18"/>
      <c r="AA100" s="219">
        <v>45088</v>
      </c>
      <c r="AB100" s="16">
        <v>4409.59</v>
      </c>
      <c r="AC100" s="17">
        <f t="shared" si="14"/>
        <v>2.5757991653601299E-2</v>
      </c>
    </row>
    <row r="101" spans="3:29" x14ac:dyDescent="0.25">
      <c r="C101" s="219">
        <v>45081</v>
      </c>
      <c r="D101" s="18">
        <v>420.02</v>
      </c>
      <c r="E101" s="17">
        <f t="shared" si="8"/>
        <v>4.8817639273853103E-2</v>
      </c>
      <c r="F101" s="18"/>
      <c r="G101" s="219">
        <v>45081</v>
      </c>
      <c r="H101" s="18">
        <v>264.95</v>
      </c>
      <c r="I101" s="101">
        <f t="shared" si="9"/>
        <v>-2.8098749128792136E-2</v>
      </c>
      <c r="J101" s="18"/>
      <c r="K101" s="219">
        <v>45081</v>
      </c>
      <c r="L101" s="18">
        <v>122.23</v>
      </c>
      <c r="M101" s="101">
        <f t="shared" si="10"/>
        <v>-1.9571669206705684E-2</v>
      </c>
      <c r="N101" s="18"/>
      <c r="O101" s="219">
        <v>45081</v>
      </c>
      <c r="P101" s="18">
        <v>91.93</v>
      </c>
      <c r="Q101" s="101">
        <f t="shared" si="11"/>
        <v>1.2779552715655071E-2</v>
      </c>
      <c r="R101" s="18"/>
      <c r="S101" s="219">
        <v>45081</v>
      </c>
      <c r="T101" s="18">
        <v>40.229999999999997</v>
      </c>
      <c r="U101" s="101">
        <f t="shared" si="12"/>
        <v>2.6537381985200285E-2</v>
      </c>
      <c r="V101" s="18"/>
      <c r="W101" s="219">
        <v>45081</v>
      </c>
      <c r="X101" s="18">
        <v>16.100000000000001</v>
      </c>
      <c r="Y101" s="101">
        <f t="shared" si="13"/>
        <v>4.5454545454545525E-2</v>
      </c>
      <c r="Z101" s="18"/>
      <c r="AA101" s="219">
        <v>45081</v>
      </c>
      <c r="AB101" s="16">
        <v>4298.8599999999997</v>
      </c>
      <c r="AC101" s="17">
        <f t="shared" si="14"/>
        <v>3.8506714739734733E-3</v>
      </c>
    </row>
    <row r="102" spans="3:29" x14ac:dyDescent="0.25">
      <c r="C102" s="219">
        <v>45074</v>
      </c>
      <c r="D102" s="18">
        <v>400.47</v>
      </c>
      <c r="E102" s="17">
        <f t="shared" si="8"/>
        <v>5.698374155405414E-2</v>
      </c>
      <c r="F102" s="18"/>
      <c r="G102" s="219">
        <v>45074</v>
      </c>
      <c r="H102" s="18">
        <v>272.61</v>
      </c>
      <c r="I102" s="101">
        <f t="shared" si="9"/>
        <v>4.033735307586625E-2</v>
      </c>
      <c r="J102" s="18"/>
      <c r="K102" s="219">
        <v>45074</v>
      </c>
      <c r="L102" s="18">
        <v>124.67</v>
      </c>
      <c r="M102" s="101">
        <f t="shared" si="10"/>
        <v>4.8150228713588215E-4</v>
      </c>
      <c r="N102" s="18"/>
      <c r="O102" s="219">
        <v>45074</v>
      </c>
      <c r="P102" s="18">
        <v>90.77</v>
      </c>
      <c r="Q102" s="101">
        <f t="shared" si="11"/>
        <v>2.8089251330841426E-2</v>
      </c>
      <c r="R102" s="18"/>
      <c r="S102" s="219">
        <v>45074</v>
      </c>
      <c r="T102" s="18">
        <v>39.19</v>
      </c>
      <c r="U102" s="101">
        <f t="shared" si="12"/>
        <v>-7.3454913880445583E-3</v>
      </c>
      <c r="V102" s="18"/>
      <c r="W102" s="219">
        <v>45074</v>
      </c>
      <c r="X102" s="18">
        <v>15.4</v>
      </c>
      <c r="Y102" s="101">
        <f t="shared" si="13"/>
        <v>3.2863849765258232E-2</v>
      </c>
      <c r="Z102" s="18"/>
      <c r="AA102" s="219">
        <v>45074</v>
      </c>
      <c r="AB102" s="16">
        <v>4282.37</v>
      </c>
      <c r="AC102" s="17">
        <f t="shared" si="14"/>
        <v>1.8290551546207914E-2</v>
      </c>
    </row>
    <row r="103" spans="3:29" x14ac:dyDescent="0.25">
      <c r="C103" s="219">
        <v>45067</v>
      </c>
      <c r="D103" s="18">
        <v>378.88</v>
      </c>
      <c r="E103" s="17">
        <f t="shared" si="8"/>
        <v>3.7004598204510568E-2</v>
      </c>
      <c r="F103" s="18"/>
      <c r="G103" s="219">
        <v>45067</v>
      </c>
      <c r="H103" s="18">
        <v>262.04000000000002</v>
      </c>
      <c r="I103" s="101">
        <f t="shared" si="9"/>
        <v>6.6764370623677072E-2</v>
      </c>
      <c r="J103" s="18"/>
      <c r="K103" s="219">
        <v>45067</v>
      </c>
      <c r="L103" s="18">
        <v>124.61</v>
      </c>
      <c r="M103" s="101">
        <f t="shared" si="10"/>
        <v>1.507005539263599E-2</v>
      </c>
      <c r="N103" s="18"/>
      <c r="O103" s="219">
        <v>45067</v>
      </c>
      <c r="P103" s="18">
        <v>88.29</v>
      </c>
      <c r="Q103" s="101">
        <f t="shared" si="11"/>
        <v>-3.349753694581268E-2</v>
      </c>
      <c r="R103" s="18"/>
      <c r="S103" s="219">
        <v>45067</v>
      </c>
      <c r="T103" s="18">
        <v>39.479999999999997</v>
      </c>
      <c r="U103" s="101">
        <f t="shared" si="12"/>
        <v>-4.128217581350177E-2</v>
      </c>
      <c r="V103" s="18"/>
      <c r="W103" s="219">
        <v>45067</v>
      </c>
      <c r="X103" s="18">
        <v>14.91</v>
      </c>
      <c r="Y103" s="101">
        <f t="shared" si="13"/>
        <v>-1.7139090309822004E-2</v>
      </c>
      <c r="Z103" s="18"/>
      <c r="AA103" s="219">
        <v>45067</v>
      </c>
      <c r="AB103" s="16">
        <v>4205.45</v>
      </c>
      <c r="AC103" s="17">
        <f t="shared" si="14"/>
        <v>3.2132786893067848E-3</v>
      </c>
    </row>
    <row r="104" spans="3:29" x14ac:dyDescent="0.25">
      <c r="C104" s="219">
        <v>45060</v>
      </c>
      <c r="D104" s="18">
        <v>365.36</v>
      </c>
      <c r="E104" s="17">
        <f t="shared" si="8"/>
        <v>7.4936008708699958E-2</v>
      </c>
      <c r="F104" s="18"/>
      <c r="G104" s="219">
        <v>45060</v>
      </c>
      <c r="H104" s="18">
        <v>245.64</v>
      </c>
      <c r="I104" s="101">
        <f t="shared" si="9"/>
        <v>5.0596638296052279E-2</v>
      </c>
      <c r="J104" s="18"/>
      <c r="K104" s="219">
        <v>45060</v>
      </c>
      <c r="L104" s="18">
        <v>122.76</v>
      </c>
      <c r="M104" s="101">
        <f t="shared" si="10"/>
        <v>4.4677048761807503E-2</v>
      </c>
      <c r="N104" s="18"/>
      <c r="O104" s="219">
        <v>45060</v>
      </c>
      <c r="P104" s="18">
        <v>91.35</v>
      </c>
      <c r="Q104" s="101">
        <f t="shared" si="11"/>
        <v>-6.9572779649962014E-3</v>
      </c>
      <c r="R104" s="18"/>
      <c r="S104" s="219">
        <v>45060</v>
      </c>
      <c r="T104" s="18">
        <v>41.18</v>
      </c>
      <c r="U104" s="101">
        <f t="shared" si="12"/>
        <v>2.4123352399900492E-2</v>
      </c>
      <c r="V104" s="18"/>
      <c r="W104" s="219">
        <v>45060</v>
      </c>
      <c r="X104" s="18">
        <v>15.17</v>
      </c>
      <c r="Y104" s="101">
        <f t="shared" si="13"/>
        <v>9.9866844207723276E-3</v>
      </c>
      <c r="Z104" s="18"/>
      <c r="AA104" s="219">
        <v>45060</v>
      </c>
      <c r="AB104" s="16">
        <v>4191.9799999999996</v>
      </c>
      <c r="AC104" s="17">
        <f t="shared" si="14"/>
        <v>1.646427809353835E-2</v>
      </c>
    </row>
    <row r="105" spans="3:29" x14ac:dyDescent="0.25">
      <c r="C105" s="219">
        <v>45053</v>
      </c>
      <c r="D105" s="18">
        <v>339.89</v>
      </c>
      <c r="E105" s="17">
        <f t="shared" si="8"/>
        <v>5.3073491138926746E-2</v>
      </c>
      <c r="F105" s="18"/>
      <c r="G105" s="219">
        <v>45053</v>
      </c>
      <c r="H105" s="18">
        <v>233.81</v>
      </c>
      <c r="I105" s="101">
        <f t="shared" si="9"/>
        <v>4.424778761061952E-3</v>
      </c>
      <c r="J105" s="18"/>
      <c r="K105" s="219">
        <v>45053</v>
      </c>
      <c r="L105" s="18">
        <v>117.51</v>
      </c>
      <c r="M105" s="101">
        <f t="shared" si="10"/>
        <v>0.11310031258880376</v>
      </c>
      <c r="N105" s="18"/>
      <c r="O105" s="219">
        <v>45053</v>
      </c>
      <c r="P105" s="18">
        <v>91.99</v>
      </c>
      <c r="Q105" s="101">
        <f t="shared" si="11"/>
        <v>-8.4858734580183059E-2</v>
      </c>
      <c r="R105" s="18"/>
      <c r="S105" s="219">
        <v>45053</v>
      </c>
      <c r="T105" s="18">
        <v>40.21</v>
      </c>
      <c r="U105" s="101">
        <f t="shared" si="12"/>
        <v>-5.4415038337867639E-3</v>
      </c>
      <c r="V105" s="18"/>
      <c r="W105" s="219">
        <v>45053</v>
      </c>
      <c r="X105" s="18">
        <v>15.02</v>
      </c>
      <c r="Y105" s="101">
        <f t="shared" si="13"/>
        <v>-0.10913404507710557</v>
      </c>
      <c r="Z105" s="18"/>
      <c r="AA105" s="219">
        <v>45053</v>
      </c>
      <c r="AB105" s="16">
        <v>4124.08</v>
      </c>
      <c r="AC105" s="17">
        <f t="shared" si="14"/>
        <v>-2.9422786340284248E-3</v>
      </c>
    </row>
    <row r="106" spans="3:29" x14ac:dyDescent="0.25">
      <c r="C106" s="219">
        <v>45046</v>
      </c>
      <c r="D106" s="18">
        <v>322.76</v>
      </c>
      <c r="E106" s="17">
        <f t="shared" si="8"/>
        <v>-2.1731882520534707E-2</v>
      </c>
      <c r="F106" s="18"/>
      <c r="G106" s="219">
        <v>45046</v>
      </c>
      <c r="H106" s="18">
        <v>232.78</v>
      </c>
      <c r="I106" s="101">
        <f t="shared" si="9"/>
        <v>-3.1374833555259621E-2</v>
      </c>
      <c r="J106" s="18"/>
      <c r="K106" s="219">
        <v>45046</v>
      </c>
      <c r="L106" s="18">
        <v>105.57</v>
      </c>
      <c r="M106" s="101">
        <f t="shared" si="10"/>
        <v>-1.6489659027389698E-2</v>
      </c>
      <c r="N106" s="18"/>
      <c r="O106" s="219">
        <v>45046</v>
      </c>
      <c r="P106" s="18">
        <v>100.52</v>
      </c>
      <c r="Q106" s="101">
        <f t="shared" si="11"/>
        <v>-1.9317073170731745E-2</v>
      </c>
      <c r="R106" s="18"/>
      <c r="S106" s="219">
        <v>45046</v>
      </c>
      <c r="T106" s="18">
        <v>40.43</v>
      </c>
      <c r="U106" s="101">
        <f t="shared" si="12"/>
        <v>-2.2721779066956677E-2</v>
      </c>
      <c r="V106" s="18"/>
      <c r="W106" s="219">
        <v>45046</v>
      </c>
      <c r="X106" s="18">
        <v>16.86</v>
      </c>
      <c r="Y106" s="101">
        <f t="shared" si="13"/>
        <v>-0.27732533219031286</v>
      </c>
      <c r="Z106" s="18"/>
      <c r="AA106" s="219">
        <v>45046</v>
      </c>
      <c r="AB106" s="16">
        <v>4136.25</v>
      </c>
      <c r="AC106" s="17">
        <f t="shared" si="14"/>
        <v>-7.9698187783607474E-3</v>
      </c>
    </row>
    <row r="107" spans="3:29" x14ac:dyDescent="0.25">
      <c r="C107" s="219">
        <v>45039</v>
      </c>
      <c r="D107" s="18">
        <v>329.93</v>
      </c>
      <c r="E107" s="17">
        <f t="shared" si="8"/>
        <v>5.9454844807609866E-3</v>
      </c>
      <c r="F107" s="18"/>
      <c r="G107" s="219">
        <v>45039</v>
      </c>
      <c r="H107" s="18">
        <v>240.32</v>
      </c>
      <c r="I107" s="101">
        <f t="shared" si="9"/>
        <v>0.12884588285029833</v>
      </c>
      <c r="J107" s="18"/>
      <c r="K107" s="219">
        <v>45039</v>
      </c>
      <c r="L107" s="18">
        <v>107.34</v>
      </c>
      <c r="M107" s="101">
        <f t="shared" si="10"/>
        <v>1.8309458305663665E-2</v>
      </c>
      <c r="N107" s="18"/>
      <c r="O107" s="219">
        <v>45039</v>
      </c>
      <c r="P107" s="18">
        <v>102.5</v>
      </c>
      <c r="Q107" s="101">
        <f t="shared" si="11"/>
        <v>2.9426534096615518E-2</v>
      </c>
      <c r="R107" s="18"/>
      <c r="S107" s="219">
        <v>45039</v>
      </c>
      <c r="T107" s="18">
        <v>41.37</v>
      </c>
      <c r="U107" s="101">
        <f t="shared" si="12"/>
        <v>9.6184419713831348E-2</v>
      </c>
      <c r="V107" s="18"/>
      <c r="W107" s="219">
        <v>45039</v>
      </c>
      <c r="X107" s="18">
        <v>23.33</v>
      </c>
      <c r="Y107" s="101">
        <f t="shared" si="13"/>
        <v>3.5508211273856949E-2</v>
      </c>
      <c r="Z107" s="18"/>
      <c r="AA107" s="219">
        <v>45039</v>
      </c>
      <c r="AB107" s="16">
        <v>4169.4799999999996</v>
      </c>
      <c r="AC107" s="17">
        <f t="shared" si="14"/>
        <v>8.6996071145171959E-3</v>
      </c>
    </row>
    <row r="108" spans="3:29" x14ac:dyDescent="0.25">
      <c r="C108" s="219">
        <v>45032</v>
      </c>
      <c r="D108" s="18">
        <v>327.98</v>
      </c>
      <c r="E108" s="17">
        <f t="shared" si="8"/>
        <v>-3.1450255441041776E-2</v>
      </c>
      <c r="F108" s="18"/>
      <c r="G108" s="219">
        <v>45032</v>
      </c>
      <c r="H108" s="18">
        <v>212.89</v>
      </c>
      <c r="I108" s="101">
        <f t="shared" si="9"/>
        <v>-3.8827938055894275E-2</v>
      </c>
      <c r="J108" s="18"/>
      <c r="K108" s="219">
        <v>45032</v>
      </c>
      <c r="L108" s="18">
        <v>105.41</v>
      </c>
      <c r="M108" s="101">
        <f t="shared" si="10"/>
        <v>-3.1781023238725156E-2</v>
      </c>
      <c r="N108" s="18"/>
      <c r="O108" s="219">
        <v>45032</v>
      </c>
      <c r="P108" s="18">
        <v>99.57</v>
      </c>
      <c r="Q108" s="101">
        <f t="shared" si="11"/>
        <v>-3.3033033033034284E-3</v>
      </c>
      <c r="R108" s="18"/>
      <c r="S108" s="219">
        <v>45032</v>
      </c>
      <c r="T108" s="18">
        <v>37.74</v>
      </c>
      <c r="U108" s="101">
        <f t="shared" si="12"/>
        <v>-5.7955742887249436E-3</v>
      </c>
      <c r="V108" s="18"/>
      <c r="W108" s="219">
        <v>45032</v>
      </c>
      <c r="X108" s="18">
        <v>22.53</v>
      </c>
      <c r="Y108" s="101">
        <f t="shared" si="13"/>
        <v>4.4022242817423674E-2</v>
      </c>
      <c r="Z108" s="18"/>
      <c r="AA108" s="219">
        <v>45032</v>
      </c>
      <c r="AB108" s="16">
        <v>4133.5200000000004</v>
      </c>
      <c r="AC108" s="17">
        <f t="shared" si="14"/>
        <v>-9.95736700147884E-4</v>
      </c>
    </row>
    <row r="109" spans="3:29" x14ac:dyDescent="0.25">
      <c r="C109" s="219">
        <v>45025</v>
      </c>
      <c r="D109" s="18">
        <v>338.63</v>
      </c>
      <c r="E109" s="17">
        <f t="shared" si="8"/>
        <v>-2.062888633483596E-3</v>
      </c>
      <c r="F109" s="18"/>
      <c r="G109" s="219">
        <v>45025</v>
      </c>
      <c r="H109" s="18">
        <v>221.49</v>
      </c>
      <c r="I109" s="101">
        <f t="shared" si="9"/>
        <v>2.4942156409069945E-2</v>
      </c>
      <c r="J109" s="18"/>
      <c r="K109" s="219">
        <v>45025</v>
      </c>
      <c r="L109" s="18">
        <v>108.87</v>
      </c>
      <c r="M109" s="101">
        <f t="shared" si="10"/>
        <v>4.1505257332595724E-3</v>
      </c>
      <c r="N109" s="18"/>
      <c r="O109" s="219">
        <v>45025</v>
      </c>
      <c r="P109" s="18">
        <v>99.9</v>
      </c>
      <c r="Q109" s="101">
        <f t="shared" si="11"/>
        <v>-7.0021006301883748E-4</v>
      </c>
      <c r="R109" s="18"/>
      <c r="S109" s="219">
        <v>45025</v>
      </c>
      <c r="T109" s="18">
        <v>37.96</v>
      </c>
      <c r="U109" s="101">
        <f t="shared" si="12"/>
        <v>7.1637039002388735E-3</v>
      </c>
      <c r="V109" s="18"/>
      <c r="W109" s="219">
        <v>45025</v>
      </c>
      <c r="X109" s="18">
        <v>21.58</v>
      </c>
      <c r="Y109" s="101">
        <f t="shared" si="13"/>
        <v>-3.6934441366575184E-3</v>
      </c>
      <c r="Z109" s="18"/>
      <c r="AA109" s="219">
        <v>45025</v>
      </c>
      <c r="AB109" s="16">
        <v>4137.6400000000003</v>
      </c>
      <c r="AC109" s="17">
        <f t="shared" si="14"/>
        <v>7.9463681053928824E-3</v>
      </c>
    </row>
    <row r="110" spans="3:29" x14ac:dyDescent="0.25">
      <c r="C110" s="219">
        <v>45018</v>
      </c>
      <c r="D110" s="18">
        <v>339.33</v>
      </c>
      <c r="E110" s="17">
        <f t="shared" si="8"/>
        <v>-1.7801319902744105E-2</v>
      </c>
      <c r="F110" s="18"/>
      <c r="G110" s="219">
        <v>45018</v>
      </c>
      <c r="H110" s="18">
        <v>216.1</v>
      </c>
      <c r="I110" s="101">
        <f t="shared" si="9"/>
        <v>1.9628196659431899E-2</v>
      </c>
      <c r="J110" s="18"/>
      <c r="K110" s="219">
        <v>45018</v>
      </c>
      <c r="L110" s="18">
        <v>108.42</v>
      </c>
      <c r="M110" s="101">
        <f t="shared" si="10"/>
        <v>4.5213535139303936E-2</v>
      </c>
      <c r="N110" s="18"/>
      <c r="O110" s="219">
        <v>45018</v>
      </c>
      <c r="P110" s="18">
        <v>99.97</v>
      </c>
      <c r="Q110" s="101">
        <f t="shared" si="11"/>
        <v>-1.5979227004893298E-3</v>
      </c>
      <c r="R110" s="18"/>
      <c r="S110" s="219">
        <v>45018</v>
      </c>
      <c r="T110" s="18">
        <v>37.69</v>
      </c>
      <c r="U110" s="101">
        <f t="shared" si="12"/>
        <v>-5.8032181482458155E-3</v>
      </c>
      <c r="V110" s="18"/>
      <c r="W110" s="219">
        <v>45018</v>
      </c>
      <c r="X110" s="18">
        <v>21.66</v>
      </c>
      <c r="Y110" s="101">
        <f t="shared" si="13"/>
        <v>-2.9134917077543641E-2</v>
      </c>
      <c r="Z110" s="18"/>
      <c r="AA110" s="219">
        <v>45018</v>
      </c>
      <c r="AB110" s="16">
        <v>4105.0200000000004</v>
      </c>
      <c r="AC110" s="17">
        <f t="shared" si="14"/>
        <v>-1.0439708856231249E-3</v>
      </c>
    </row>
    <row r="111" spans="3:29" x14ac:dyDescent="0.25">
      <c r="C111" s="219">
        <v>45011</v>
      </c>
      <c r="D111" s="18">
        <v>345.48</v>
      </c>
      <c r="E111" s="17">
        <f t="shared" si="8"/>
        <v>5.2041779591339668E-2</v>
      </c>
      <c r="F111" s="18"/>
      <c r="G111" s="219">
        <v>45011</v>
      </c>
      <c r="H111" s="18">
        <v>211.94</v>
      </c>
      <c r="I111" s="101">
        <f t="shared" si="9"/>
        <v>2.8785010436386618E-2</v>
      </c>
      <c r="J111" s="18"/>
      <c r="K111" s="219">
        <v>45011</v>
      </c>
      <c r="L111" s="18">
        <v>103.73</v>
      </c>
      <c r="M111" s="101">
        <f t="shared" si="10"/>
        <v>-1.6217754172989318E-2</v>
      </c>
      <c r="N111" s="18"/>
      <c r="O111" s="219">
        <v>45011</v>
      </c>
      <c r="P111" s="18">
        <v>100.13</v>
      </c>
      <c r="Q111" s="101">
        <f t="shared" si="11"/>
        <v>6.4306972789115624E-2</v>
      </c>
      <c r="R111" s="18"/>
      <c r="S111" s="219">
        <v>45011</v>
      </c>
      <c r="T111" s="18">
        <v>37.909999999999997</v>
      </c>
      <c r="U111" s="101">
        <f t="shared" si="12"/>
        <v>5.5400890868596737E-2</v>
      </c>
      <c r="V111" s="18"/>
      <c r="W111" s="219">
        <v>45011</v>
      </c>
      <c r="X111" s="18">
        <v>22.31</v>
      </c>
      <c r="Y111" s="101">
        <f t="shared" si="13"/>
        <v>0.10281759762728612</v>
      </c>
      <c r="Z111" s="18"/>
      <c r="AA111" s="219">
        <v>45011</v>
      </c>
      <c r="AB111" s="16">
        <v>4109.3100000000004</v>
      </c>
      <c r="AC111" s="17">
        <f t="shared" si="14"/>
        <v>3.4832623602678581E-2</v>
      </c>
    </row>
    <row r="112" spans="3:29" x14ac:dyDescent="0.25">
      <c r="C112" s="219">
        <v>45004</v>
      </c>
      <c r="D112" s="18">
        <v>328.39</v>
      </c>
      <c r="E112" s="17">
        <f t="shared" si="8"/>
        <v>8.2009884678747896E-2</v>
      </c>
      <c r="F112" s="18"/>
      <c r="G112" s="219">
        <v>45004</v>
      </c>
      <c r="H112" s="18">
        <v>206.01</v>
      </c>
      <c r="I112" s="101">
        <f t="shared" si="9"/>
        <v>5.3167016001226808E-2</v>
      </c>
      <c r="J112" s="18"/>
      <c r="K112" s="219">
        <v>45004</v>
      </c>
      <c r="L112" s="18">
        <v>105.44</v>
      </c>
      <c r="M112" s="101">
        <f t="shared" si="10"/>
        <v>3.7591025388702945E-2</v>
      </c>
      <c r="N112" s="18"/>
      <c r="O112" s="219">
        <v>45004</v>
      </c>
      <c r="P112" s="18">
        <v>94.08</v>
      </c>
      <c r="Q112" s="101">
        <f t="shared" si="11"/>
        <v>9.4420600858368606E-3</v>
      </c>
      <c r="R112" s="18"/>
      <c r="S112" s="219">
        <v>45004</v>
      </c>
      <c r="T112" s="18">
        <v>35.92</v>
      </c>
      <c r="U112" s="101">
        <f t="shared" si="12"/>
        <v>-3.0530113794060348E-3</v>
      </c>
      <c r="V112" s="18"/>
      <c r="W112" s="219">
        <v>45004</v>
      </c>
      <c r="X112" s="18">
        <v>20.23</v>
      </c>
      <c r="Y112" s="101">
        <f t="shared" si="13"/>
        <v>2.6903553299492445E-2</v>
      </c>
      <c r="Z112" s="18"/>
      <c r="AA112" s="219">
        <v>45004</v>
      </c>
      <c r="AB112" s="16">
        <v>3970.99</v>
      </c>
      <c r="AC112" s="17">
        <f t="shared" si="14"/>
        <v>1.3876690224273845E-2</v>
      </c>
    </row>
    <row r="113" spans="3:29" x14ac:dyDescent="0.25">
      <c r="C113" s="219">
        <v>44997</v>
      </c>
      <c r="D113" s="18">
        <v>303.5</v>
      </c>
      <c r="E113" s="17">
        <f t="shared" si="8"/>
        <v>3.6685339527257853E-2</v>
      </c>
      <c r="F113" s="18"/>
      <c r="G113" s="219">
        <v>44997</v>
      </c>
      <c r="H113" s="18">
        <v>195.61</v>
      </c>
      <c r="I113" s="101">
        <f t="shared" si="9"/>
        <v>8.968859673555804E-2</v>
      </c>
      <c r="J113" s="18"/>
      <c r="K113" s="219">
        <v>44997</v>
      </c>
      <c r="L113" s="18">
        <v>101.62</v>
      </c>
      <c r="M113" s="101">
        <f t="shared" si="10"/>
        <v>0.1212622751848175</v>
      </c>
      <c r="N113" s="18"/>
      <c r="O113" s="219">
        <v>44997</v>
      </c>
      <c r="P113" s="18">
        <v>93.2</v>
      </c>
      <c r="Q113" s="101">
        <f t="shared" si="11"/>
        <v>-3.954258843646365E-3</v>
      </c>
      <c r="R113" s="18"/>
      <c r="S113" s="219">
        <v>44997</v>
      </c>
      <c r="T113" s="18">
        <v>36.03</v>
      </c>
      <c r="U113" s="101">
        <f t="shared" si="12"/>
        <v>2.0390824129141852E-2</v>
      </c>
      <c r="V113" s="18"/>
      <c r="W113" s="219">
        <v>44997</v>
      </c>
      <c r="X113" s="18">
        <v>19.7</v>
      </c>
      <c r="Y113" s="101">
        <f t="shared" si="13"/>
        <v>-9.5525389643037334E-3</v>
      </c>
      <c r="Z113" s="18"/>
      <c r="AA113" s="219">
        <v>44997</v>
      </c>
      <c r="AB113" s="16">
        <v>3916.64</v>
      </c>
      <c r="AC113" s="17">
        <f t="shared" si="14"/>
        <v>1.4255785829153204E-2</v>
      </c>
    </row>
    <row r="114" spans="3:29" x14ac:dyDescent="0.25">
      <c r="C114" s="219">
        <v>44990</v>
      </c>
      <c r="D114" s="18">
        <v>292.76</v>
      </c>
      <c r="E114" s="17">
        <f t="shared" si="8"/>
        <v>-7.1133955200203103E-2</v>
      </c>
      <c r="F114" s="18"/>
      <c r="G114" s="219">
        <v>44990</v>
      </c>
      <c r="H114" s="18">
        <v>179.51</v>
      </c>
      <c r="I114" s="101">
        <f t="shared" si="9"/>
        <v>-3.0985155195681562E-2</v>
      </c>
      <c r="J114" s="18"/>
      <c r="K114" s="219">
        <v>44990</v>
      </c>
      <c r="L114" s="18">
        <v>90.63</v>
      </c>
      <c r="M114" s="101">
        <f t="shared" si="10"/>
        <v>-3.2247730912973949E-2</v>
      </c>
      <c r="N114" s="18"/>
      <c r="O114" s="219">
        <v>44990</v>
      </c>
      <c r="P114" s="18">
        <v>93.57</v>
      </c>
      <c r="Q114" s="101">
        <f t="shared" si="11"/>
        <v>-7.4846747083251008E-2</v>
      </c>
      <c r="R114" s="18"/>
      <c r="S114" s="219">
        <v>44990</v>
      </c>
      <c r="T114" s="18">
        <v>35.31</v>
      </c>
      <c r="U114" s="101">
        <f t="shared" si="12"/>
        <v>-5.1571313456889464E-2</v>
      </c>
      <c r="V114" s="18"/>
      <c r="W114" s="219">
        <v>44990</v>
      </c>
      <c r="X114" s="18">
        <v>19.89</v>
      </c>
      <c r="Y114" s="101">
        <f t="shared" si="13"/>
        <v>-0.11952191235059757</v>
      </c>
      <c r="Z114" s="18"/>
      <c r="AA114" s="219">
        <v>44990</v>
      </c>
      <c r="AB114" s="16">
        <v>3861.59</v>
      </c>
      <c r="AC114" s="17">
        <f t="shared" si="14"/>
        <v>-4.5493420076922253E-2</v>
      </c>
    </row>
    <row r="115" spans="3:29" x14ac:dyDescent="0.25">
      <c r="C115" s="219">
        <v>44983</v>
      </c>
      <c r="D115" s="18">
        <v>315.18</v>
      </c>
      <c r="E115" s="17">
        <f t="shared" si="8"/>
        <v>-6.2115718114455955E-3</v>
      </c>
      <c r="F115" s="18"/>
      <c r="G115" s="219">
        <v>44983</v>
      </c>
      <c r="H115" s="18">
        <v>185.25</v>
      </c>
      <c r="I115" s="101">
        <f t="shared" si="9"/>
        <v>8.721169082692655E-2</v>
      </c>
      <c r="J115" s="18"/>
      <c r="K115" s="219">
        <v>44983</v>
      </c>
      <c r="L115" s="18">
        <v>93.65</v>
      </c>
      <c r="M115" s="101">
        <f t="shared" si="10"/>
        <v>5.071244249971963E-2</v>
      </c>
      <c r="N115" s="18"/>
      <c r="O115" s="219">
        <v>44983</v>
      </c>
      <c r="P115" s="18">
        <v>101.14</v>
      </c>
      <c r="Q115" s="101">
        <f t="shared" si="11"/>
        <v>8.3748753738783991E-3</v>
      </c>
      <c r="R115" s="18"/>
      <c r="S115" s="219">
        <v>44983</v>
      </c>
      <c r="T115" s="18">
        <v>37.229999999999997</v>
      </c>
      <c r="U115" s="101">
        <f t="shared" si="12"/>
        <v>6.2162162162161319E-3</v>
      </c>
      <c r="V115" s="18"/>
      <c r="W115" s="219">
        <v>44983</v>
      </c>
      <c r="X115" s="18">
        <v>22.59</v>
      </c>
      <c r="Y115" s="101">
        <f t="shared" si="13"/>
        <v>1.3004484304932697E-2</v>
      </c>
      <c r="Z115" s="18"/>
      <c r="AA115" s="219">
        <v>44983</v>
      </c>
      <c r="AB115" s="16">
        <v>4045.64</v>
      </c>
      <c r="AC115" s="17">
        <f t="shared" si="14"/>
        <v>1.9042629293407599E-2</v>
      </c>
    </row>
    <row r="116" spans="3:29" x14ac:dyDescent="0.25">
      <c r="C116" s="219">
        <v>44976</v>
      </c>
      <c r="D116" s="18">
        <v>317.14999999999998</v>
      </c>
      <c r="E116" s="17">
        <f t="shared" si="8"/>
        <v>-8.8544660305782286E-2</v>
      </c>
      <c r="F116" s="18"/>
      <c r="G116" s="219">
        <v>44976</v>
      </c>
      <c r="H116" s="18">
        <v>170.39</v>
      </c>
      <c r="I116" s="101">
        <f t="shared" si="9"/>
        <v>-1.4403054141601163E-2</v>
      </c>
      <c r="J116" s="18"/>
      <c r="K116" s="219">
        <v>44976</v>
      </c>
      <c r="L116" s="18">
        <v>89.13</v>
      </c>
      <c r="M116" s="101">
        <f t="shared" si="10"/>
        <v>-5.5325914149443552E-2</v>
      </c>
      <c r="N116" s="18"/>
      <c r="O116" s="219">
        <v>44976</v>
      </c>
      <c r="P116" s="18">
        <v>100.3</v>
      </c>
      <c r="Q116" s="101">
        <f t="shared" si="11"/>
        <v>-4.6759171260216705E-2</v>
      </c>
      <c r="R116" s="18"/>
      <c r="S116" s="219">
        <v>44976</v>
      </c>
      <c r="T116" s="18">
        <v>37</v>
      </c>
      <c r="U116" s="101">
        <f t="shared" si="12"/>
        <v>-5.4192229038854747E-2</v>
      </c>
      <c r="V116" s="18"/>
      <c r="W116" s="219">
        <v>44976</v>
      </c>
      <c r="X116" s="18">
        <v>22.3</v>
      </c>
      <c r="Y116" s="101">
        <f t="shared" si="13"/>
        <v>-5.8674546222034635E-2</v>
      </c>
      <c r="Z116" s="18"/>
      <c r="AA116" s="219">
        <v>44976</v>
      </c>
      <c r="AB116" s="16">
        <v>3970.04</v>
      </c>
      <c r="AC116" s="17">
        <f t="shared" si="14"/>
        <v>-2.6733903885425469E-2</v>
      </c>
    </row>
    <row r="117" spans="3:29" x14ac:dyDescent="0.25">
      <c r="C117" s="219">
        <v>44969</v>
      </c>
      <c r="D117" s="18">
        <v>347.96</v>
      </c>
      <c r="E117" s="17">
        <f t="shared" si="8"/>
        <v>1.7273146015660003E-3</v>
      </c>
      <c r="F117" s="18"/>
      <c r="G117" s="219">
        <v>44969</v>
      </c>
      <c r="H117" s="18">
        <v>172.88</v>
      </c>
      <c r="I117" s="101">
        <f t="shared" si="9"/>
        <v>-7.2925638817112268E-3</v>
      </c>
      <c r="J117" s="18"/>
      <c r="K117" s="219">
        <v>44969</v>
      </c>
      <c r="L117" s="18">
        <v>94.35</v>
      </c>
      <c r="M117" s="101">
        <f t="shared" si="10"/>
        <v>-2.3263191286877326E-3</v>
      </c>
      <c r="N117" s="18"/>
      <c r="O117" s="219">
        <v>44969</v>
      </c>
      <c r="P117" s="18">
        <v>105.22</v>
      </c>
      <c r="Q117" s="101">
        <f t="shared" si="11"/>
        <v>-2.6281695354432755E-2</v>
      </c>
      <c r="R117" s="18"/>
      <c r="S117" s="219">
        <v>44969</v>
      </c>
      <c r="T117" s="18">
        <v>39.119999999999997</v>
      </c>
      <c r="U117" s="101">
        <f t="shared" si="12"/>
        <v>1.9812304483837279E-2</v>
      </c>
      <c r="V117" s="18"/>
      <c r="W117" s="219">
        <v>44969</v>
      </c>
      <c r="X117" s="18">
        <v>23.69</v>
      </c>
      <c r="Y117" s="101">
        <f t="shared" si="13"/>
        <v>9.7267253358036196E-2</v>
      </c>
      <c r="Z117" s="18"/>
      <c r="AA117" s="219">
        <v>44969</v>
      </c>
      <c r="AB117" s="16">
        <v>4079.09</v>
      </c>
      <c r="AC117" s="17">
        <f t="shared" si="14"/>
        <v>-2.779638475868213E-3</v>
      </c>
    </row>
    <row r="118" spans="3:29" x14ac:dyDescent="0.25">
      <c r="C118" s="219">
        <v>44962</v>
      </c>
      <c r="D118" s="18">
        <v>347.36</v>
      </c>
      <c r="E118" s="17">
        <f t="shared" si="8"/>
        <v>-5.0669581852965197E-2</v>
      </c>
      <c r="F118" s="18"/>
      <c r="G118" s="219">
        <v>44962</v>
      </c>
      <c r="H118" s="18">
        <v>174.15</v>
      </c>
      <c r="I118" s="101">
        <f t="shared" si="9"/>
        <v>-6.6370020908164878E-2</v>
      </c>
      <c r="J118" s="18"/>
      <c r="K118" s="219">
        <v>44962</v>
      </c>
      <c r="L118" s="18">
        <v>94.57</v>
      </c>
      <c r="M118" s="101">
        <f t="shared" si="10"/>
        <v>-9.744225997327742E-2</v>
      </c>
      <c r="N118" s="18"/>
      <c r="O118" s="219">
        <v>44962</v>
      </c>
      <c r="P118" s="18">
        <v>108.06</v>
      </c>
      <c r="Q118" s="101">
        <f t="shared" si="11"/>
        <v>-2.3936410441694443E-2</v>
      </c>
      <c r="R118" s="18"/>
      <c r="S118" s="219">
        <v>44962</v>
      </c>
      <c r="T118" s="18">
        <v>38.36</v>
      </c>
      <c r="U118" s="101">
        <f t="shared" si="12"/>
        <v>-4.02802101576182E-2</v>
      </c>
      <c r="V118" s="18"/>
      <c r="W118" s="219">
        <v>44962</v>
      </c>
      <c r="X118" s="18">
        <v>21.59</v>
      </c>
      <c r="Y118" s="101">
        <f t="shared" si="13"/>
        <v>-0.12235772357723583</v>
      </c>
      <c r="Z118" s="18"/>
      <c r="AA118" s="219">
        <v>44962</v>
      </c>
      <c r="AB118" s="16">
        <v>4090.46</v>
      </c>
      <c r="AC118" s="17">
        <f t="shared" si="14"/>
        <v>-1.1125401307391678E-2</v>
      </c>
    </row>
    <row r="119" spans="3:29" x14ac:dyDescent="0.25">
      <c r="C119" s="219">
        <v>44955</v>
      </c>
      <c r="D119" s="18">
        <v>365.9</v>
      </c>
      <c r="E119" s="17">
        <f t="shared" si="8"/>
        <v>1.4219585885744368E-2</v>
      </c>
      <c r="F119" s="18"/>
      <c r="G119" s="219">
        <v>44955</v>
      </c>
      <c r="H119" s="18">
        <v>186.53</v>
      </c>
      <c r="I119" s="101">
        <f t="shared" si="9"/>
        <v>0.22927375774350855</v>
      </c>
      <c r="J119" s="18"/>
      <c r="K119" s="219">
        <v>44955</v>
      </c>
      <c r="L119" s="18">
        <v>104.78</v>
      </c>
      <c r="M119" s="101">
        <f t="shared" si="10"/>
        <v>5.4442990842306492E-2</v>
      </c>
      <c r="N119" s="18"/>
      <c r="O119" s="219">
        <v>44955</v>
      </c>
      <c r="P119" s="18">
        <v>110.71</v>
      </c>
      <c r="Q119" s="101">
        <f t="shared" si="11"/>
        <v>1.0681029760817851E-2</v>
      </c>
      <c r="R119" s="18"/>
      <c r="S119" s="219">
        <v>44955</v>
      </c>
      <c r="T119" s="18">
        <v>39.97</v>
      </c>
      <c r="U119" s="101">
        <f t="shared" si="12"/>
        <v>9.3434343434342787E-3</v>
      </c>
      <c r="V119" s="18"/>
      <c r="W119" s="219">
        <v>44955</v>
      </c>
      <c r="X119" s="18">
        <v>24.6</v>
      </c>
      <c r="Y119" s="101">
        <f t="shared" si="13"/>
        <v>6.631989596879069E-2</v>
      </c>
      <c r="Z119" s="18"/>
      <c r="AA119" s="219">
        <v>44955</v>
      </c>
      <c r="AB119" s="16">
        <v>4136.4799999999996</v>
      </c>
      <c r="AC119" s="17">
        <f t="shared" si="14"/>
        <v>1.6194331983805575E-2</v>
      </c>
    </row>
    <row r="120" spans="3:29" x14ac:dyDescent="0.25">
      <c r="C120" s="219">
        <v>44948</v>
      </c>
      <c r="D120" s="18">
        <v>360.77</v>
      </c>
      <c r="E120" s="17">
        <f t="shared" si="8"/>
        <v>5.3343065693430607E-2</v>
      </c>
      <c r="F120" s="18"/>
      <c r="G120" s="219">
        <v>44948</v>
      </c>
      <c r="H120" s="18">
        <v>151.74</v>
      </c>
      <c r="I120" s="101">
        <f t="shared" si="9"/>
        <v>8.8756547320083257E-2</v>
      </c>
      <c r="J120" s="18"/>
      <c r="K120" s="219">
        <v>44948</v>
      </c>
      <c r="L120" s="18">
        <v>99.37</v>
      </c>
      <c r="M120" s="101">
        <f t="shared" si="10"/>
        <v>1.377269944909211E-2</v>
      </c>
      <c r="N120" s="18"/>
      <c r="O120" s="219">
        <v>44948</v>
      </c>
      <c r="P120" s="18">
        <v>109.54</v>
      </c>
      <c r="Q120" s="101">
        <f t="shared" si="11"/>
        <v>5.8562040974101295E-2</v>
      </c>
      <c r="R120" s="18"/>
      <c r="S120" s="219">
        <v>44948</v>
      </c>
      <c r="T120" s="18">
        <v>39.6</v>
      </c>
      <c r="U120" s="101">
        <f t="shared" si="12"/>
        <v>5.8420116840234692E-3</v>
      </c>
      <c r="V120" s="18"/>
      <c r="W120" s="219">
        <v>44948</v>
      </c>
      <c r="X120" s="18">
        <v>23.07</v>
      </c>
      <c r="Y120" s="101">
        <f t="shared" si="13"/>
        <v>0.13645320197044333</v>
      </c>
      <c r="Z120" s="18"/>
      <c r="AA120" s="219">
        <v>44948</v>
      </c>
      <c r="AB120" s="16">
        <v>4070.56</v>
      </c>
      <c r="AC120" s="17">
        <f t="shared" si="14"/>
        <v>2.4656334248768397E-2</v>
      </c>
    </row>
    <row r="121" spans="3:29" x14ac:dyDescent="0.25">
      <c r="C121" s="219">
        <v>44941</v>
      </c>
      <c r="D121" s="18">
        <v>342.5</v>
      </c>
      <c r="E121" s="17">
        <f t="shared" si="8"/>
        <v>2.9084790577489354E-2</v>
      </c>
      <c r="F121" s="18"/>
      <c r="G121" s="219">
        <v>44941</v>
      </c>
      <c r="H121" s="18">
        <v>139.37</v>
      </c>
      <c r="I121" s="101">
        <f t="shared" si="9"/>
        <v>1.7447802598919659E-2</v>
      </c>
      <c r="J121" s="18"/>
      <c r="K121" s="219">
        <v>44941</v>
      </c>
      <c r="L121" s="18">
        <v>98.02</v>
      </c>
      <c r="M121" s="101">
        <f t="shared" si="10"/>
        <v>6.4046895353886135E-2</v>
      </c>
      <c r="N121" s="18"/>
      <c r="O121" s="219">
        <v>44941</v>
      </c>
      <c r="P121" s="18">
        <v>103.48</v>
      </c>
      <c r="Q121" s="101">
        <f t="shared" si="11"/>
        <v>4.1046277665995959E-2</v>
      </c>
      <c r="R121" s="18"/>
      <c r="S121" s="219">
        <v>44941</v>
      </c>
      <c r="T121" s="18">
        <v>39.369999999999997</v>
      </c>
      <c r="U121" s="101">
        <f t="shared" si="12"/>
        <v>1.1302337528897964E-2</v>
      </c>
      <c r="V121" s="18"/>
      <c r="W121" s="219">
        <v>44941</v>
      </c>
      <c r="X121" s="18">
        <v>20.3</v>
      </c>
      <c r="Y121" s="101">
        <f t="shared" si="13"/>
        <v>1.1964107676969192E-2</v>
      </c>
      <c r="Z121" s="18"/>
      <c r="AA121" s="219">
        <v>44941</v>
      </c>
      <c r="AB121" s="16">
        <v>3972.61</v>
      </c>
      <c r="AC121" s="17">
        <f t="shared" si="14"/>
        <v>-6.6215063927043448E-3</v>
      </c>
    </row>
    <row r="122" spans="3:29" x14ac:dyDescent="0.25">
      <c r="C122" s="219">
        <v>44934</v>
      </c>
      <c r="D122" s="18">
        <v>332.82</v>
      </c>
      <c r="E122" s="17">
        <f t="shared" si="8"/>
        <v>5.4729836792901221E-2</v>
      </c>
      <c r="F122" s="18"/>
      <c r="G122" s="219">
        <v>44934</v>
      </c>
      <c r="H122" s="18">
        <v>136.97999999999999</v>
      </c>
      <c r="I122" s="101">
        <f t="shared" si="9"/>
        <v>5.3530226119058444E-2</v>
      </c>
      <c r="J122" s="18"/>
      <c r="K122" s="219">
        <v>44934</v>
      </c>
      <c r="L122" s="18">
        <v>92.12</v>
      </c>
      <c r="M122" s="101">
        <f t="shared" si="10"/>
        <v>5.4728646668193277E-2</v>
      </c>
      <c r="N122" s="18"/>
      <c r="O122" s="219">
        <v>44934</v>
      </c>
      <c r="P122" s="18">
        <v>99.4</v>
      </c>
      <c r="Q122" s="101">
        <f t="shared" si="11"/>
        <v>5.8347529812606512E-2</v>
      </c>
      <c r="R122" s="18"/>
      <c r="S122" s="219">
        <v>44934</v>
      </c>
      <c r="T122" s="18">
        <v>38.93</v>
      </c>
      <c r="U122" s="101">
        <f t="shared" si="12"/>
        <v>2.7447875428873031E-2</v>
      </c>
      <c r="V122" s="18"/>
      <c r="W122" s="219">
        <v>44934</v>
      </c>
      <c r="X122" s="18">
        <v>20.059999999999999</v>
      </c>
      <c r="Y122" s="101">
        <f t="shared" si="13"/>
        <v>5.4125065685759199E-2</v>
      </c>
      <c r="Z122" s="18"/>
      <c r="AA122" s="219">
        <v>44934</v>
      </c>
      <c r="AB122" s="16">
        <v>3999.09</v>
      </c>
      <c r="AC122" s="17">
        <f t="shared" si="14"/>
        <v>2.6702917526726079E-2</v>
      </c>
    </row>
    <row r="123" spans="3:29" x14ac:dyDescent="0.25">
      <c r="C123" s="219">
        <v>44927</v>
      </c>
      <c r="D123" s="18">
        <v>315.55</v>
      </c>
      <c r="E123" s="17">
        <f t="shared" si="8"/>
        <v>7.0096310363537764E-2</v>
      </c>
      <c r="F123" s="18"/>
      <c r="G123" s="219">
        <v>44927</v>
      </c>
      <c r="H123" s="18">
        <v>130.02000000000001</v>
      </c>
      <c r="I123" s="101">
        <f t="shared" si="9"/>
        <v>8.043875685557593E-2</v>
      </c>
      <c r="J123" s="18"/>
      <c r="K123" s="219">
        <v>44927</v>
      </c>
      <c r="L123" s="18">
        <v>87.34</v>
      </c>
      <c r="M123" s="101">
        <f t="shared" si="10"/>
        <v>-1.0087271902980852E-2</v>
      </c>
      <c r="N123" s="18"/>
      <c r="O123" s="219">
        <v>44927</v>
      </c>
      <c r="P123" s="18">
        <v>93.92</v>
      </c>
      <c r="Q123" s="101">
        <f t="shared" si="11"/>
        <v>8.1031307550644638E-2</v>
      </c>
      <c r="R123" s="18"/>
      <c r="S123" s="219">
        <v>44927</v>
      </c>
      <c r="T123" s="18">
        <v>37.89</v>
      </c>
      <c r="U123" s="101">
        <f t="shared" si="12"/>
        <v>8.3500142979696934E-2</v>
      </c>
      <c r="V123" s="18"/>
      <c r="W123" s="219">
        <v>44927</v>
      </c>
      <c r="X123" s="18">
        <v>19.03</v>
      </c>
      <c r="Y123" s="101">
        <f t="shared" si="13"/>
        <v>0.12736966824644563</v>
      </c>
      <c r="Z123" s="18"/>
      <c r="AA123" s="219">
        <v>44927</v>
      </c>
      <c r="AB123" s="16">
        <v>3895.08</v>
      </c>
      <c r="AC123" s="17">
        <f t="shared" si="14"/>
        <v>1.4475843208751121E-2</v>
      </c>
    </row>
    <row r="124" spans="3:29" x14ac:dyDescent="0.25">
      <c r="C124" s="219">
        <v>44920</v>
      </c>
      <c r="D124" s="18">
        <v>294.88</v>
      </c>
      <c r="E124" s="17">
        <f t="shared" si="8"/>
        <v>-2.7122321670729622E-4</v>
      </c>
      <c r="F124" s="18"/>
      <c r="G124" s="219">
        <v>44920</v>
      </c>
      <c r="H124" s="18">
        <v>120.34</v>
      </c>
      <c r="I124" s="101">
        <f t="shared" si="9"/>
        <v>1.9484920365977609E-2</v>
      </c>
      <c r="J124" s="18"/>
      <c r="K124" s="219">
        <v>44920</v>
      </c>
      <c r="L124" s="18">
        <v>88.23</v>
      </c>
      <c r="M124" s="101">
        <f t="shared" si="10"/>
        <v>-1.120699316373417E-2</v>
      </c>
      <c r="N124" s="18"/>
      <c r="O124" s="219">
        <v>44920</v>
      </c>
      <c r="P124" s="18">
        <v>86.88</v>
      </c>
      <c r="Q124" s="101">
        <f t="shared" si="11"/>
        <v>-1.2839450062493008E-2</v>
      </c>
      <c r="R124" s="18"/>
      <c r="S124" s="219">
        <v>44920</v>
      </c>
      <c r="T124" s="18">
        <v>34.97</v>
      </c>
      <c r="U124" s="101">
        <f t="shared" si="12"/>
        <v>-4.8377916903813807E-3</v>
      </c>
      <c r="V124" s="18"/>
      <c r="W124" s="219">
        <v>44920</v>
      </c>
      <c r="X124" s="18">
        <v>16.88</v>
      </c>
      <c r="Y124" s="101">
        <f t="shared" si="13"/>
        <v>1.3205282112845069E-2</v>
      </c>
      <c r="Z124" s="18"/>
      <c r="AA124" s="219">
        <v>44920</v>
      </c>
      <c r="AB124" s="16">
        <v>3839.5</v>
      </c>
      <c r="AC124" s="17">
        <f t="shared" si="14"/>
        <v>-1.3836798601755513E-3</v>
      </c>
    </row>
    <row r="125" spans="3:29" x14ac:dyDescent="0.25">
      <c r="C125" s="219">
        <v>44913</v>
      </c>
      <c r="D125" s="18">
        <v>294.95999999999998</v>
      </c>
      <c r="E125" s="17">
        <f t="shared" si="8"/>
        <v>1.4619380138282137E-2</v>
      </c>
      <c r="F125" s="18"/>
      <c r="G125" s="219">
        <v>44913</v>
      </c>
      <c r="H125" s="18">
        <v>118.04</v>
      </c>
      <c r="I125" s="101">
        <f t="shared" si="9"/>
        <v>-1.1638616762957386E-2</v>
      </c>
      <c r="J125" s="18"/>
      <c r="K125" s="219">
        <v>44913</v>
      </c>
      <c r="L125" s="18">
        <v>89.23</v>
      </c>
      <c r="M125" s="101">
        <f t="shared" si="10"/>
        <v>-1.1411477952581444E-2</v>
      </c>
      <c r="N125" s="18"/>
      <c r="O125" s="219">
        <v>44913</v>
      </c>
      <c r="P125" s="18">
        <v>88.01</v>
      </c>
      <c r="Q125" s="101">
        <f t="shared" si="11"/>
        <v>-2.2979573712255699E-2</v>
      </c>
      <c r="R125" s="18"/>
      <c r="S125" s="219">
        <v>44913</v>
      </c>
      <c r="T125" s="18">
        <v>35.14</v>
      </c>
      <c r="U125" s="101">
        <f t="shared" si="12"/>
        <v>1.8846042331110424E-2</v>
      </c>
      <c r="V125" s="18"/>
      <c r="W125" s="219">
        <v>44913</v>
      </c>
      <c r="X125" s="18">
        <v>16.66</v>
      </c>
      <c r="Y125" s="101">
        <f t="shared" si="13"/>
        <v>-3.7550548815713382E-2</v>
      </c>
      <c r="Z125" s="18"/>
      <c r="AA125" s="219">
        <v>44913</v>
      </c>
      <c r="AB125" s="16">
        <v>3844.82</v>
      </c>
      <c r="AC125" s="17">
        <f t="shared" si="14"/>
        <v>-1.957241794640159E-3</v>
      </c>
    </row>
    <row r="126" spans="3:29" x14ac:dyDescent="0.25">
      <c r="C126" s="219">
        <v>44906</v>
      </c>
      <c r="D126" s="18">
        <v>290.70999999999998</v>
      </c>
      <c r="E126" s="17">
        <f t="shared" si="8"/>
        <v>-9.1559638761288753E-2</v>
      </c>
      <c r="F126" s="18"/>
      <c r="G126" s="219">
        <v>44906</v>
      </c>
      <c r="H126" s="18">
        <v>119.43</v>
      </c>
      <c r="I126" s="101">
        <f t="shared" si="9"/>
        <v>3.0457290767903374E-2</v>
      </c>
      <c r="J126" s="18"/>
      <c r="K126" s="219">
        <v>44906</v>
      </c>
      <c r="L126" s="18">
        <v>90.26</v>
      </c>
      <c r="M126" s="101">
        <f t="shared" si="10"/>
        <v>-2.7685015619950373E-2</v>
      </c>
      <c r="N126" s="18"/>
      <c r="O126" s="219">
        <v>44906</v>
      </c>
      <c r="P126" s="18">
        <v>90.08</v>
      </c>
      <c r="Q126" s="101">
        <f t="shared" si="11"/>
        <v>-3.533947312058254E-2</v>
      </c>
      <c r="R126" s="18"/>
      <c r="S126" s="219">
        <v>44906</v>
      </c>
      <c r="T126" s="18">
        <v>34.49</v>
      </c>
      <c r="U126" s="101">
        <f t="shared" si="12"/>
        <v>-2.3499433748584323E-2</v>
      </c>
      <c r="V126" s="18"/>
      <c r="W126" s="219">
        <v>44906</v>
      </c>
      <c r="X126" s="18">
        <v>17.309999999999999</v>
      </c>
      <c r="Y126" s="101">
        <f t="shared" si="13"/>
        <v>-8.9905362776025288E-2</v>
      </c>
      <c r="Z126" s="18"/>
      <c r="AA126" s="219">
        <v>44906</v>
      </c>
      <c r="AB126" s="16">
        <v>3852.36</v>
      </c>
      <c r="AC126" s="17">
        <f t="shared" si="14"/>
        <v>-2.0846994952190685E-2</v>
      </c>
    </row>
    <row r="127" spans="3:29" x14ac:dyDescent="0.25">
      <c r="C127" s="219">
        <v>44899</v>
      </c>
      <c r="D127" s="18">
        <v>320.01</v>
      </c>
      <c r="E127" s="17">
        <f t="shared" si="8"/>
        <v>-1.2484004868762962E-3</v>
      </c>
      <c r="F127" s="18"/>
      <c r="G127" s="219">
        <v>44899</v>
      </c>
      <c r="H127" s="18">
        <v>115.9</v>
      </c>
      <c r="I127" s="101">
        <f t="shared" si="9"/>
        <v>-6.1462466596485459E-2</v>
      </c>
      <c r="J127" s="18"/>
      <c r="K127" s="219">
        <v>44899</v>
      </c>
      <c r="L127" s="18">
        <v>92.83</v>
      </c>
      <c r="M127" s="101">
        <f t="shared" si="10"/>
        <v>-7.5766626841895654E-2</v>
      </c>
      <c r="N127" s="18"/>
      <c r="O127" s="219">
        <v>44899</v>
      </c>
      <c r="P127" s="18">
        <v>93.38</v>
      </c>
      <c r="Q127" s="101">
        <f t="shared" si="11"/>
        <v>-6.0846826913406524E-2</v>
      </c>
      <c r="R127" s="18"/>
      <c r="S127" s="219">
        <v>44899</v>
      </c>
      <c r="T127" s="18">
        <v>35.32</v>
      </c>
      <c r="U127" s="101">
        <f t="shared" si="12"/>
        <v>-1.5058561070830987E-2</v>
      </c>
      <c r="V127" s="18"/>
      <c r="W127" s="219">
        <v>44899</v>
      </c>
      <c r="X127" s="18">
        <v>19.02</v>
      </c>
      <c r="Y127" s="101">
        <f t="shared" si="13"/>
        <v>-6.6732090284592718E-2</v>
      </c>
      <c r="Z127" s="18"/>
      <c r="AA127" s="219">
        <v>44899</v>
      </c>
      <c r="AB127" s="16">
        <v>3934.38</v>
      </c>
      <c r="AC127" s="17">
        <f t="shared" si="14"/>
        <v>-3.3725470933516646E-2</v>
      </c>
    </row>
    <row r="128" spans="3:29" x14ac:dyDescent="0.25">
      <c r="C128" s="219">
        <v>44892</v>
      </c>
      <c r="D128" s="18">
        <v>320.41000000000003</v>
      </c>
      <c r="E128" s="17">
        <f t="shared" si="8"/>
        <v>0.12211949289066332</v>
      </c>
      <c r="F128" s="18"/>
      <c r="G128" s="219">
        <v>44892</v>
      </c>
      <c r="H128" s="18">
        <v>123.49</v>
      </c>
      <c r="I128" s="101">
        <f t="shared" si="9"/>
        <v>0.10842832779822277</v>
      </c>
      <c r="J128" s="18"/>
      <c r="K128" s="219">
        <v>44892</v>
      </c>
      <c r="L128" s="18">
        <v>100.44</v>
      </c>
      <c r="M128" s="101">
        <f t="shared" si="10"/>
        <v>3.0576646829468541E-2</v>
      </c>
      <c r="N128" s="18"/>
      <c r="O128" s="219">
        <v>44892</v>
      </c>
      <c r="P128" s="18">
        <v>99.43</v>
      </c>
      <c r="Q128" s="101">
        <f t="shared" si="11"/>
        <v>5.6640032365733008E-3</v>
      </c>
      <c r="R128" s="18"/>
      <c r="S128" s="219">
        <v>44892</v>
      </c>
      <c r="T128" s="18">
        <v>35.86</v>
      </c>
      <c r="U128" s="101">
        <f t="shared" si="12"/>
        <v>5.8906030855540217E-3</v>
      </c>
      <c r="V128" s="18"/>
      <c r="W128" s="219">
        <v>44892</v>
      </c>
      <c r="X128" s="18">
        <v>20.38</v>
      </c>
      <c r="Y128" s="101">
        <f t="shared" si="13"/>
        <v>2.3606228026117473E-2</v>
      </c>
      <c r="Z128" s="18"/>
      <c r="AA128" s="219">
        <v>44892</v>
      </c>
      <c r="AB128" s="16">
        <v>4071.7</v>
      </c>
      <c r="AC128" s="17">
        <f t="shared" si="14"/>
        <v>1.1321073390758329E-2</v>
      </c>
    </row>
    <row r="129" spans="3:29" x14ac:dyDescent="0.25">
      <c r="C129" s="219">
        <v>44885</v>
      </c>
      <c r="D129" s="18">
        <v>285.54000000000002</v>
      </c>
      <c r="E129" s="17">
        <f t="shared" si="8"/>
        <v>-8.4728106118480365E-3</v>
      </c>
      <c r="F129" s="18"/>
      <c r="G129" s="219">
        <v>44885</v>
      </c>
      <c r="H129" s="18">
        <v>111.41</v>
      </c>
      <c r="I129" s="101">
        <f t="shared" si="9"/>
        <v>-5.7117358322177651E-3</v>
      </c>
      <c r="J129" s="18"/>
      <c r="K129" s="219">
        <v>44885</v>
      </c>
      <c r="L129" s="18">
        <v>97.46</v>
      </c>
      <c r="M129" s="101">
        <f t="shared" si="10"/>
        <v>3.0791337370406367E-4</v>
      </c>
      <c r="N129" s="18"/>
      <c r="O129" s="219">
        <v>44885</v>
      </c>
      <c r="P129" s="18">
        <v>98.87</v>
      </c>
      <c r="Q129" s="101">
        <f t="shared" si="11"/>
        <v>7.7015250544662392E-2</v>
      </c>
      <c r="R129" s="18"/>
      <c r="S129" s="219">
        <v>44885</v>
      </c>
      <c r="T129" s="18">
        <v>35.65</v>
      </c>
      <c r="U129" s="101">
        <f t="shared" si="12"/>
        <v>3.3333333333333291E-2</v>
      </c>
      <c r="V129" s="18"/>
      <c r="W129" s="219">
        <v>44885</v>
      </c>
      <c r="X129" s="18">
        <v>19.91</v>
      </c>
      <c r="Y129" s="101">
        <f t="shared" si="13"/>
        <v>6.6988210075026797E-2</v>
      </c>
      <c r="Z129" s="18"/>
      <c r="AA129" s="219">
        <v>44885</v>
      </c>
      <c r="AB129" s="16">
        <v>4026.12</v>
      </c>
      <c r="AC129" s="17">
        <f t="shared" si="14"/>
        <v>1.5327815521493678E-2</v>
      </c>
    </row>
    <row r="130" spans="3:29" x14ac:dyDescent="0.25">
      <c r="C130" s="219">
        <v>44878</v>
      </c>
      <c r="D130" s="18">
        <v>287.98</v>
      </c>
      <c r="E130" s="17">
        <f t="shared" si="8"/>
        <v>-7.4104711680969817E-3</v>
      </c>
      <c r="F130" s="18"/>
      <c r="G130" s="219">
        <v>44878</v>
      </c>
      <c r="H130" s="18">
        <v>112.05</v>
      </c>
      <c r="I130" s="101">
        <f t="shared" si="9"/>
        <v>-8.5825517607503003E-3</v>
      </c>
      <c r="J130" s="18"/>
      <c r="K130" s="219">
        <v>44878</v>
      </c>
      <c r="L130" s="18">
        <v>97.43</v>
      </c>
      <c r="M130" s="101">
        <f t="shared" si="10"/>
        <v>1.05798153718495E-2</v>
      </c>
      <c r="N130" s="18"/>
      <c r="O130" s="219">
        <v>44878</v>
      </c>
      <c r="P130" s="18">
        <v>91.8</v>
      </c>
      <c r="Q130" s="101">
        <f t="shared" si="11"/>
        <v>-3.3785917271866202E-2</v>
      </c>
      <c r="R130" s="18"/>
      <c r="S130" s="219">
        <v>44878</v>
      </c>
      <c r="T130" s="18">
        <v>34.5</v>
      </c>
      <c r="U130" s="101">
        <f t="shared" si="12"/>
        <v>1.4109347442680683E-2</v>
      </c>
      <c r="V130" s="18"/>
      <c r="W130" s="219">
        <v>44878</v>
      </c>
      <c r="X130" s="18">
        <v>18.66</v>
      </c>
      <c r="Y130" s="101">
        <f t="shared" si="13"/>
        <v>-7.9744816586921098E-3</v>
      </c>
      <c r="Z130" s="18"/>
      <c r="AA130" s="219">
        <v>44878</v>
      </c>
      <c r="AB130" s="16">
        <v>3965.34</v>
      </c>
      <c r="AC130" s="17">
        <f t="shared" si="14"/>
        <v>-6.9097129175817486E-3</v>
      </c>
    </row>
    <row r="131" spans="3:29" x14ac:dyDescent="0.25">
      <c r="C131" s="219">
        <v>44871</v>
      </c>
      <c r="D131" s="18">
        <v>290.13</v>
      </c>
      <c r="E131" s="17">
        <f t="shared" si="8"/>
        <v>0.11250431381571369</v>
      </c>
      <c r="F131" s="18"/>
      <c r="G131" s="219">
        <v>44871</v>
      </c>
      <c r="H131" s="18">
        <v>113.02</v>
      </c>
      <c r="I131" s="101">
        <f t="shared" si="9"/>
        <v>0.24485075448837965</v>
      </c>
      <c r="J131" s="18"/>
      <c r="K131" s="219">
        <v>44871</v>
      </c>
      <c r="L131" s="18">
        <v>96.41</v>
      </c>
      <c r="M131" s="101">
        <f t="shared" si="10"/>
        <v>0.11353661353661353</v>
      </c>
      <c r="N131" s="18"/>
      <c r="O131" s="219">
        <v>44871</v>
      </c>
      <c r="P131" s="18">
        <v>95.01</v>
      </c>
      <c r="Q131" s="101">
        <f t="shared" si="11"/>
        <v>-4.5892749548101963E-2</v>
      </c>
      <c r="R131" s="18"/>
      <c r="S131" s="219">
        <v>44871</v>
      </c>
      <c r="T131" s="18">
        <v>34.020000000000003</v>
      </c>
      <c r="U131" s="101">
        <f t="shared" si="12"/>
        <v>9.7419354838709782E-2</v>
      </c>
      <c r="V131" s="18"/>
      <c r="W131" s="219">
        <v>44871</v>
      </c>
      <c r="X131" s="18">
        <v>18.809999999999999</v>
      </c>
      <c r="Y131" s="101">
        <f t="shared" si="13"/>
        <v>0.20809248554913284</v>
      </c>
      <c r="Z131" s="18"/>
      <c r="AA131" s="219">
        <v>44871</v>
      </c>
      <c r="AB131" s="16">
        <v>3992.93</v>
      </c>
      <c r="AC131" s="17">
        <f t="shared" si="14"/>
        <v>5.8978133163596728E-2</v>
      </c>
    </row>
    <row r="132" spans="3:29" x14ac:dyDescent="0.25">
      <c r="C132" s="219">
        <v>44864</v>
      </c>
      <c r="D132" s="18">
        <v>260.79000000000002</v>
      </c>
      <c r="E132" s="17">
        <f t="shared" si="8"/>
        <v>-0.1181184904639524</v>
      </c>
      <c r="F132" s="18"/>
      <c r="G132" s="219">
        <v>44864</v>
      </c>
      <c r="H132" s="18">
        <v>90.79</v>
      </c>
      <c r="I132" s="101">
        <f t="shared" si="9"/>
        <v>-8.4778225806451571E-2</v>
      </c>
      <c r="J132" s="18"/>
      <c r="K132" s="219">
        <v>44864</v>
      </c>
      <c r="L132" s="18">
        <v>86.58</v>
      </c>
      <c r="M132" s="101">
        <f t="shared" si="10"/>
        <v>-0.10084120884827093</v>
      </c>
      <c r="N132" s="18"/>
      <c r="O132" s="219">
        <v>44864</v>
      </c>
      <c r="P132" s="18">
        <v>99.58</v>
      </c>
      <c r="Q132" s="101">
        <f t="shared" si="11"/>
        <v>-6.0122699386503109E-2</v>
      </c>
      <c r="R132" s="18"/>
      <c r="S132" s="219">
        <v>44864</v>
      </c>
      <c r="T132" s="18">
        <v>31</v>
      </c>
      <c r="U132" s="101">
        <f t="shared" si="12"/>
        <v>-2.9733959311424078E-2</v>
      </c>
      <c r="V132" s="18"/>
      <c r="W132" s="219">
        <v>44864</v>
      </c>
      <c r="X132" s="18">
        <v>15.57</v>
      </c>
      <c r="Y132" s="101">
        <f t="shared" si="13"/>
        <v>-0.18138801261829648</v>
      </c>
      <c r="Z132" s="18"/>
      <c r="AA132" s="219">
        <v>44864</v>
      </c>
      <c r="AB132" s="16">
        <v>3770.55</v>
      </c>
      <c r="AC132" s="17">
        <f t="shared" si="14"/>
        <v>-3.345500966403997E-2</v>
      </c>
    </row>
    <row r="133" spans="3:29" x14ac:dyDescent="0.25">
      <c r="C133" s="219">
        <v>44857</v>
      </c>
      <c r="D133" s="18">
        <v>295.72000000000003</v>
      </c>
      <c r="E133" s="17">
        <f t="shared" si="8"/>
        <v>2.123838795455342E-2</v>
      </c>
      <c r="F133" s="18"/>
      <c r="G133" s="219">
        <v>44857</v>
      </c>
      <c r="H133" s="18">
        <v>99.2</v>
      </c>
      <c r="I133" s="101">
        <f t="shared" si="9"/>
        <v>-0.23698177063302817</v>
      </c>
      <c r="J133" s="18"/>
      <c r="K133" s="219">
        <v>44857</v>
      </c>
      <c r="L133" s="18">
        <v>96.29</v>
      </c>
      <c r="M133" s="101">
        <f t="shared" si="10"/>
        <v>-4.7859191140116573E-2</v>
      </c>
      <c r="N133" s="18"/>
      <c r="O133" s="219">
        <v>44857</v>
      </c>
      <c r="P133" s="18">
        <v>105.95</v>
      </c>
      <c r="Q133" s="101">
        <f t="shared" si="11"/>
        <v>3.8318306546452338E-2</v>
      </c>
      <c r="R133" s="18"/>
      <c r="S133" s="219">
        <v>44857</v>
      </c>
      <c r="T133" s="18">
        <v>31.95</v>
      </c>
      <c r="U133" s="101">
        <f t="shared" si="12"/>
        <v>4.8228346456692876E-2</v>
      </c>
      <c r="V133" s="18"/>
      <c r="W133" s="219">
        <v>44857</v>
      </c>
      <c r="X133" s="18">
        <v>19.02</v>
      </c>
      <c r="Y133" s="101">
        <f t="shared" si="13"/>
        <v>-1.0405827263267393E-2</v>
      </c>
      <c r="Z133" s="18"/>
      <c r="AA133" s="219">
        <v>44857</v>
      </c>
      <c r="AB133" s="16">
        <v>3901.06</v>
      </c>
      <c r="AC133" s="17">
        <f t="shared" si="14"/>
        <v>3.9520351742055808E-2</v>
      </c>
    </row>
    <row r="134" spans="3:29" x14ac:dyDescent="0.25">
      <c r="C134" s="219">
        <v>44850</v>
      </c>
      <c r="D134" s="18">
        <v>289.57</v>
      </c>
      <c r="E134" s="17">
        <f t="shared" si="8"/>
        <v>0.25899999999999995</v>
      </c>
      <c r="F134" s="18"/>
      <c r="G134" s="219">
        <v>44850</v>
      </c>
      <c r="H134" s="18">
        <v>130.01</v>
      </c>
      <c r="I134" s="101">
        <f t="shared" si="9"/>
        <v>2.5639002840012508E-2</v>
      </c>
      <c r="J134" s="18"/>
      <c r="K134" s="219">
        <v>44850</v>
      </c>
      <c r="L134" s="18">
        <v>101.13</v>
      </c>
      <c r="M134" s="101">
        <f t="shared" si="10"/>
        <v>4.7328086164043014E-2</v>
      </c>
      <c r="N134" s="18"/>
      <c r="O134" s="219">
        <v>44850</v>
      </c>
      <c r="P134" s="18">
        <v>102.04</v>
      </c>
      <c r="Q134" s="101">
        <f t="shared" si="11"/>
        <v>8.0359978824775052E-2</v>
      </c>
      <c r="R134" s="18"/>
      <c r="S134" s="219">
        <v>44850</v>
      </c>
      <c r="T134" s="18">
        <v>30.48</v>
      </c>
      <c r="U134" s="101">
        <f t="shared" si="12"/>
        <v>1.4309484193011637E-2</v>
      </c>
      <c r="V134" s="18"/>
      <c r="W134" s="219">
        <v>44850</v>
      </c>
      <c r="X134" s="18">
        <v>19.22</v>
      </c>
      <c r="Y134" s="101">
        <f t="shared" si="13"/>
        <v>2.3974427277570553E-2</v>
      </c>
      <c r="Z134" s="18"/>
      <c r="AA134" s="219">
        <v>44850</v>
      </c>
      <c r="AB134" s="16">
        <v>3752.75</v>
      </c>
      <c r="AC134" s="17">
        <f t="shared" si="14"/>
        <v>4.7356038257695167E-2</v>
      </c>
    </row>
    <row r="135" spans="3:29" x14ac:dyDescent="0.25">
      <c r="C135" s="219">
        <v>44843</v>
      </c>
      <c r="D135" s="18">
        <v>230</v>
      </c>
      <c r="E135" s="17">
        <f t="shared" si="8"/>
        <v>2.3359288097886542E-2</v>
      </c>
      <c r="F135" s="18"/>
      <c r="G135" s="219">
        <v>44843</v>
      </c>
      <c r="H135" s="18">
        <v>126.76</v>
      </c>
      <c r="I135" s="101">
        <f t="shared" si="9"/>
        <v>-5.0131135256650312E-2</v>
      </c>
      <c r="J135" s="18"/>
      <c r="K135" s="219">
        <v>44843</v>
      </c>
      <c r="L135" s="18">
        <v>96.56</v>
      </c>
      <c r="M135" s="101">
        <f t="shared" si="10"/>
        <v>-2.148358329955416E-2</v>
      </c>
      <c r="N135" s="18"/>
      <c r="O135" s="219">
        <v>44843</v>
      </c>
      <c r="P135" s="18">
        <v>94.45</v>
      </c>
      <c r="Q135" s="101">
        <f t="shared" si="11"/>
        <v>-2.7892136681761978E-2</v>
      </c>
      <c r="R135" s="18"/>
      <c r="S135" s="219">
        <v>44843</v>
      </c>
      <c r="T135" s="18">
        <v>30.05</v>
      </c>
      <c r="U135" s="101">
        <f t="shared" si="12"/>
        <v>2.6648445507345443E-2</v>
      </c>
      <c r="V135" s="18"/>
      <c r="W135" s="219">
        <v>44843</v>
      </c>
      <c r="X135" s="18">
        <v>18.77</v>
      </c>
      <c r="Y135" s="101">
        <f t="shared" si="13"/>
        <v>6.434316353887453E-3</v>
      </c>
      <c r="Z135" s="18"/>
      <c r="AA135" s="219">
        <v>44843</v>
      </c>
      <c r="AB135" s="16">
        <v>3583.07</v>
      </c>
      <c r="AC135" s="17">
        <f t="shared" si="14"/>
        <v>-1.5548155596951279E-2</v>
      </c>
    </row>
    <row r="136" spans="3:29" x14ac:dyDescent="0.25">
      <c r="C136" s="219">
        <v>44836</v>
      </c>
      <c r="D136" s="18">
        <v>224.75</v>
      </c>
      <c r="E136" s="17">
        <f t="shared" si="8"/>
        <v>-4.540434930343186E-2</v>
      </c>
      <c r="F136" s="18"/>
      <c r="G136" s="219">
        <v>44836</v>
      </c>
      <c r="H136" s="18">
        <v>133.44999999999999</v>
      </c>
      <c r="I136" s="101">
        <f t="shared" si="9"/>
        <v>-1.6435731132075606E-2</v>
      </c>
      <c r="J136" s="18"/>
      <c r="K136" s="219">
        <v>44836</v>
      </c>
      <c r="L136" s="18">
        <v>98.68</v>
      </c>
      <c r="M136" s="101">
        <f t="shared" si="10"/>
        <v>3.1677992681651869E-2</v>
      </c>
      <c r="N136" s="18"/>
      <c r="O136" s="219">
        <v>44836</v>
      </c>
      <c r="P136" s="18">
        <v>97.16</v>
      </c>
      <c r="Q136" s="101">
        <f t="shared" si="11"/>
        <v>3.0001060108131011E-2</v>
      </c>
      <c r="R136" s="18"/>
      <c r="S136" s="219">
        <v>44836</v>
      </c>
      <c r="T136" s="18">
        <v>29.27</v>
      </c>
      <c r="U136" s="101">
        <f t="shared" si="12"/>
        <v>-2.0456870098874438E-3</v>
      </c>
      <c r="V136" s="18"/>
      <c r="W136" s="219">
        <v>44836</v>
      </c>
      <c r="X136" s="18">
        <v>18.649999999999999</v>
      </c>
      <c r="Y136" s="101">
        <f t="shared" si="13"/>
        <v>-2.0483193277310956E-2</v>
      </c>
      <c r="Z136" s="18"/>
      <c r="AA136" s="219">
        <v>44836</v>
      </c>
      <c r="AB136" s="16">
        <v>3639.66</v>
      </c>
      <c r="AC136" s="17">
        <f t="shared" si="14"/>
        <v>1.5071312632124979E-2</v>
      </c>
    </row>
    <row r="137" spans="3:29" x14ac:dyDescent="0.25">
      <c r="C137" s="219">
        <v>44829</v>
      </c>
      <c r="D137" s="18">
        <v>235.44</v>
      </c>
      <c r="E137" s="17">
        <f t="shared" si="8"/>
        <v>3.9883397376440977E-2</v>
      </c>
      <c r="F137" s="18"/>
      <c r="G137" s="219">
        <v>44829</v>
      </c>
      <c r="H137" s="18">
        <v>135.68</v>
      </c>
      <c r="I137" s="101">
        <f t="shared" si="9"/>
        <v>-3.3687059326258741E-2</v>
      </c>
      <c r="J137" s="18"/>
      <c r="K137" s="219">
        <v>44829</v>
      </c>
      <c r="L137" s="18">
        <v>95.65</v>
      </c>
      <c r="M137" s="101">
        <f t="shared" si="10"/>
        <v>-3.1294308284383121E-2</v>
      </c>
      <c r="N137" s="18"/>
      <c r="O137" s="219">
        <v>44829</v>
      </c>
      <c r="P137" s="18">
        <v>94.33</v>
      </c>
      <c r="Q137" s="101">
        <f t="shared" si="11"/>
        <v>-5.1959798994974889E-2</v>
      </c>
      <c r="R137" s="18"/>
      <c r="S137" s="219">
        <v>44829</v>
      </c>
      <c r="T137" s="18">
        <v>29.33</v>
      </c>
      <c r="U137" s="101">
        <f t="shared" si="12"/>
        <v>-7.8831658291457329E-2</v>
      </c>
      <c r="V137" s="18"/>
      <c r="W137" s="219">
        <v>44829</v>
      </c>
      <c r="X137" s="18">
        <v>19.04</v>
      </c>
      <c r="Y137" s="101">
        <f t="shared" si="13"/>
        <v>-5.602379771938535E-2</v>
      </c>
      <c r="Z137" s="18"/>
      <c r="AA137" s="219">
        <v>44829</v>
      </c>
      <c r="AB137" s="16">
        <v>3585.62</v>
      </c>
      <c r="AC137" s="17">
        <f t="shared" si="14"/>
        <v>-2.9137096796029525E-2</v>
      </c>
    </row>
    <row r="138" spans="3:29" x14ac:dyDescent="0.25">
      <c r="C138" s="219">
        <v>44822</v>
      </c>
      <c r="D138" s="18">
        <v>226.41</v>
      </c>
      <c r="E138" s="17">
        <f t="shared" si="8"/>
        <v>-5.7135718152667304E-2</v>
      </c>
      <c r="F138" s="18"/>
      <c r="G138" s="219">
        <v>44822</v>
      </c>
      <c r="H138" s="18">
        <v>140.41</v>
      </c>
      <c r="I138" s="101">
        <f t="shared" si="9"/>
        <v>-4.0194134937452976E-2</v>
      </c>
      <c r="J138" s="18"/>
      <c r="K138" s="219">
        <v>44822</v>
      </c>
      <c r="L138" s="18">
        <v>98.74</v>
      </c>
      <c r="M138" s="101">
        <f t="shared" si="10"/>
        <v>-3.949416342412454E-2</v>
      </c>
      <c r="N138" s="18"/>
      <c r="O138" s="219">
        <v>44822</v>
      </c>
      <c r="P138" s="18">
        <v>99.5</v>
      </c>
      <c r="Q138" s="101">
        <f t="shared" si="11"/>
        <v>-8.0831408775981523E-2</v>
      </c>
      <c r="R138" s="18"/>
      <c r="S138" s="219">
        <v>44822</v>
      </c>
      <c r="T138" s="18">
        <v>31.84</v>
      </c>
      <c r="U138" s="101">
        <f t="shared" si="12"/>
        <v>-7.7636152954808899E-2</v>
      </c>
      <c r="V138" s="18"/>
      <c r="W138" s="219">
        <v>44822</v>
      </c>
      <c r="X138" s="18">
        <v>20.170000000000002</v>
      </c>
      <c r="Y138" s="101">
        <f t="shared" si="13"/>
        <v>-0.11262648482182132</v>
      </c>
      <c r="Z138" s="18"/>
      <c r="AA138" s="219">
        <v>44822</v>
      </c>
      <c r="AB138" s="16">
        <v>3693.23</v>
      </c>
      <c r="AC138" s="17">
        <f t="shared" si="14"/>
        <v>-4.6497458259430496E-2</v>
      </c>
    </row>
    <row r="139" spans="3:29" x14ac:dyDescent="0.25">
      <c r="C139" s="219">
        <v>44815</v>
      </c>
      <c r="D139" s="18">
        <v>240.13</v>
      </c>
      <c r="E139" s="17">
        <f t="shared" si="8"/>
        <v>2.8085798689900254E-2</v>
      </c>
      <c r="F139" s="18"/>
      <c r="G139" s="219">
        <v>44815</v>
      </c>
      <c r="H139" s="18">
        <v>146.29</v>
      </c>
      <c r="I139" s="101">
        <f t="shared" si="9"/>
        <v>-0.13514631983446654</v>
      </c>
      <c r="J139" s="18"/>
      <c r="K139" s="219">
        <v>44815</v>
      </c>
      <c r="L139" s="18">
        <v>102.8</v>
      </c>
      <c r="M139" s="101">
        <f t="shared" si="10"/>
        <v>-7.094441934026216E-2</v>
      </c>
      <c r="N139" s="18"/>
      <c r="O139" s="219">
        <v>44815</v>
      </c>
      <c r="P139" s="18">
        <v>108.25</v>
      </c>
      <c r="Q139" s="101">
        <f t="shared" si="11"/>
        <v>-6.016669560687625E-2</v>
      </c>
      <c r="R139" s="18"/>
      <c r="S139" s="219">
        <v>44815</v>
      </c>
      <c r="T139" s="18">
        <v>34.520000000000003</v>
      </c>
      <c r="U139" s="101">
        <f t="shared" si="12"/>
        <v>-2.5684448207733464E-2</v>
      </c>
      <c r="V139" s="18"/>
      <c r="W139" s="219">
        <v>44815</v>
      </c>
      <c r="X139" s="18">
        <v>22.73</v>
      </c>
      <c r="Y139" s="101">
        <f t="shared" si="13"/>
        <v>-3.9306846999154682E-2</v>
      </c>
      <c r="Z139" s="18"/>
      <c r="AA139" s="219">
        <v>44815</v>
      </c>
      <c r="AB139" s="16">
        <v>3873.33</v>
      </c>
      <c r="AC139" s="17">
        <f t="shared" si="14"/>
        <v>-4.770416191337875E-2</v>
      </c>
    </row>
    <row r="140" spans="3:29" x14ac:dyDescent="0.25">
      <c r="C140" s="219">
        <v>44808</v>
      </c>
      <c r="D140" s="18">
        <v>233.57</v>
      </c>
      <c r="E140" s="17">
        <f t="shared" si="8"/>
        <v>3.2992791119366587E-2</v>
      </c>
      <c r="F140" s="18"/>
      <c r="G140" s="219">
        <v>44808</v>
      </c>
      <c r="H140" s="18">
        <v>169.15</v>
      </c>
      <c r="I140" s="101">
        <f t="shared" si="9"/>
        <v>5.5077345309381319E-2</v>
      </c>
      <c r="J140" s="18"/>
      <c r="K140" s="219">
        <v>44808</v>
      </c>
      <c r="L140" s="18">
        <v>110.65</v>
      </c>
      <c r="M140" s="101">
        <f t="shared" si="10"/>
        <v>2.5961984237366821E-2</v>
      </c>
      <c r="N140" s="18"/>
      <c r="O140" s="219">
        <v>44808</v>
      </c>
      <c r="P140" s="18">
        <v>115.18</v>
      </c>
      <c r="Q140" s="101">
        <f t="shared" si="11"/>
        <v>3.5791366906474852E-2</v>
      </c>
      <c r="R140" s="18"/>
      <c r="S140" s="219">
        <v>44808</v>
      </c>
      <c r="T140" s="18">
        <v>35.43</v>
      </c>
      <c r="U140" s="101">
        <f t="shared" si="12"/>
        <v>-9.2281879194630392E-3</v>
      </c>
      <c r="V140" s="18"/>
      <c r="W140" s="219">
        <v>44808</v>
      </c>
      <c r="X140" s="18">
        <v>23.66</v>
      </c>
      <c r="Y140" s="101">
        <f t="shared" si="13"/>
        <v>2.3356401384083007E-2</v>
      </c>
      <c r="Z140" s="18"/>
      <c r="AA140" s="219">
        <v>44808</v>
      </c>
      <c r="AB140" s="16">
        <v>4067.36</v>
      </c>
      <c r="AC140" s="17">
        <f t="shared" si="14"/>
        <v>3.6465473745368529E-2</v>
      </c>
    </row>
    <row r="141" spans="3:29" x14ac:dyDescent="0.25">
      <c r="C141" s="219">
        <v>44801</v>
      </c>
      <c r="D141" s="18">
        <v>226.11</v>
      </c>
      <c r="E141" s="17">
        <f t="shared" si="8"/>
        <v>1.2674668577570819E-2</v>
      </c>
      <c r="F141" s="18"/>
      <c r="G141" s="219">
        <v>44801</v>
      </c>
      <c r="H141" s="18">
        <v>160.32</v>
      </c>
      <c r="I141" s="101">
        <f t="shared" si="9"/>
        <v>-9.0246013104216087E-3</v>
      </c>
      <c r="J141" s="18"/>
      <c r="K141" s="219">
        <v>44801</v>
      </c>
      <c r="L141" s="18">
        <v>107.85</v>
      </c>
      <c r="M141" s="101">
        <f t="shared" si="10"/>
        <v>-2.2566612289287739E-2</v>
      </c>
      <c r="N141" s="18"/>
      <c r="O141" s="219">
        <v>44801</v>
      </c>
      <c r="P141" s="18">
        <v>111.2</v>
      </c>
      <c r="Q141" s="101">
        <f t="shared" si="11"/>
        <v>-2.5159989480143689E-2</v>
      </c>
      <c r="R141" s="18"/>
      <c r="S141" s="219">
        <v>44801</v>
      </c>
      <c r="T141" s="18">
        <v>35.76</v>
      </c>
      <c r="U141" s="101">
        <f t="shared" si="12"/>
        <v>-2.826086956521737E-2</v>
      </c>
      <c r="V141" s="18"/>
      <c r="W141" s="219">
        <v>44801</v>
      </c>
      <c r="X141" s="18">
        <v>23.12</v>
      </c>
      <c r="Y141" s="101">
        <f t="shared" si="13"/>
        <v>-7.1485943775100314E-2</v>
      </c>
      <c r="Z141" s="18"/>
      <c r="AA141" s="219">
        <v>44801</v>
      </c>
      <c r="AB141" s="16">
        <v>3924.26</v>
      </c>
      <c r="AC141" s="17">
        <f t="shared" si="14"/>
        <v>-3.2876091146128467E-2</v>
      </c>
    </row>
    <row r="142" spans="3:29" x14ac:dyDescent="0.25">
      <c r="C142" s="219">
        <v>44794</v>
      </c>
      <c r="D142" s="18">
        <v>223.28</v>
      </c>
      <c r="E142" s="17">
        <f t="shared" si="8"/>
        <v>-7.4141648697959847E-2</v>
      </c>
      <c r="F142" s="18"/>
      <c r="G142" s="219">
        <v>44794</v>
      </c>
      <c r="H142" s="18">
        <v>161.78</v>
      </c>
      <c r="I142" s="101">
        <f t="shared" si="9"/>
        <v>-3.679447487497027E-2</v>
      </c>
      <c r="J142" s="18"/>
      <c r="K142" s="219">
        <v>44794</v>
      </c>
      <c r="L142" s="18">
        <v>110.34</v>
      </c>
      <c r="M142" s="101">
        <f t="shared" si="10"/>
        <v>-5.8612746352700203E-2</v>
      </c>
      <c r="N142" s="18"/>
      <c r="O142" s="219">
        <v>44794</v>
      </c>
      <c r="P142" s="18">
        <v>114.07</v>
      </c>
      <c r="Q142" s="101">
        <f t="shared" si="11"/>
        <v>-5.0524388213750687E-2</v>
      </c>
      <c r="R142" s="18"/>
      <c r="S142" s="219">
        <v>44794</v>
      </c>
      <c r="T142" s="18">
        <v>36.799999999999997</v>
      </c>
      <c r="U142" s="101">
        <f t="shared" si="12"/>
        <v>-4.8603929679420954E-2</v>
      </c>
      <c r="V142" s="18"/>
      <c r="W142" s="219">
        <v>44794</v>
      </c>
      <c r="X142" s="18">
        <v>24.9</v>
      </c>
      <c r="Y142" s="101">
        <f t="shared" si="13"/>
        <v>-3.8610038610038609E-2</v>
      </c>
      <c r="Z142" s="18"/>
      <c r="AA142" s="219">
        <v>44794</v>
      </c>
      <c r="AB142" s="16">
        <v>4057.66</v>
      </c>
      <c r="AC142" s="17">
        <f t="shared" si="14"/>
        <v>-4.0397495080974656E-2</v>
      </c>
    </row>
    <row r="143" spans="3:29" x14ac:dyDescent="0.25">
      <c r="C143" s="219">
        <v>44787</v>
      </c>
      <c r="D143" s="18">
        <v>241.16</v>
      </c>
      <c r="E143" s="17">
        <f t="shared" si="8"/>
        <v>-3.265142398716412E-2</v>
      </c>
      <c r="F143" s="18"/>
      <c r="G143" s="219">
        <v>44787</v>
      </c>
      <c r="H143" s="18">
        <v>167.96</v>
      </c>
      <c r="I143" s="101">
        <f t="shared" si="9"/>
        <v>-6.9473684210526271E-2</v>
      </c>
      <c r="J143" s="18"/>
      <c r="K143" s="219">
        <v>44787</v>
      </c>
      <c r="L143" s="18">
        <v>117.21</v>
      </c>
      <c r="M143" s="101">
        <f t="shared" si="10"/>
        <v>-3.6735700197238763E-2</v>
      </c>
      <c r="N143" s="18"/>
      <c r="O143" s="219">
        <v>44787</v>
      </c>
      <c r="P143" s="18">
        <v>120.14</v>
      </c>
      <c r="Q143" s="101">
        <f t="shared" si="11"/>
        <v>-1.1762770420333904E-2</v>
      </c>
      <c r="R143" s="18"/>
      <c r="S143" s="219">
        <v>44787</v>
      </c>
      <c r="T143" s="18">
        <v>38.68</v>
      </c>
      <c r="U143" s="101">
        <f t="shared" si="12"/>
        <v>-3.3000000000000008E-2</v>
      </c>
      <c r="V143" s="18"/>
      <c r="W143" s="219">
        <v>44787</v>
      </c>
      <c r="X143" s="18">
        <v>25.9</v>
      </c>
      <c r="Y143" s="101">
        <f t="shared" si="13"/>
        <v>-1.1072928598701896E-2</v>
      </c>
      <c r="Z143" s="18"/>
      <c r="AA143" s="219">
        <v>44787</v>
      </c>
      <c r="AB143" s="16">
        <v>4228.4799999999996</v>
      </c>
      <c r="AC143" s="17">
        <f t="shared" si="14"/>
        <v>-1.2072006822190829E-2</v>
      </c>
    </row>
    <row r="144" spans="3:29" x14ac:dyDescent="0.25">
      <c r="C144" s="219">
        <v>44780</v>
      </c>
      <c r="D144" s="18">
        <v>249.3</v>
      </c>
      <c r="E144" s="17">
        <f t="shared" si="8"/>
        <v>9.930328953170478E-2</v>
      </c>
      <c r="F144" s="18"/>
      <c r="G144" s="219">
        <v>44780</v>
      </c>
      <c r="H144" s="18">
        <v>180.5</v>
      </c>
      <c r="I144" s="101">
        <f t="shared" si="9"/>
        <v>8.0126862545628535E-2</v>
      </c>
      <c r="J144" s="18"/>
      <c r="K144" s="219">
        <v>44780</v>
      </c>
      <c r="L144" s="18">
        <v>121.68</v>
      </c>
      <c r="M144" s="101">
        <f t="shared" si="10"/>
        <v>3.5838937601089707E-2</v>
      </c>
      <c r="N144" s="18"/>
      <c r="O144" s="219">
        <v>44780</v>
      </c>
      <c r="P144" s="18">
        <v>121.57</v>
      </c>
      <c r="Q144" s="101">
        <f t="shared" si="11"/>
        <v>0.14011066304042014</v>
      </c>
      <c r="R144" s="18"/>
      <c r="S144" s="219">
        <v>44780</v>
      </c>
      <c r="T144" s="18">
        <v>40</v>
      </c>
      <c r="U144" s="101">
        <f t="shared" si="12"/>
        <v>4.5205121505095293E-2</v>
      </c>
      <c r="V144" s="18"/>
      <c r="W144" s="219">
        <v>44780</v>
      </c>
      <c r="X144" s="18">
        <v>26.19</v>
      </c>
      <c r="Y144" s="101">
        <f t="shared" si="13"/>
        <v>7.9554822753503687E-2</v>
      </c>
      <c r="Z144" s="18"/>
      <c r="AA144" s="219">
        <v>44780</v>
      </c>
      <c r="AB144" s="16">
        <v>4280.1499999999996</v>
      </c>
      <c r="AC144" s="17">
        <f t="shared" si="14"/>
        <v>3.2558218079267787E-2</v>
      </c>
    </row>
    <row r="145" spans="3:29" x14ac:dyDescent="0.25">
      <c r="C145" s="219">
        <v>44773</v>
      </c>
      <c r="D145" s="18">
        <v>226.78</v>
      </c>
      <c r="E145" s="17">
        <f t="shared" si="8"/>
        <v>8.3592707870164314E-3</v>
      </c>
      <c r="F145" s="18"/>
      <c r="G145" s="219">
        <v>44773</v>
      </c>
      <c r="H145" s="18">
        <v>167.11</v>
      </c>
      <c r="I145" s="101">
        <f t="shared" si="9"/>
        <v>5.0345694531741168E-2</v>
      </c>
      <c r="J145" s="18"/>
      <c r="K145" s="219">
        <v>44773</v>
      </c>
      <c r="L145" s="18">
        <v>117.47</v>
      </c>
      <c r="M145" s="101">
        <f t="shared" si="10"/>
        <v>9.8865199449794175E-3</v>
      </c>
      <c r="N145" s="18"/>
      <c r="O145" s="219">
        <v>44773</v>
      </c>
      <c r="P145" s="18">
        <v>106.63</v>
      </c>
      <c r="Q145" s="101">
        <f t="shared" si="11"/>
        <v>4.9952874646559961E-3</v>
      </c>
      <c r="R145" s="18"/>
      <c r="S145" s="219">
        <v>44773</v>
      </c>
      <c r="T145" s="18">
        <v>38.270000000000003</v>
      </c>
      <c r="U145" s="101">
        <f t="shared" si="12"/>
        <v>1.9989339019189763E-2</v>
      </c>
      <c r="V145" s="18"/>
      <c r="W145" s="219">
        <v>44773</v>
      </c>
      <c r="X145" s="18">
        <v>24.26</v>
      </c>
      <c r="Y145" s="101">
        <f t="shared" si="13"/>
        <v>2.5792811839323596E-2</v>
      </c>
      <c r="Z145" s="18"/>
      <c r="AA145" s="219">
        <v>44773</v>
      </c>
      <c r="AB145" s="16">
        <v>4145.1899999999996</v>
      </c>
      <c r="AC145" s="17">
        <f t="shared" si="14"/>
        <v>3.6074948732412581E-3</v>
      </c>
    </row>
    <row r="146" spans="3:29" x14ac:dyDescent="0.25">
      <c r="C146" s="219">
        <v>44766</v>
      </c>
      <c r="D146" s="18">
        <v>224.9</v>
      </c>
      <c r="E146" s="17">
        <f t="shared" si="8"/>
        <v>2.0232262747232842E-2</v>
      </c>
      <c r="F146" s="18"/>
      <c r="G146" s="219">
        <v>44766</v>
      </c>
      <c r="H146" s="18">
        <v>159.1</v>
      </c>
      <c r="I146" s="101">
        <f t="shared" si="9"/>
        <v>-6.0081526555207744E-2</v>
      </c>
      <c r="J146" s="18"/>
      <c r="K146" s="219">
        <v>44766</v>
      </c>
      <c r="L146" s="18">
        <v>116.32</v>
      </c>
      <c r="M146" s="101">
        <f t="shared" si="10"/>
        <v>7.8035217794253819E-2</v>
      </c>
      <c r="N146" s="18"/>
      <c r="O146" s="219">
        <v>44766</v>
      </c>
      <c r="P146" s="18">
        <v>106.1</v>
      </c>
      <c r="Q146" s="101">
        <f t="shared" si="11"/>
        <v>3.2904984423675968E-2</v>
      </c>
      <c r="R146" s="18"/>
      <c r="S146" s="219">
        <v>44766</v>
      </c>
      <c r="T146" s="18">
        <v>37.520000000000003</v>
      </c>
      <c r="U146" s="101">
        <f t="shared" si="12"/>
        <v>-0.11924882629107977</v>
      </c>
      <c r="V146" s="18"/>
      <c r="W146" s="219">
        <v>44766</v>
      </c>
      <c r="X146" s="18">
        <v>23.65</v>
      </c>
      <c r="Y146" s="101">
        <f t="shared" si="13"/>
        <v>-6.4107637514839777E-2</v>
      </c>
      <c r="Z146" s="18"/>
      <c r="AA146" s="219">
        <v>44766</v>
      </c>
      <c r="AB146" s="16">
        <v>4130.29</v>
      </c>
      <c r="AC146" s="17">
        <f t="shared" si="14"/>
        <v>4.2573385197507051E-2</v>
      </c>
    </row>
    <row r="147" spans="3:29" x14ac:dyDescent="0.25">
      <c r="C147" s="219">
        <v>44759</v>
      </c>
      <c r="D147" s="18">
        <v>220.44</v>
      </c>
      <c r="E147" s="17">
        <f t="shared" si="8"/>
        <v>0.16567077362381674</v>
      </c>
      <c r="F147" s="18"/>
      <c r="G147" s="219">
        <v>44759</v>
      </c>
      <c r="H147" s="18">
        <v>169.27</v>
      </c>
      <c r="I147" s="101">
        <f t="shared" si="9"/>
        <v>2.7747419550698371E-2</v>
      </c>
      <c r="J147" s="18"/>
      <c r="K147" s="219">
        <v>44759</v>
      </c>
      <c r="L147" s="18">
        <v>107.9</v>
      </c>
      <c r="M147" s="101">
        <f t="shared" si="10"/>
        <v>-3.4711039541957374E-2</v>
      </c>
      <c r="N147" s="18"/>
      <c r="O147" s="219">
        <v>44759</v>
      </c>
      <c r="P147" s="18">
        <v>102.72</v>
      </c>
      <c r="Q147" s="101">
        <f t="shared" si="11"/>
        <v>7.8991596638655417E-2</v>
      </c>
      <c r="R147" s="18"/>
      <c r="S147" s="219">
        <v>44759</v>
      </c>
      <c r="T147" s="18">
        <v>42.6</v>
      </c>
      <c r="U147" s="101">
        <f t="shared" si="12"/>
        <v>4.1564792176039193E-2</v>
      </c>
      <c r="V147" s="18"/>
      <c r="W147" s="219">
        <v>44759</v>
      </c>
      <c r="X147" s="18">
        <v>25.27</v>
      </c>
      <c r="Y147" s="101">
        <f t="shared" si="13"/>
        <v>1.0799999999999983E-2</v>
      </c>
      <c r="Z147" s="18"/>
      <c r="AA147" s="219">
        <v>44759</v>
      </c>
      <c r="AB147" s="16">
        <v>3961.63</v>
      </c>
      <c r="AC147" s="17">
        <f t="shared" si="14"/>
        <v>2.5489495646051488E-2</v>
      </c>
    </row>
    <row r="148" spans="3:29" x14ac:dyDescent="0.25">
      <c r="C148" s="219">
        <v>44752</v>
      </c>
      <c r="D148" s="18">
        <v>189.11</v>
      </c>
      <c r="E148" s="17">
        <f t="shared" si="8"/>
        <v>1.1391592683709616E-2</v>
      </c>
      <c r="F148" s="18"/>
      <c r="G148" s="219">
        <v>44752</v>
      </c>
      <c r="H148" s="18">
        <v>164.7</v>
      </c>
      <c r="I148" s="101">
        <f t="shared" si="9"/>
        <v>-3.6165730337078691E-2</v>
      </c>
      <c r="J148" s="18"/>
      <c r="K148" s="219">
        <v>44752</v>
      </c>
      <c r="L148" s="18">
        <v>111.78</v>
      </c>
      <c r="M148" s="101">
        <f t="shared" si="10"/>
        <v>-6.3426895684960141E-2</v>
      </c>
      <c r="N148" s="18"/>
      <c r="O148" s="219">
        <v>44752</v>
      </c>
      <c r="P148" s="18">
        <v>95.2</v>
      </c>
      <c r="Q148" s="101">
        <f t="shared" si="11"/>
        <v>-6.8850406843312811E-3</v>
      </c>
      <c r="R148" s="18"/>
      <c r="S148" s="219">
        <v>44752</v>
      </c>
      <c r="T148" s="18">
        <v>40.9</v>
      </c>
      <c r="U148" s="101">
        <f t="shared" si="12"/>
        <v>2.3523523523523465E-2</v>
      </c>
      <c r="V148" s="18"/>
      <c r="W148" s="219">
        <v>44752</v>
      </c>
      <c r="X148" s="18">
        <v>25</v>
      </c>
      <c r="Y148" s="101">
        <f t="shared" si="13"/>
        <v>-2.1909233176838763E-2</v>
      </c>
      <c r="Z148" s="18"/>
      <c r="AA148" s="219">
        <v>44752</v>
      </c>
      <c r="AB148" s="16">
        <v>3863.16</v>
      </c>
      <c r="AC148" s="17">
        <f t="shared" si="14"/>
        <v>-9.2886561453359908E-3</v>
      </c>
    </row>
    <row r="149" spans="3:29" x14ac:dyDescent="0.25">
      <c r="C149" s="219">
        <v>44745</v>
      </c>
      <c r="D149" s="18">
        <v>186.98</v>
      </c>
      <c r="E149" s="17">
        <f t="shared" si="8"/>
        <v>3.9066407335370944E-2</v>
      </c>
      <c r="F149" s="18"/>
      <c r="G149" s="219">
        <v>44745</v>
      </c>
      <c r="H149" s="18">
        <v>170.88</v>
      </c>
      <c r="I149" s="101">
        <f t="shared" si="9"/>
        <v>6.7799787539836245E-2</v>
      </c>
      <c r="J149" s="18"/>
      <c r="K149" s="219">
        <v>44745</v>
      </c>
      <c r="L149" s="18">
        <v>119.35</v>
      </c>
      <c r="M149" s="101">
        <f t="shared" si="10"/>
        <v>9.7572190546257126E-2</v>
      </c>
      <c r="N149" s="18"/>
      <c r="O149" s="219">
        <v>44745</v>
      </c>
      <c r="P149" s="18">
        <v>95.86</v>
      </c>
      <c r="Q149" s="101">
        <f t="shared" si="11"/>
        <v>-2.9124193883919404E-3</v>
      </c>
      <c r="R149" s="18"/>
      <c r="S149" s="219">
        <v>44745</v>
      </c>
      <c r="T149" s="18">
        <v>39.96</v>
      </c>
      <c r="U149" s="101">
        <f t="shared" si="12"/>
        <v>-8.1906180193596009E-3</v>
      </c>
      <c r="V149" s="18"/>
      <c r="W149" s="219">
        <v>44745</v>
      </c>
      <c r="X149" s="18">
        <v>25.56</v>
      </c>
      <c r="Y149" s="101">
        <f t="shared" si="13"/>
        <v>1.3883379611265286E-2</v>
      </c>
      <c r="Z149" s="18"/>
      <c r="AA149" s="219">
        <v>44745</v>
      </c>
      <c r="AB149" s="16">
        <v>3899.38</v>
      </c>
      <c r="AC149" s="17">
        <f t="shared" si="14"/>
        <v>1.9357807038869898E-2</v>
      </c>
    </row>
    <row r="150" spans="3:29" x14ac:dyDescent="0.25">
      <c r="C150" s="219">
        <v>44738</v>
      </c>
      <c r="D150" s="18">
        <v>179.95</v>
      </c>
      <c r="E150" s="17">
        <f t="shared" ref="E150:E213" si="15">(D150-D151)/D151</f>
        <v>-5.7112915902541292E-2</v>
      </c>
      <c r="F150" s="18"/>
      <c r="G150" s="219">
        <v>44738</v>
      </c>
      <c r="H150" s="18">
        <v>160.03</v>
      </c>
      <c r="I150" s="101">
        <f t="shared" ref="I150:I213" si="16">(H150-H151)/H151</f>
        <v>-5.9532204983544876E-2</v>
      </c>
      <c r="J150" s="18"/>
      <c r="K150" s="219">
        <v>44738</v>
      </c>
      <c r="L150" s="18">
        <v>108.74</v>
      </c>
      <c r="M150" s="101">
        <f t="shared" ref="M150:M213" si="17">(L150-L151)/L151</f>
        <v>-7.8240230567093366E-2</v>
      </c>
      <c r="N150" s="18"/>
      <c r="O150" s="219">
        <v>44738</v>
      </c>
      <c r="P150" s="18">
        <v>96.14</v>
      </c>
      <c r="Q150" s="101">
        <f t="shared" ref="Q150:Q213" si="18">(P150-P151)/P151</f>
        <v>-1.6772346083043572E-2</v>
      </c>
      <c r="R150" s="18"/>
      <c r="S150" s="219">
        <v>44738</v>
      </c>
      <c r="T150" s="18">
        <v>40.29</v>
      </c>
      <c r="U150" s="101">
        <f t="shared" ref="U150:U213" si="19">(T150-T151)/T151</f>
        <v>1.8195602729340381E-2</v>
      </c>
      <c r="V150" s="18"/>
      <c r="W150" s="219">
        <v>44738</v>
      </c>
      <c r="X150" s="18">
        <v>25.21</v>
      </c>
      <c r="Y150" s="101">
        <f t="shared" ref="Y150:Y213" si="20">(X150-X151)/X151</f>
        <v>-2.135093167701866E-2</v>
      </c>
      <c r="Z150" s="18"/>
      <c r="AA150" s="219">
        <v>44738</v>
      </c>
      <c r="AB150" s="16">
        <v>3825.33</v>
      </c>
      <c r="AC150" s="17">
        <f t="shared" ref="AC150:AC213" si="21">(AB150-AB151)/AB151</f>
        <v>-2.2089913951336197E-2</v>
      </c>
    </row>
    <row r="151" spans="3:29" x14ac:dyDescent="0.25">
      <c r="C151" s="219">
        <v>44731</v>
      </c>
      <c r="D151" s="18">
        <v>190.85</v>
      </c>
      <c r="E151" s="17">
        <f t="shared" si="15"/>
        <v>8.7402427212124684E-2</v>
      </c>
      <c r="F151" s="18"/>
      <c r="G151" s="219">
        <v>44731</v>
      </c>
      <c r="H151" s="18">
        <v>170.16</v>
      </c>
      <c r="I151" s="101">
        <f t="shared" si="16"/>
        <v>3.9208501282520992E-2</v>
      </c>
      <c r="J151" s="18"/>
      <c r="K151" s="219">
        <v>44731</v>
      </c>
      <c r="L151" s="18">
        <v>117.97</v>
      </c>
      <c r="M151" s="101">
        <f t="shared" si="17"/>
        <v>0.10108269553854768</v>
      </c>
      <c r="N151" s="18"/>
      <c r="O151" s="219">
        <v>44731</v>
      </c>
      <c r="P151" s="18">
        <v>97.78</v>
      </c>
      <c r="Q151" s="101">
        <f t="shared" si="18"/>
        <v>3.6463854144583398E-2</v>
      </c>
      <c r="R151" s="18"/>
      <c r="S151" s="219">
        <v>44731</v>
      </c>
      <c r="T151" s="18">
        <v>39.57</v>
      </c>
      <c r="U151" s="101">
        <f t="shared" si="19"/>
        <v>2.2216481529320573E-2</v>
      </c>
      <c r="V151" s="18"/>
      <c r="W151" s="219">
        <v>44731</v>
      </c>
      <c r="X151" s="18">
        <v>25.76</v>
      </c>
      <c r="Y151" s="101">
        <f t="shared" si="20"/>
        <v>4.8859934853420314E-2</v>
      </c>
      <c r="Z151" s="18"/>
      <c r="AA151" s="219">
        <v>44731</v>
      </c>
      <c r="AB151" s="16">
        <v>3911.74</v>
      </c>
      <c r="AC151" s="17">
        <f t="shared" si="21"/>
        <v>6.4465391690522483E-2</v>
      </c>
    </row>
    <row r="152" spans="3:29" x14ac:dyDescent="0.25">
      <c r="C152" s="219">
        <v>44724</v>
      </c>
      <c r="D152" s="18">
        <v>175.51</v>
      </c>
      <c r="E152" s="17">
        <f t="shared" si="15"/>
        <v>-4.0614409095878469E-2</v>
      </c>
      <c r="F152" s="18"/>
      <c r="G152" s="219">
        <v>44724</v>
      </c>
      <c r="H152" s="18">
        <v>163.74</v>
      </c>
      <c r="I152" s="101">
        <f t="shared" si="16"/>
        <v>-6.7380531981545741E-2</v>
      </c>
      <c r="J152" s="18"/>
      <c r="K152" s="219">
        <v>44724</v>
      </c>
      <c r="L152" s="18">
        <v>107.14</v>
      </c>
      <c r="M152" s="101">
        <f t="shared" si="17"/>
        <v>-3.6164087801367366E-2</v>
      </c>
      <c r="N152" s="18"/>
      <c r="O152" s="219">
        <v>44724</v>
      </c>
      <c r="P152" s="18">
        <v>94.34</v>
      </c>
      <c r="Q152" s="101">
        <f t="shared" si="18"/>
        <v>-5.0905432595573459E-2</v>
      </c>
      <c r="R152" s="18"/>
      <c r="S152" s="219">
        <v>44724</v>
      </c>
      <c r="T152" s="18">
        <v>38.71</v>
      </c>
      <c r="U152" s="101">
        <f t="shared" si="19"/>
        <v>-7.0141724717751652E-2</v>
      </c>
      <c r="V152" s="18"/>
      <c r="W152" s="219">
        <v>44724</v>
      </c>
      <c r="X152" s="18">
        <v>24.56</v>
      </c>
      <c r="Y152" s="101">
        <f t="shared" si="20"/>
        <v>-0.12566749733001073</v>
      </c>
      <c r="Z152" s="18"/>
      <c r="AA152" s="219">
        <v>44724</v>
      </c>
      <c r="AB152" s="16">
        <v>3674.84</v>
      </c>
      <c r="AC152" s="17">
        <f t="shared" si="21"/>
        <v>-5.7941069405208073E-2</v>
      </c>
    </row>
    <row r="153" spans="3:29" x14ac:dyDescent="0.25">
      <c r="C153" s="219">
        <v>44717</v>
      </c>
      <c r="D153" s="18">
        <v>182.94</v>
      </c>
      <c r="E153" s="17">
        <f t="shared" si="15"/>
        <v>-8.0611116695145202E-2</v>
      </c>
      <c r="F153" s="18"/>
      <c r="G153" s="219">
        <v>44717</v>
      </c>
      <c r="H153" s="18">
        <v>175.57</v>
      </c>
      <c r="I153" s="101">
        <f t="shared" si="16"/>
        <v>-7.9725338085753258E-2</v>
      </c>
      <c r="J153" s="18"/>
      <c r="K153" s="219">
        <v>44717</v>
      </c>
      <c r="L153" s="18">
        <v>111.16</v>
      </c>
      <c r="M153" s="101">
        <f t="shared" si="17"/>
        <v>-2.950934171468491E-2</v>
      </c>
      <c r="N153" s="18"/>
      <c r="O153" s="219">
        <v>44717</v>
      </c>
      <c r="P153" s="18">
        <v>99.4</v>
      </c>
      <c r="Q153" s="101">
        <f t="shared" si="18"/>
        <v>-8.5304131775098879E-2</v>
      </c>
      <c r="R153" s="18"/>
      <c r="S153" s="219">
        <v>44717</v>
      </c>
      <c r="T153" s="18">
        <v>41.63</v>
      </c>
      <c r="U153" s="101">
        <f t="shared" si="19"/>
        <v>-3.0281854181225185E-2</v>
      </c>
      <c r="V153" s="18"/>
      <c r="W153" s="219">
        <v>44717</v>
      </c>
      <c r="X153" s="18">
        <v>28.09</v>
      </c>
      <c r="Y153" s="101">
        <f t="shared" si="20"/>
        <v>-8.7987012987013016E-2</v>
      </c>
      <c r="Z153" s="18"/>
      <c r="AA153" s="219">
        <v>44717</v>
      </c>
      <c r="AB153" s="16">
        <v>3900.86</v>
      </c>
      <c r="AC153" s="17">
        <f t="shared" si="21"/>
        <v>-5.0548369980577004E-2</v>
      </c>
    </row>
    <row r="154" spans="3:29" x14ac:dyDescent="0.25">
      <c r="C154" s="219">
        <v>44710</v>
      </c>
      <c r="D154" s="18">
        <v>198.98</v>
      </c>
      <c r="E154" s="17">
        <f t="shared" si="15"/>
        <v>1.9416978328807788E-2</v>
      </c>
      <c r="F154" s="18"/>
      <c r="G154" s="219">
        <v>44710</v>
      </c>
      <c r="H154" s="18">
        <v>190.78</v>
      </c>
      <c r="I154" s="101">
        <f t="shared" si="16"/>
        <v>-2.2292830420745115E-2</v>
      </c>
      <c r="J154" s="18"/>
      <c r="K154" s="219">
        <v>44710</v>
      </c>
      <c r="L154" s="18">
        <v>114.54</v>
      </c>
      <c r="M154" s="101">
        <f t="shared" si="17"/>
        <v>1.9764957264957382E-2</v>
      </c>
      <c r="N154" s="18"/>
      <c r="O154" s="219">
        <v>44710</v>
      </c>
      <c r="P154" s="18">
        <v>108.67</v>
      </c>
      <c r="Q154" s="101">
        <f t="shared" si="18"/>
        <v>-5.945847054518766E-3</v>
      </c>
      <c r="R154" s="18"/>
      <c r="S154" s="219">
        <v>44710</v>
      </c>
      <c r="T154" s="18">
        <v>42.93</v>
      </c>
      <c r="U154" s="101">
        <f t="shared" si="19"/>
        <v>-2.785326086956515E-2</v>
      </c>
      <c r="V154" s="18"/>
      <c r="W154" s="219">
        <v>44710</v>
      </c>
      <c r="X154" s="18">
        <v>30.8</v>
      </c>
      <c r="Y154" s="101">
        <f t="shared" si="20"/>
        <v>-9.1713358891182428E-2</v>
      </c>
      <c r="Z154" s="18"/>
      <c r="AA154" s="219">
        <v>44710</v>
      </c>
      <c r="AB154" s="16">
        <v>4108.54</v>
      </c>
      <c r="AC154" s="17">
        <f t="shared" si="21"/>
        <v>-1.1952172072799987E-2</v>
      </c>
    </row>
    <row r="155" spans="3:29" x14ac:dyDescent="0.25">
      <c r="C155" s="219">
        <v>44703</v>
      </c>
      <c r="D155" s="18">
        <v>195.19</v>
      </c>
      <c r="E155" s="17">
        <f t="shared" si="15"/>
        <v>4.7437617386638063E-2</v>
      </c>
      <c r="F155" s="18"/>
      <c r="G155" s="219">
        <v>44703</v>
      </c>
      <c r="H155" s="18">
        <v>195.13</v>
      </c>
      <c r="I155" s="101">
        <f t="shared" si="16"/>
        <v>8.2153559987599642E-3</v>
      </c>
      <c r="J155" s="18"/>
      <c r="K155" s="219">
        <v>44703</v>
      </c>
      <c r="L155" s="18">
        <v>112.32</v>
      </c>
      <c r="M155" s="101">
        <f t="shared" si="17"/>
        <v>3.131025617482322E-2</v>
      </c>
      <c r="N155" s="18"/>
      <c r="O155" s="219">
        <v>44703</v>
      </c>
      <c r="P155" s="18">
        <v>109.32</v>
      </c>
      <c r="Q155" s="101">
        <f t="shared" si="18"/>
        <v>6.7369654364381873E-2</v>
      </c>
      <c r="R155" s="18"/>
      <c r="S155" s="219">
        <v>44703</v>
      </c>
      <c r="T155" s="18">
        <v>44.16</v>
      </c>
      <c r="U155" s="101">
        <f t="shared" si="19"/>
        <v>5.1178290883123034E-2</v>
      </c>
      <c r="V155" s="18"/>
      <c r="W155" s="219">
        <v>44703</v>
      </c>
      <c r="X155" s="18">
        <v>33.909999999999997</v>
      </c>
      <c r="Y155" s="101">
        <f t="shared" si="20"/>
        <v>3.8909313725490072E-2</v>
      </c>
      <c r="Z155" s="18"/>
      <c r="AA155" s="219">
        <v>44703</v>
      </c>
      <c r="AB155" s="16">
        <v>4158.24</v>
      </c>
      <c r="AC155" s="17">
        <f t="shared" si="21"/>
        <v>6.5843705784649362E-2</v>
      </c>
    </row>
    <row r="156" spans="3:29" x14ac:dyDescent="0.25">
      <c r="C156" s="219">
        <v>44696</v>
      </c>
      <c r="D156" s="18">
        <v>186.35</v>
      </c>
      <c r="E156" s="17">
        <f t="shared" si="15"/>
        <v>-6.8748667661479006E-3</v>
      </c>
      <c r="F156" s="18"/>
      <c r="G156" s="219">
        <v>44696</v>
      </c>
      <c r="H156" s="18">
        <v>193.54</v>
      </c>
      <c r="I156" s="101">
        <f t="shared" si="16"/>
        <v>-2.5576477696103175E-2</v>
      </c>
      <c r="J156" s="18"/>
      <c r="K156" s="219">
        <v>44696</v>
      </c>
      <c r="L156" s="18">
        <v>108.91</v>
      </c>
      <c r="M156" s="101">
        <f t="shared" si="17"/>
        <v>-6.1525204653166743E-2</v>
      </c>
      <c r="N156" s="18"/>
      <c r="O156" s="219">
        <v>44696</v>
      </c>
      <c r="P156" s="18">
        <v>102.42</v>
      </c>
      <c r="Q156" s="101">
        <f t="shared" si="18"/>
        <v>-4.5746762321811206E-2</v>
      </c>
      <c r="R156" s="18"/>
      <c r="S156" s="219">
        <v>44696</v>
      </c>
      <c r="T156" s="18">
        <v>42.01</v>
      </c>
      <c r="U156" s="101">
        <f t="shared" si="19"/>
        <v>1.2777242044358756E-2</v>
      </c>
      <c r="V156" s="18"/>
      <c r="W156" s="219">
        <v>44696</v>
      </c>
      <c r="X156" s="18">
        <v>32.64</v>
      </c>
      <c r="Y156" s="101">
        <f t="shared" si="20"/>
        <v>0.15132275132275128</v>
      </c>
      <c r="Z156" s="18"/>
      <c r="AA156" s="219">
        <v>44696</v>
      </c>
      <c r="AB156" s="16">
        <v>3901.36</v>
      </c>
      <c r="AC156" s="17">
        <f t="shared" si="21"/>
        <v>-3.0450633590878417E-2</v>
      </c>
    </row>
    <row r="157" spans="3:29" x14ac:dyDescent="0.25">
      <c r="C157" s="219">
        <v>44689</v>
      </c>
      <c r="D157" s="18">
        <v>187.64</v>
      </c>
      <c r="E157" s="17">
        <f t="shared" si="15"/>
        <v>3.6856937613969097E-2</v>
      </c>
      <c r="F157" s="18"/>
      <c r="G157" s="219">
        <v>44689</v>
      </c>
      <c r="H157" s="18">
        <v>198.62</v>
      </c>
      <c r="I157" s="101">
        <f t="shared" si="16"/>
        <v>-2.5273592776169237E-2</v>
      </c>
      <c r="J157" s="18"/>
      <c r="K157" s="219">
        <v>44689</v>
      </c>
      <c r="L157" s="18">
        <v>116.05</v>
      </c>
      <c r="M157" s="101">
        <f t="shared" si="17"/>
        <v>2.5917926565874484E-3</v>
      </c>
      <c r="N157" s="18"/>
      <c r="O157" s="219">
        <v>44689</v>
      </c>
      <c r="P157" s="18">
        <v>107.33</v>
      </c>
      <c r="Q157" s="101">
        <f t="shared" si="18"/>
        <v>-2.683833529785119E-2</v>
      </c>
      <c r="R157" s="18"/>
      <c r="S157" s="219">
        <v>44689</v>
      </c>
      <c r="T157" s="18">
        <v>41.48</v>
      </c>
      <c r="U157" s="101">
        <f t="shared" si="19"/>
        <v>3.6999999999999922E-2</v>
      </c>
      <c r="V157" s="18"/>
      <c r="W157" s="219">
        <v>44689</v>
      </c>
      <c r="X157" s="18">
        <v>28.35</v>
      </c>
      <c r="Y157" s="101">
        <f t="shared" si="20"/>
        <v>1.5764958796130466E-2</v>
      </c>
      <c r="Z157" s="18"/>
      <c r="AA157" s="219">
        <v>44689</v>
      </c>
      <c r="AB157" s="16">
        <v>4023.89</v>
      </c>
      <c r="AC157" s="17">
        <f t="shared" si="21"/>
        <v>-2.4118796897660701E-2</v>
      </c>
    </row>
    <row r="158" spans="3:29" x14ac:dyDescent="0.25">
      <c r="C158" s="219">
        <v>44682</v>
      </c>
      <c r="D158" s="18">
        <v>180.97</v>
      </c>
      <c r="E158" s="17">
        <f t="shared" si="15"/>
        <v>-4.9327589829796251E-2</v>
      </c>
      <c r="F158" s="18"/>
      <c r="G158" s="219">
        <v>44682</v>
      </c>
      <c r="H158" s="18">
        <v>203.77</v>
      </c>
      <c r="I158" s="101">
        <f t="shared" si="16"/>
        <v>1.6461315907617156E-2</v>
      </c>
      <c r="J158" s="18"/>
      <c r="K158" s="219">
        <v>44682</v>
      </c>
      <c r="L158" s="18">
        <v>115.75</v>
      </c>
      <c r="M158" s="101">
        <f t="shared" si="17"/>
        <v>1.4372097099290163E-2</v>
      </c>
      <c r="N158" s="18"/>
      <c r="O158" s="219">
        <v>44682</v>
      </c>
      <c r="P158" s="18">
        <v>110.29</v>
      </c>
      <c r="Q158" s="101">
        <f t="shared" si="18"/>
        <v>-1.2003941592761707E-2</v>
      </c>
      <c r="R158" s="18"/>
      <c r="S158" s="219">
        <v>44682</v>
      </c>
      <c r="T158" s="18">
        <v>40</v>
      </c>
      <c r="U158" s="101">
        <f t="shared" si="19"/>
        <v>6.0362173038229876E-3</v>
      </c>
      <c r="V158" s="18"/>
      <c r="W158" s="219">
        <v>44682</v>
      </c>
      <c r="X158" s="18">
        <v>27.91</v>
      </c>
      <c r="Y158" s="101">
        <f t="shared" si="20"/>
        <v>-4.1552197802197828E-2</v>
      </c>
      <c r="Z158" s="18"/>
      <c r="AA158" s="219">
        <v>44682</v>
      </c>
      <c r="AB158" s="16">
        <v>4123.34</v>
      </c>
      <c r="AC158" s="17">
        <f t="shared" si="21"/>
        <v>-2.0789316372736579E-3</v>
      </c>
    </row>
    <row r="159" spans="3:29" x14ac:dyDescent="0.25">
      <c r="C159" s="219">
        <v>44675</v>
      </c>
      <c r="D159" s="18">
        <v>190.36</v>
      </c>
      <c r="E159" s="17">
        <f t="shared" si="15"/>
        <v>-0.11674090571640681</v>
      </c>
      <c r="F159" s="18"/>
      <c r="G159" s="219">
        <v>44675</v>
      </c>
      <c r="H159" s="18">
        <v>200.47</v>
      </c>
      <c r="I159" s="101">
        <f t="shared" si="16"/>
        <v>8.8859920699581679E-2</v>
      </c>
      <c r="J159" s="18"/>
      <c r="K159" s="219">
        <v>44675</v>
      </c>
      <c r="L159" s="18">
        <v>114.11</v>
      </c>
      <c r="M159" s="101">
        <f t="shared" si="17"/>
        <v>-4.6221999331327326E-2</v>
      </c>
      <c r="N159" s="18"/>
      <c r="O159" s="219">
        <v>44675</v>
      </c>
      <c r="P159" s="18">
        <v>111.63</v>
      </c>
      <c r="Q159" s="101">
        <f t="shared" si="18"/>
        <v>-5.614272427496407E-2</v>
      </c>
      <c r="R159" s="18"/>
      <c r="S159" s="219">
        <v>44675</v>
      </c>
      <c r="T159" s="18">
        <v>39.76</v>
      </c>
      <c r="U159" s="101">
        <f t="shared" si="19"/>
        <v>-0.12384310268840909</v>
      </c>
      <c r="V159" s="18"/>
      <c r="W159" s="219">
        <v>44675</v>
      </c>
      <c r="X159" s="18">
        <v>29.12</v>
      </c>
      <c r="Y159" s="101">
        <f t="shared" si="20"/>
        <v>-6.1855670103092723E-2</v>
      </c>
      <c r="Z159" s="18"/>
      <c r="AA159" s="219">
        <v>44675</v>
      </c>
      <c r="AB159" s="16">
        <v>4131.93</v>
      </c>
      <c r="AC159" s="17">
        <f t="shared" si="21"/>
        <v>-3.2738109172288712E-2</v>
      </c>
    </row>
    <row r="160" spans="3:29" x14ac:dyDescent="0.25">
      <c r="C160" s="219">
        <v>44668</v>
      </c>
      <c r="D160" s="18">
        <v>215.52</v>
      </c>
      <c r="E160" s="17">
        <f t="shared" si="15"/>
        <v>-0.36821739512795704</v>
      </c>
      <c r="F160" s="18"/>
      <c r="G160" s="219">
        <v>44668</v>
      </c>
      <c r="H160" s="18">
        <v>184.11</v>
      </c>
      <c r="I160" s="101">
        <f t="shared" si="16"/>
        <v>-0.12403654010847841</v>
      </c>
      <c r="J160" s="18"/>
      <c r="K160" s="219">
        <v>44668</v>
      </c>
      <c r="L160" s="18">
        <v>119.64</v>
      </c>
      <c r="M160" s="101">
        <f t="shared" si="17"/>
        <v>-5.5945711354848916E-2</v>
      </c>
      <c r="N160" s="18"/>
      <c r="O160" s="219">
        <v>44668</v>
      </c>
      <c r="P160" s="18">
        <v>118.27</v>
      </c>
      <c r="Q160" s="101">
        <f t="shared" si="18"/>
        <v>-9.3508086150072833E-2</v>
      </c>
      <c r="R160" s="18"/>
      <c r="S160" s="219">
        <v>44668</v>
      </c>
      <c r="T160" s="18">
        <v>45.38</v>
      </c>
      <c r="U160" s="101">
        <f t="shared" si="19"/>
        <v>-4.6237915090374018E-2</v>
      </c>
      <c r="V160" s="18"/>
      <c r="W160" s="219">
        <v>44668</v>
      </c>
      <c r="X160" s="18">
        <v>31.04</v>
      </c>
      <c r="Y160" s="101">
        <f t="shared" si="20"/>
        <v>-0.14748695413347976</v>
      </c>
      <c r="Z160" s="18"/>
      <c r="AA160" s="219">
        <v>44668</v>
      </c>
      <c r="AB160" s="16">
        <v>4271.78</v>
      </c>
      <c r="AC160" s="17">
        <f t="shared" si="21"/>
        <v>-2.750313596306516E-2</v>
      </c>
    </row>
    <row r="161" spans="3:29" x14ac:dyDescent="0.25">
      <c r="C161" s="219">
        <v>44661</v>
      </c>
      <c r="D161" s="18">
        <v>341.13</v>
      </c>
      <c r="E161" s="17">
        <f t="shared" si="15"/>
        <v>-4.1446555018545578E-2</v>
      </c>
      <c r="F161" s="18"/>
      <c r="G161" s="219">
        <v>44661</v>
      </c>
      <c r="H161" s="18">
        <v>210.18</v>
      </c>
      <c r="I161" s="101">
        <f t="shared" si="16"/>
        <v>-5.4648495479692374E-2</v>
      </c>
      <c r="J161" s="18"/>
      <c r="K161" s="219">
        <v>44661</v>
      </c>
      <c r="L161" s="18">
        <v>126.73</v>
      </c>
      <c r="M161" s="101">
        <f t="shared" si="17"/>
        <v>-4.9215995198439409E-2</v>
      </c>
      <c r="N161" s="18"/>
      <c r="O161" s="219">
        <v>44661</v>
      </c>
      <c r="P161" s="18">
        <v>130.47</v>
      </c>
      <c r="Q161" s="101">
        <f t="shared" si="18"/>
        <v>-1.0616516266019607E-2</v>
      </c>
      <c r="R161" s="18"/>
      <c r="S161" s="219">
        <v>44661</v>
      </c>
      <c r="T161" s="18">
        <v>47.58</v>
      </c>
      <c r="U161" s="101">
        <f t="shared" si="19"/>
        <v>3.3741037536903539E-3</v>
      </c>
      <c r="V161" s="18"/>
      <c r="W161" s="219">
        <v>44661</v>
      </c>
      <c r="X161" s="18">
        <v>36.409999999999997</v>
      </c>
      <c r="Y161" s="101">
        <f t="shared" si="20"/>
        <v>1.3077351140790176E-2</v>
      </c>
      <c r="Z161" s="18"/>
      <c r="AA161" s="219">
        <v>44661</v>
      </c>
      <c r="AB161" s="16">
        <v>4392.59</v>
      </c>
      <c r="AC161" s="17">
        <f t="shared" si="21"/>
        <v>-2.1319971124796049E-2</v>
      </c>
    </row>
    <row r="162" spans="3:29" x14ac:dyDescent="0.25">
      <c r="C162" s="219">
        <v>44654</v>
      </c>
      <c r="D162" s="18">
        <v>355.88</v>
      </c>
      <c r="E162" s="17">
        <f t="shared" si="15"/>
        <v>-4.7098829892628674E-2</v>
      </c>
      <c r="F162" s="18"/>
      <c r="G162" s="219">
        <v>44654</v>
      </c>
      <c r="H162" s="18">
        <v>222.33</v>
      </c>
      <c r="I162" s="101">
        <f t="shared" si="16"/>
        <v>-1.1207471647765097E-2</v>
      </c>
      <c r="J162" s="18"/>
      <c r="K162" s="219">
        <v>44654</v>
      </c>
      <c r="L162" s="18">
        <v>133.29</v>
      </c>
      <c r="M162" s="101">
        <f t="shared" si="17"/>
        <v>-4.8947556189796744E-2</v>
      </c>
      <c r="N162" s="18"/>
      <c r="O162" s="219">
        <v>44654</v>
      </c>
      <c r="P162" s="18">
        <v>131.87</v>
      </c>
      <c r="Q162" s="101">
        <f t="shared" si="18"/>
        <v>-3.7445255474452523E-2</v>
      </c>
      <c r="R162" s="18"/>
      <c r="S162" s="219">
        <v>44654</v>
      </c>
      <c r="T162" s="18">
        <v>47.42</v>
      </c>
      <c r="U162" s="101">
        <f t="shared" si="19"/>
        <v>-5.8700209643606106E-3</v>
      </c>
      <c r="V162" s="18"/>
      <c r="W162" s="219">
        <v>44654</v>
      </c>
      <c r="X162" s="18">
        <v>35.94</v>
      </c>
      <c r="Y162" s="101">
        <f t="shared" si="20"/>
        <v>-3.9037433155080237E-2</v>
      </c>
      <c r="Z162" s="18"/>
      <c r="AA162" s="219">
        <v>44654</v>
      </c>
      <c r="AB162" s="16">
        <v>4488.28</v>
      </c>
      <c r="AC162" s="17">
        <f t="shared" si="21"/>
        <v>-1.2666470150862528E-2</v>
      </c>
    </row>
    <row r="163" spans="3:29" x14ac:dyDescent="0.25">
      <c r="C163" s="219">
        <v>44647</v>
      </c>
      <c r="D163" s="18">
        <v>373.47</v>
      </c>
      <c r="E163" s="17">
        <f t="shared" si="15"/>
        <v>-1.0164504480406457E-3</v>
      </c>
      <c r="F163" s="18"/>
      <c r="G163" s="219">
        <v>44647</v>
      </c>
      <c r="H163" s="18">
        <v>224.85</v>
      </c>
      <c r="I163" s="101">
        <f t="shared" si="16"/>
        <v>1.3659724100622132E-2</v>
      </c>
      <c r="J163" s="18"/>
      <c r="K163" s="219">
        <v>44647</v>
      </c>
      <c r="L163" s="18">
        <v>140.15</v>
      </c>
      <c r="M163" s="101">
        <f t="shared" si="17"/>
        <v>-1.0729159313898369E-2</v>
      </c>
      <c r="N163" s="18"/>
      <c r="O163" s="219">
        <v>44647</v>
      </c>
      <c r="P163" s="18">
        <v>137</v>
      </c>
      <c r="Q163" s="101">
        <f t="shared" si="18"/>
        <v>-1.5380192611757845E-2</v>
      </c>
      <c r="R163" s="18"/>
      <c r="S163" s="219">
        <v>44647</v>
      </c>
      <c r="T163" s="18">
        <v>47.7</v>
      </c>
      <c r="U163" s="101">
        <f t="shared" si="19"/>
        <v>1.2094207511139408E-2</v>
      </c>
      <c r="V163" s="18"/>
      <c r="W163" s="219">
        <v>44647</v>
      </c>
      <c r="X163" s="18">
        <v>37.4</v>
      </c>
      <c r="Y163" s="101">
        <f t="shared" si="20"/>
        <v>-2.8066528066528023E-2</v>
      </c>
      <c r="Z163" s="18"/>
      <c r="AA163" s="219">
        <v>44647</v>
      </c>
      <c r="AB163" s="16">
        <v>4545.8599999999997</v>
      </c>
      <c r="AC163" s="17">
        <f t="shared" si="21"/>
        <v>6.1632467984118022E-4</v>
      </c>
    </row>
    <row r="164" spans="3:29" x14ac:dyDescent="0.25">
      <c r="C164" s="219">
        <v>44640</v>
      </c>
      <c r="D164" s="18">
        <v>373.85</v>
      </c>
      <c r="E164" s="17">
        <f t="shared" si="15"/>
        <v>-1.7735155018392013E-2</v>
      </c>
      <c r="F164" s="18"/>
      <c r="G164" s="219">
        <v>44640</v>
      </c>
      <c r="H164" s="18">
        <v>221.82</v>
      </c>
      <c r="I164" s="101">
        <f t="shared" si="16"/>
        <v>2.4620074830246128E-2</v>
      </c>
      <c r="J164" s="18"/>
      <c r="K164" s="219">
        <v>44640</v>
      </c>
      <c r="L164" s="18">
        <v>141.66999999999999</v>
      </c>
      <c r="M164" s="101">
        <f t="shared" si="17"/>
        <v>4.0696393153603114E-2</v>
      </c>
      <c r="N164" s="18"/>
      <c r="O164" s="219">
        <v>44640</v>
      </c>
      <c r="P164" s="18">
        <v>139.13999999999999</v>
      </c>
      <c r="Q164" s="101">
        <f t="shared" si="18"/>
        <v>-8.2679971489666784E-3</v>
      </c>
      <c r="R164" s="18"/>
      <c r="S164" s="219">
        <v>44640</v>
      </c>
      <c r="T164" s="18">
        <v>47.13</v>
      </c>
      <c r="U164" s="101">
        <f t="shared" si="19"/>
        <v>4.6898315924111273E-3</v>
      </c>
      <c r="V164" s="18"/>
      <c r="W164" s="219">
        <v>44640</v>
      </c>
      <c r="X164" s="18">
        <v>38.479999999999997</v>
      </c>
      <c r="Y164" s="101">
        <f t="shared" si="20"/>
        <v>3.7476408735508046E-2</v>
      </c>
      <c r="Z164" s="18"/>
      <c r="AA164" s="219">
        <v>44640</v>
      </c>
      <c r="AB164" s="16">
        <v>4543.0600000000004</v>
      </c>
      <c r="AC164" s="17">
        <f t="shared" si="21"/>
        <v>1.7911236982200908E-2</v>
      </c>
    </row>
    <row r="165" spans="3:29" x14ac:dyDescent="0.25">
      <c r="C165" s="219">
        <v>44633</v>
      </c>
      <c r="D165" s="18">
        <v>380.6</v>
      </c>
      <c r="E165" s="17">
        <f t="shared" si="15"/>
        <v>0.11835919134931838</v>
      </c>
      <c r="F165" s="18"/>
      <c r="G165" s="219">
        <v>44633</v>
      </c>
      <c r="H165" s="18">
        <v>216.49</v>
      </c>
      <c r="I165" s="101">
        <f t="shared" si="16"/>
        <v>0.1539363573370289</v>
      </c>
      <c r="J165" s="18"/>
      <c r="K165" s="219">
        <v>44633</v>
      </c>
      <c r="L165" s="18">
        <v>136.13</v>
      </c>
      <c r="M165" s="101">
        <f t="shared" si="17"/>
        <v>4.8202048202048133E-2</v>
      </c>
      <c r="N165" s="18"/>
      <c r="O165" s="219">
        <v>44633</v>
      </c>
      <c r="P165" s="18">
        <v>140.30000000000001</v>
      </c>
      <c r="Q165" s="101">
        <f t="shared" si="18"/>
        <v>6.4895635673624372E-2</v>
      </c>
      <c r="R165" s="18"/>
      <c r="S165" s="219">
        <v>44633</v>
      </c>
      <c r="T165" s="18">
        <v>46.91</v>
      </c>
      <c r="U165" s="101">
        <f t="shared" si="19"/>
        <v>4.1981341625943878E-2</v>
      </c>
      <c r="V165" s="18"/>
      <c r="W165" s="219">
        <v>44633</v>
      </c>
      <c r="X165" s="18">
        <v>37.090000000000003</v>
      </c>
      <c r="Y165" s="101">
        <f t="shared" si="20"/>
        <v>0.13703249540159432</v>
      </c>
      <c r="Z165" s="18"/>
      <c r="AA165" s="219">
        <v>44633</v>
      </c>
      <c r="AB165" s="16">
        <v>4463.12</v>
      </c>
      <c r="AC165" s="17">
        <f t="shared" si="21"/>
        <v>6.1558258073262789E-2</v>
      </c>
    </row>
    <row r="166" spans="3:29" x14ac:dyDescent="0.25">
      <c r="C166" s="219">
        <v>44626</v>
      </c>
      <c r="D166" s="18">
        <v>340.32</v>
      </c>
      <c r="E166" s="17">
        <f t="shared" si="15"/>
        <v>-5.9187791999557746E-2</v>
      </c>
      <c r="F166" s="18"/>
      <c r="G166" s="219">
        <v>44626</v>
      </c>
      <c r="H166" s="18">
        <v>187.61</v>
      </c>
      <c r="I166" s="101">
        <f t="shared" si="16"/>
        <v>-6.2231330600819694E-2</v>
      </c>
      <c r="J166" s="18"/>
      <c r="K166" s="219">
        <v>44626</v>
      </c>
      <c r="L166" s="18">
        <v>129.87</v>
      </c>
      <c r="M166" s="101">
        <f t="shared" si="17"/>
        <v>-1.5465089833977652E-2</v>
      </c>
      <c r="N166" s="18"/>
      <c r="O166" s="219">
        <v>44626</v>
      </c>
      <c r="P166" s="18">
        <v>131.75</v>
      </c>
      <c r="Q166" s="101">
        <f t="shared" si="18"/>
        <v>-6.3743604320636721E-2</v>
      </c>
      <c r="R166" s="18"/>
      <c r="S166" s="219">
        <v>44626</v>
      </c>
      <c r="T166" s="18">
        <v>45.02</v>
      </c>
      <c r="U166" s="101">
        <f t="shared" si="19"/>
        <v>-4.6388477017580969E-2</v>
      </c>
      <c r="V166" s="18"/>
      <c r="W166" s="219">
        <v>44626</v>
      </c>
      <c r="X166" s="18">
        <v>32.619999999999997</v>
      </c>
      <c r="Y166" s="101">
        <f t="shared" si="20"/>
        <v>-4.2559436454358758E-2</v>
      </c>
      <c r="Z166" s="18"/>
      <c r="AA166" s="219">
        <v>44626</v>
      </c>
      <c r="AB166" s="16">
        <v>4204.3100000000004</v>
      </c>
      <c r="AC166" s="17">
        <f t="shared" si="21"/>
        <v>-2.8774252865066286E-2</v>
      </c>
    </row>
    <row r="167" spans="3:29" x14ac:dyDescent="0.25">
      <c r="C167" s="219">
        <v>44619</v>
      </c>
      <c r="D167" s="18">
        <v>361.73</v>
      </c>
      <c r="E167" s="17">
        <f t="shared" si="15"/>
        <v>-7.4385875127942661E-2</v>
      </c>
      <c r="F167" s="18"/>
      <c r="G167" s="219">
        <v>44619</v>
      </c>
      <c r="H167" s="18">
        <v>200.06</v>
      </c>
      <c r="I167" s="101">
        <f t="shared" si="16"/>
        <v>-4.9505891296085083E-2</v>
      </c>
      <c r="J167" s="18"/>
      <c r="K167" s="219">
        <v>44619</v>
      </c>
      <c r="L167" s="18">
        <v>131.91</v>
      </c>
      <c r="M167" s="101">
        <f t="shared" si="17"/>
        <v>-1.8964747880410613E-2</v>
      </c>
      <c r="N167" s="18"/>
      <c r="O167" s="219">
        <v>44619</v>
      </c>
      <c r="P167" s="18">
        <v>140.72</v>
      </c>
      <c r="Q167" s="101">
        <f t="shared" si="18"/>
        <v>-5.8917942887714854E-2</v>
      </c>
      <c r="R167" s="18"/>
      <c r="S167" s="219">
        <v>44619</v>
      </c>
      <c r="T167" s="18">
        <v>47.21</v>
      </c>
      <c r="U167" s="101">
        <f t="shared" si="19"/>
        <v>2.9742936052687607E-3</v>
      </c>
      <c r="V167" s="18"/>
      <c r="W167" s="219">
        <v>44619</v>
      </c>
      <c r="X167" s="18">
        <v>34.07</v>
      </c>
      <c r="Y167" s="101">
        <f t="shared" si="20"/>
        <v>0.15257104194857923</v>
      </c>
      <c r="Z167" s="18"/>
      <c r="AA167" s="219">
        <v>44619</v>
      </c>
      <c r="AB167" s="16">
        <v>4328.87</v>
      </c>
      <c r="AC167" s="17">
        <f t="shared" si="21"/>
        <v>-1.2721653951854709E-2</v>
      </c>
    </row>
    <row r="168" spans="3:29" x14ac:dyDescent="0.25">
      <c r="C168" s="219">
        <v>44612</v>
      </c>
      <c r="D168" s="18">
        <v>390.8</v>
      </c>
      <c r="E168" s="17">
        <f t="shared" si="15"/>
        <v>-1.2522681387206651E-3</v>
      </c>
      <c r="F168" s="18"/>
      <c r="G168" s="219">
        <v>44612</v>
      </c>
      <c r="H168" s="18">
        <v>210.48</v>
      </c>
      <c r="I168" s="101">
        <f t="shared" si="16"/>
        <v>2.095459837019787E-2</v>
      </c>
      <c r="J168" s="18"/>
      <c r="K168" s="219">
        <v>44612</v>
      </c>
      <c r="L168" s="18">
        <v>134.46</v>
      </c>
      <c r="M168" s="101">
        <f t="shared" si="17"/>
        <v>3.1134969325153389E-2</v>
      </c>
      <c r="N168" s="18"/>
      <c r="O168" s="219">
        <v>44612</v>
      </c>
      <c r="P168" s="18">
        <v>149.53</v>
      </c>
      <c r="Q168" s="101">
        <f t="shared" si="18"/>
        <v>-1.2090380549682957E-2</v>
      </c>
      <c r="R168" s="18"/>
      <c r="S168" s="219">
        <v>44612</v>
      </c>
      <c r="T168" s="18">
        <v>47.07</v>
      </c>
      <c r="U168" s="101">
        <f t="shared" si="19"/>
        <v>9.2195540308747798E-3</v>
      </c>
      <c r="V168" s="18"/>
      <c r="W168" s="219">
        <v>44612</v>
      </c>
      <c r="X168" s="18">
        <v>29.56</v>
      </c>
      <c r="Y168" s="101">
        <f t="shared" si="20"/>
        <v>4.1578576462297387E-2</v>
      </c>
      <c r="Z168" s="18"/>
      <c r="AA168" s="219">
        <v>44612</v>
      </c>
      <c r="AB168" s="16">
        <v>4384.6499999999996</v>
      </c>
      <c r="AC168" s="17">
        <f t="shared" si="21"/>
        <v>8.2274245953545978E-3</v>
      </c>
    </row>
    <row r="169" spans="3:29" x14ac:dyDescent="0.25">
      <c r="C169" s="219">
        <v>44605</v>
      </c>
      <c r="D169" s="18">
        <v>391.29</v>
      </c>
      <c r="E169" s="17">
        <f t="shared" si="15"/>
        <v>-5.111037285012346E-5</v>
      </c>
      <c r="F169" s="18"/>
      <c r="G169" s="219">
        <v>44605</v>
      </c>
      <c r="H169" s="18">
        <v>206.16</v>
      </c>
      <c r="I169" s="101">
        <f t="shared" si="16"/>
        <v>-6.0988385333637048E-2</v>
      </c>
      <c r="J169" s="18"/>
      <c r="K169" s="219">
        <v>44605</v>
      </c>
      <c r="L169" s="18">
        <v>130.4</v>
      </c>
      <c r="M169" s="101">
        <f t="shared" si="17"/>
        <v>-2.8894846589216528E-2</v>
      </c>
      <c r="N169" s="18"/>
      <c r="O169" s="219">
        <v>44605</v>
      </c>
      <c r="P169" s="18">
        <v>151.36000000000001</v>
      </c>
      <c r="Q169" s="101">
        <f t="shared" si="18"/>
        <v>1.2644677861778383E-2</v>
      </c>
      <c r="R169" s="18"/>
      <c r="S169" s="219">
        <v>44605</v>
      </c>
      <c r="T169" s="18">
        <v>46.64</v>
      </c>
      <c r="U169" s="101">
        <f t="shared" si="19"/>
        <v>-2.0579588408231771E-2</v>
      </c>
      <c r="V169" s="18"/>
      <c r="W169" s="219">
        <v>44605</v>
      </c>
      <c r="X169" s="18">
        <v>28.38</v>
      </c>
      <c r="Y169" s="101">
        <f t="shared" si="20"/>
        <v>-0.2116666666666667</v>
      </c>
      <c r="Z169" s="18"/>
      <c r="AA169" s="219">
        <v>44605</v>
      </c>
      <c r="AB169" s="16">
        <v>4348.87</v>
      </c>
      <c r="AC169" s="17">
        <f t="shared" si="21"/>
        <v>-1.5789926312168547E-2</v>
      </c>
    </row>
    <row r="170" spans="3:29" x14ac:dyDescent="0.25">
      <c r="C170" s="219">
        <v>44598</v>
      </c>
      <c r="D170" s="18">
        <v>391.31</v>
      </c>
      <c r="E170" s="17">
        <f t="shared" si="15"/>
        <v>-4.5980934734378462E-2</v>
      </c>
      <c r="F170" s="18"/>
      <c r="G170" s="219">
        <v>44598</v>
      </c>
      <c r="H170" s="18">
        <v>219.55</v>
      </c>
      <c r="I170" s="101">
        <f t="shared" si="16"/>
        <v>-7.3980345016660301E-2</v>
      </c>
      <c r="J170" s="18"/>
      <c r="K170" s="219">
        <v>44598</v>
      </c>
      <c r="L170" s="18">
        <v>134.28</v>
      </c>
      <c r="M170" s="101">
        <f t="shared" si="17"/>
        <v>-6.2879475190173714E-2</v>
      </c>
      <c r="N170" s="18"/>
      <c r="O170" s="219">
        <v>44598</v>
      </c>
      <c r="P170" s="18">
        <v>149.47</v>
      </c>
      <c r="Q170" s="101">
        <f t="shared" si="18"/>
        <v>5.2457400366145532E-2</v>
      </c>
      <c r="R170" s="18"/>
      <c r="S170" s="219">
        <v>44598</v>
      </c>
      <c r="T170" s="18">
        <v>47.62</v>
      </c>
      <c r="U170" s="101">
        <f t="shared" si="19"/>
        <v>-3.4664504358402612E-2</v>
      </c>
      <c r="V170" s="18"/>
      <c r="W170" s="219">
        <v>44598</v>
      </c>
      <c r="X170" s="18">
        <v>36</v>
      </c>
      <c r="Y170" s="101">
        <f t="shared" si="20"/>
        <v>7.7521700089793588E-2</v>
      </c>
      <c r="Z170" s="18"/>
      <c r="AA170" s="219">
        <v>44598</v>
      </c>
      <c r="AB170" s="16">
        <v>4418.6400000000003</v>
      </c>
      <c r="AC170" s="17">
        <f t="shared" si="21"/>
        <v>-1.8195634736353147E-2</v>
      </c>
    </row>
    <row r="171" spans="3:29" x14ac:dyDescent="0.25">
      <c r="C171" s="219">
        <v>44591</v>
      </c>
      <c r="D171" s="18">
        <v>410.17</v>
      </c>
      <c r="E171" s="17">
        <f t="shared" si="15"/>
        <v>6.7150587990425642E-2</v>
      </c>
      <c r="F171" s="18"/>
      <c r="G171" s="219">
        <v>44591</v>
      </c>
      <c r="H171" s="18">
        <v>237.09</v>
      </c>
      <c r="I171" s="101">
        <f t="shared" si="16"/>
        <v>-0.21417917868151529</v>
      </c>
      <c r="J171" s="18"/>
      <c r="K171" s="219">
        <v>44591</v>
      </c>
      <c r="L171" s="18">
        <v>143.29</v>
      </c>
      <c r="M171" s="101">
        <f t="shared" si="17"/>
        <v>7.4540682414698148E-2</v>
      </c>
      <c r="N171" s="18"/>
      <c r="O171" s="219">
        <v>44591</v>
      </c>
      <c r="P171" s="18">
        <v>142.02000000000001</v>
      </c>
      <c r="Q171" s="101">
        <f t="shared" si="18"/>
        <v>2.4453581475871133E-2</v>
      </c>
      <c r="R171" s="18"/>
      <c r="S171" s="219">
        <v>44591</v>
      </c>
      <c r="T171" s="18">
        <v>49.33</v>
      </c>
      <c r="U171" s="101">
        <f t="shared" si="19"/>
        <v>-7.8439259855189181E-3</v>
      </c>
      <c r="V171" s="18"/>
      <c r="W171" s="219">
        <v>44591</v>
      </c>
      <c r="X171" s="18">
        <v>33.409999999999997</v>
      </c>
      <c r="Y171" s="101">
        <f t="shared" si="20"/>
        <v>1.334546557476487E-2</v>
      </c>
      <c r="Z171" s="18"/>
      <c r="AA171" s="219">
        <v>44591</v>
      </c>
      <c r="AB171" s="16">
        <v>4500.53</v>
      </c>
      <c r="AC171" s="17">
        <f t="shared" si="21"/>
        <v>1.5496914381127378E-2</v>
      </c>
    </row>
    <row r="172" spans="3:29" x14ac:dyDescent="0.25">
      <c r="C172" s="219">
        <v>44584</v>
      </c>
      <c r="D172" s="18">
        <v>384.36</v>
      </c>
      <c r="E172" s="17">
        <f t="shared" si="15"/>
        <v>-3.3056603773584874E-2</v>
      </c>
      <c r="F172" s="18"/>
      <c r="G172" s="219">
        <v>44584</v>
      </c>
      <c r="H172" s="18">
        <v>301.70999999999998</v>
      </c>
      <c r="I172" s="101">
        <f t="shared" si="16"/>
        <v>-4.8157799254544857E-3</v>
      </c>
      <c r="J172" s="18"/>
      <c r="K172" s="219">
        <v>44584</v>
      </c>
      <c r="L172" s="18">
        <v>133.35</v>
      </c>
      <c r="M172" s="101">
        <f t="shared" si="17"/>
        <v>2.3014959723820484E-2</v>
      </c>
      <c r="N172" s="18"/>
      <c r="O172" s="219">
        <v>44584</v>
      </c>
      <c r="P172" s="18">
        <v>138.63</v>
      </c>
      <c r="Q172" s="101">
        <f t="shared" si="18"/>
        <v>9.0988499053719606E-3</v>
      </c>
      <c r="R172" s="18"/>
      <c r="S172" s="219">
        <v>44584</v>
      </c>
      <c r="T172" s="18">
        <v>49.72</v>
      </c>
      <c r="U172" s="101">
        <f t="shared" si="19"/>
        <v>-2.0108586366374443E-4</v>
      </c>
      <c r="V172" s="18"/>
      <c r="W172" s="219">
        <v>44584</v>
      </c>
      <c r="X172" s="18">
        <v>32.97</v>
      </c>
      <c r="Y172" s="101">
        <f t="shared" si="20"/>
        <v>5.5039999999999964E-2</v>
      </c>
      <c r="Z172" s="18"/>
      <c r="AA172" s="219">
        <v>44584</v>
      </c>
      <c r="AB172" s="16">
        <v>4431.8500000000004</v>
      </c>
      <c r="AC172" s="17">
        <f t="shared" si="21"/>
        <v>7.7104280640483422E-3</v>
      </c>
    </row>
    <row r="173" spans="3:29" x14ac:dyDescent="0.25">
      <c r="C173" s="219">
        <v>44577</v>
      </c>
      <c r="D173" s="18">
        <v>397.5</v>
      </c>
      <c r="E173" s="17">
        <f t="shared" si="15"/>
        <v>-0.24385093876619307</v>
      </c>
      <c r="F173" s="18"/>
      <c r="G173" s="219">
        <v>44577</v>
      </c>
      <c r="H173" s="18">
        <v>303.17</v>
      </c>
      <c r="I173" s="101">
        <f t="shared" si="16"/>
        <v>-8.6562217535402122E-2</v>
      </c>
      <c r="J173" s="18"/>
      <c r="K173" s="219">
        <v>44577</v>
      </c>
      <c r="L173" s="18">
        <v>130.35</v>
      </c>
      <c r="M173" s="101">
        <f t="shared" si="17"/>
        <v>-6.5457413249211324E-2</v>
      </c>
      <c r="N173" s="18"/>
      <c r="O173" s="219">
        <v>44577</v>
      </c>
      <c r="P173" s="18">
        <v>137.38</v>
      </c>
      <c r="Q173" s="101">
        <f t="shared" si="18"/>
        <v>-9.5827300250098738E-2</v>
      </c>
      <c r="R173" s="18"/>
      <c r="S173" s="219">
        <v>44577</v>
      </c>
      <c r="T173" s="18">
        <v>49.73</v>
      </c>
      <c r="U173" s="101">
        <f t="shared" si="19"/>
        <v>-3.7732198142414915E-2</v>
      </c>
      <c r="V173" s="18"/>
      <c r="W173" s="219">
        <v>44577</v>
      </c>
      <c r="X173" s="18">
        <v>31.25</v>
      </c>
      <c r="Y173" s="101">
        <f t="shared" si="20"/>
        <v>-0.15127648017381859</v>
      </c>
      <c r="Z173" s="18"/>
      <c r="AA173" s="219">
        <v>44577</v>
      </c>
      <c r="AB173" s="16">
        <v>4397.9399999999996</v>
      </c>
      <c r="AC173" s="17">
        <f t="shared" si="21"/>
        <v>-5.681289340210402E-2</v>
      </c>
    </row>
    <row r="174" spans="3:29" x14ac:dyDescent="0.25">
      <c r="C174" s="219">
        <v>44570</v>
      </c>
      <c r="D174" s="18">
        <v>525.69000000000005</v>
      </c>
      <c r="E174" s="17">
        <f t="shared" si="15"/>
        <v>-2.8407200680146179E-2</v>
      </c>
      <c r="F174" s="18"/>
      <c r="G174" s="219">
        <v>44570</v>
      </c>
      <c r="H174" s="18">
        <v>331.9</v>
      </c>
      <c r="I174" s="101">
        <f t="shared" si="16"/>
        <v>3.3153500708266311E-4</v>
      </c>
      <c r="J174" s="18"/>
      <c r="K174" s="219">
        <v>44570</v>
      </c>
      <c r="L174" s="18">
        <v>139.47999999999999</v>
      </c>
      <c r="M174" s="101">
        <f t="shared" si="17"/>
        <v>1.7953583418478903E-2</v>
      </c>
      <c r="N174" s="18"/>
      <c r="O174" s="219">
        <v>44570</v>
      </c>
      <c r="P174" s="18">
        <v>151.94</v>
      </c>
      <c r="Q174" s="101">
        <f t="shared" si="18"/>
        <v>-3.7318633973262461E-2</v>
      </c>
      <c r="R174" s="18"/>
      <c r="S174" s="219">
        <v>44570</v>
      </c>
      <c r="T174" s="18">
        <v>51.68</v>
      </c>
      <c r="U174" s="101">
        <f t="shared" si="19"/>
        <v>3.2567432567432622E-2</v>
      </c>
      <c r="V174" s="18"/>
      <c r="W174" s="219">
        <v>44570</v>
      </c>
      <c r="X174" s="18">
        <v>36.82</v>
      </c>
      <c r="Y174" s="101">
        <f t="shared" si="20"/>
        <v>4.0406894602995187E-2</v>
      </c>
      <c r="Z174" s="18"/>
      <c r="AA174" s="219">
        <v>44570</v>
      </c>
      <c r="AB174" s="16">
        <v>4662.8500000000004</v>
      </c>
      <c r="AC174" s="17">
        <f t="shared" si="21"/>
        <v>-3.0318385813217752E-3</v>
      </c>
    </row>
    <row r="175" spans="3:29" x14ac:dyDescent="0.25">
      <c r="C175" s="219">
        <v>44563</v>
      </c>
      <c r="D175" s="18">
        <v>541.05999999999995</v>
      </c>
      <c r="E175" s="17">
        <f t="shared" si="15"/>
        <v>-0.10188566496248606</v>
      </c>
      <c r="F175" s="18"/>
      <c r="G175" s="219">
        <v>44563</v>
      </c>
      <c r="H175" s="18">
        <v>331.79</v>
      </c>
      <c r="I175" s="101">
        <f t="shared" si="16"/>
        <v>-1.3557306377285571E-2</v>
      </c>
      <c r="J175" s="18"/>
      <c r="K175" s="219">
        <v>44563</v>
      </c>
      <c r="L175" s="18">
        <v>137.02000000000001</v>
      </c>
      <c r="M175" s="101">
        <f t="shared" si="17"/>
        <v>-5.4055919917155568E-2</v>
      </c>
      <c r="N175" s="18"/>
      <c r="O175" s="219">
        <v>44563</v>
      </c>
      <c r="P175" s="18">
        <v>157.83000000000001</v>
      </c>
      <c r="Q175" s="101">
        <f t="shared" si="18"/>
        <v>1.8981212473368366E-2</v>
      </c>
      <c r="R175" s="18"/>
      <c r="S175" s="219">
        <v>44563</v>
      </c>
      <c r="T175" s="18">
        <v>50.05</v>
      </c>
      <c r="U175" s="101">
        <f t="shared" si="19"/>
        <v>-5.5632823365786045E-3</v>
      </c>
      <c r="V175" s="18"/>
      <c r="W175" s="219">
        <v>44563</v>
      </c>
      <c r="X175" s="18">
        <v>35.39</v>
      </c>
      <c r="Y175" s="101">
        <f t="shared" si="20"/>
        <v>0.17263088137839633</v>
      </c>
      <c r="Z175" s="18"/>
      <c r="AA175" s="219">
        <v>44563</v>
      </c>
      <c r="AB175" s="16">
        <v>4677.03</v>
      </c>
      <c r="AC175" s="17">
        <f t="shared" si="21"/>
        <v>-1.8704706914132604E-2</v>
      </c>
    </row>
    <row r="176" spans="3:29" x14ac:dyDescent="0.25">
      <c r="C176" s="219">
        <v>44556</v>
      </c>
      <c r="D176" s="18">
        <v>602.44000000000005</v>
      </c>
      <c r="E176" s="17">
        <f t="shared" si="15"/>
        <v>-1.8971160579068176E-2</v>
      </c>
      <c r="F176" s="18"/>
      <c r="G176" s="219">
        <v>44556</v>
      </c>
      <c r="H176" s="18">
        <v>336.35</v>
      </c>
      <c r="I176" s="101">
        <f t="shared" si="16"/>
        <v>3.3110607326095145E-3</v>
      </c>
      <c r="J176" s="18"/>
      <c r="K176" s="219">
        <v>44556</v>
      </c>
      <c r="L176" s="18">
        <v>144.85</v>
      </c>
      <c r="M176" s="101">
        <f t="shared" si="17"/>
        <v>-1.4089300299482667E-2</v>
      </c>
      <c r="N176" s="18"/>
      <c r="O176" s="219">
        <v>44556</v>
      </c>
      <c r="P176" s="18">
        <v>154.88999999999999</v>
      </c>
      <c r="Q176" s="101">
        <f t="shared" si="18"/>
        <v>8.2015231400116573E-3</v>
      </c>
      <c r="R176" s="18"/>
      <c r="S176" s="219">
        <v>44556</v>
      </c>
      <c r="T176" s="18">
        <v>50.33</v>
      </c>
      <c r="U176" s="101">
        <f t="shared" si="19"/>
        <v>5.99640215870472E-3</v>
      </c>
      <c r="V176" s="18"/>
      <c r="W176" s="219">
        <v>44556</v>
      </c>
      <c r="X176" s="18">
        <v>30.18</v>
      </c>
      <c r="Y176" s="101">
        <f t="shared" si="20"/>
        <v>-1.3080444735120949E-2</v>
      </c>
      <c r="Z176" s="18"/>
      <c r="AA176" s="219">
        <v>44556</v>
      </c>
      <c r="AB176" s="16">
        <v>4766.18</v>
      </c>
      <c r="AC176" s="17">
        <f t="shared" si="21"/>
        <v>8.5467191728791012E-3</v>
      </c>
    </row>
    <row r="177" spans="3:29" x14ac:dyDescent="0.25">
      <c r="C177" s="219">
        <v>44549</v>
      </c>
      <c r="D177" s="18">
        <v>614.09</v>
      </c>
      <c r="E177" s="17">
        <f t="shared" si="15"/>
        <v>4.6631329572375729E-2</v>
      </c>
      <c r="F177" s="18"/>
      <c r="G177" s="219">
        <v>44549</v>
      </c>
      <c r="H177" s="18">
        <v>335.24</v>
      </c>
      <c r="I177" s="101">
        <f t="shared" si="16"/>
        <v>4.3440486533448831E-3</v>
      </c>
      <c r="J177" s="18"/>
      <c r="K177" s="219">
        <v>44549</v>
      </c>
      <c r="L177" s="18">
        <v>146.91999999999999</v>
      </c>
      <c r="M177" s="101">
        <f t="shared" si="17"/>
        <v>3.6618923304875456E-2</v>
      </c>
      <c r="N177" s="18"/>
      <c r="O177" s="219">
        <v>44549</v>
      </c>
      <c r="P177" s="18">
        <v>153.63</v>
      </c>
      <c r="Q177" s="101">
        <f t="shared" si="18"/>
        <v>3.2737294971766639E-2</v>
      </c>
      <c r="R177" s="18"/>
      <c r="S177" s="219">
        <v>44549</v>
      </c>
      <c r="T177" s="18">
        <v>50.03</v>
      </c>
      <c r="U177" s="101">
        <f t="shared" si="19"/>
        <v>2.6256410256410279E-2</v>
      </c>
      <c r="V177" s="18"/>
      <c r="W177" s="219">
        <v>44549</v>
      </c>
      <c r="X177" s="18">
        <v>30.58</v>
      </c>
      <c r="Y177" s="101">
        <f t="shared" si="20"/>
        <v>3.5907859078590745E-2</v>
      </c>
      <c r="Z177" s="18"/>
      <c r="AA177" s="219">
        <v>44549</v>
      </c>
      <c r="AB177" s="16">
        <v>4725.79</v>
      </c>
      <c r="AC177" s="17">
        <f t="shared" si="21"/>
        <v>2.2756587831988563E-2</v>
      </c>
    </row>
    <row r="178" spans="3:29" x14ac:dyDescent="0.25">
      <c r="C178" s="219">
        <v>44542</v>
      </c>
      <c r="D178" s="18">
        <v>586.73</v>
      </c>
      <c r="E178" s="17">
        <f t="shared" si="15"/>
        <v>-4.0757937416211538E-2</v>
      </c>
      <c r="F178" s="18"/>
      <c r="G178" s="219">
        <v>44542</v>
      </c>
      <c r="H178" s="18">
        <v>333.79</v>
      </c>
      <c r="I178" s="101">
        <f t="shared" si="16"/>
        <v>1.2251705837755937E-2</v>
      </c>
      <c r="J178" s="18"/>
      <c r="K178" s="219">
        <v>44542</v>
      </c>
      <c r="L178" s="18">
        <v>141.72999999999999</v>
      </c>
      <c r="M178" s="101">
        <f t="shared" si="17"/>
        <v>-4.2364864864864932E-2</v>
      </c>
      <c r="N178" s="18"/>
      <c r="O178" s="219">
        <v>44542</v>
      </c>
      <c r="P178" s="18">
        <v>148.76</v>
      </c>
      <c r="Q178" s="101">
        <f t="shared" si="18"/>
        <v>-2.5866020561849366E-2</v>
      </c>
      <c r="R178" s="18"/>
      <c r="S178" s="219">
        <v>44542</v>
      </c>
      <c r="T178" s="18">
        <v>48.75</v>
      </c>
      <c r="U178" s="101">
        <f t="shared" si="19"/>
        <v>6.1919504643962262E-3</v>
      </c>
      <c r="V178" s="18"/>
      <c r="W178" s="219">
        <v>44542</v>
      </c>
      <c r="X178" s="18">
        <v>29.52</v>
      </c>
      <c r="Y178" s="101">
        <f t="shared" si="20"/>
        <v>-5.4452274183215868E-2</v>
      </c>
      <c r="Z178" s="18"/>
      <c r="AA178" s="219">
        <v>44542</v>
      </c>
      <c r="AB178" s="16">
        <v>4620.6400000000003</v>
      </c>
      <c r="AC178" s="17">
        <f t="shared" si="21"/>
        <v>-1.9392956736176862E-2</v>
      </c>
    </row>
    <row r="179" spans="3:29" x14ac:dyDescent="0.25">
      <c r="C179" s="219">
        <v>44535</v>
      </c>
      <c r="D179" s="18">
        <v>611.66</v>
      </c>
      <c r="E179" s="17">
        <f t="shared" si="15"/>
        <v>1.5827146961619538E-2</v>
      </c>
      <c r="F179" s="18"/>
      <c r="G179" s="219">
        <v>44535</v>
      </c>
      <c r="H179" s="18">
        <v>329.75</v>
      </c>
      <c r="I179" s="101">
        <f t="shared" si="16"/>
        <v>7.4664320166862294E-2</v>
      </c>
      <c r="J179" s="18"/>
      <c r="K179" s="219">
        <v>44535</v>
      </c>
      <c r="L179" s="18">
        <v>148</v>
      </c>
      <c r="M179" s="101">
        <f t="shared" si="17"/>
        <v>4.2253521126760563E-2</v>
      </c>
      <c r="N179" s="18"/>
      <c r="O179" s="219">
        <v>44535</v>
      </c>
      <c r="P179" s="18">
        <v>152.71</v>
      </c>
      <c r="Q179" s="101">
        <f t="shared" si="18"/>
        <v>4.4385173026945758E-2</v>
      </c>
      <c r="R179" s="18"/>
      <c r="S179" s="219">
        <v>44535</v>
      </c>
      <c r="T179" s="18">
        <v>48.45</v>
      </c>
      <c r="U179" s="101">
        <f t="shared" si="19"/>
        <v>-6.4310544611819204E-2</v>
      </c>
      <c r="V179" s="18"/>
      <c r="W179" s="219">
        <v>44535</v>
      </c>
      <c r="X179" s="18">
        <v>31.22</v>
      </c>
      <c r="Y179" s="101">
        <f t="shared" si="20"/>
        <v>4.827808175088464E-3</v>
      </c>
      <c r="Z179" s="18"/>
      <c r="AA179" s="219">
        <v>44535</v>
      </c>
      <c r="AB179" s="16">
        <v>4712.0200000000004</v>
      </c>
      <c r="AC179" s="17">
        <f t="shared" si="21"/>
        <v>3.8248909865305873E-2</v>
      </c>
    </row>
    <row r="180" spans="3:29" x14ac:dyDescent="0.25">
      <c r="C180" s="219">
        <v>44528</v>
      </c>
      <c r="D180" s="18">
        <v>602.13</v>
      </c>
      <c r="E180" s="17">
        <f t="shared" si="15"/>
        <v>-9.5411934378943561E-2</v>
      </c>
      <c r="F180" s="18"/>
      <c r="G180" s="219">
        <v>44528</v>
      </c>
      <c r="H180" s="18">
        <v>306.83999999999997</v>
      </c>
      <c r="I180" s="101">
        <f t="shared" si="16"/>
        <v>-7.8890489913544762E-2</v>
      </c>
      <c r="J180" s="18"/>
      <c r="K180" s="219">
        <v>44528</v>
      </c>
      <c r="L180" s="18">
        <v>142</v>
      </c>
      <c r="M180" s="101">
        <f t="shared" si="17"/>
        <v>-1.2660008440006105E-3</v>
      </c>
      <c r="N180" s="18"/>
      <c r="O180" s="219">
        <v>44528</v>
      </c>
      <c r="P180" s="18">
        <v>146.22</v>
      </c>
      <c r="Q180" s="101">
        <f t="shared" si="18"/>
        <v>-1.2760785902369958E-2</v>
      </c>
      <c r="R180" s="18"/>
      <c r="S180" s="219">
        <v>44528</v>
      </c>
      <c r="T180" s="18">
        <v>51.78</v>
      </c>
      <c r="U180" s="101">
        <f t="shared" si="19"/>
        <v>1.3307240704500973E-2</v>
      </c>
      <c r="V180" s="18"/>
      <c r="W180" s="219">
        <v>44528</v>
      </c>
      <c r="X180" s="18">
        <v>31.07</v>
      </c>
      <c r="Y180" s="101">
        <f t="shared" si="20"/>
        <v>-4.7224777675559618E-2</v>
      </c>
      <c r="Z180" s="18"/>
      <c r="AA180" s="219">
        <v>44528</v>
      </c>
      <c r="AB180" s="16">
        <v>4538.43</v>
      </c>
      <c r="AC180" s="17">
        <f t="shared" si="21"/>
        <v>-1.2229520613238875E-2</v>
      </c>
    </row>
    <row r="181" spans="3:29" x14ac:dyDescent="0.25">
      <c r="C181" s="219">
        <v>44521</v>
      </c>
      <c r="D181" s="18">
        <v>665.64</v>
      </c>
      <c r="E181" s="17">
        <f t="shared" si="15"/>
        <v>-1.9387153800824938E-2</v>
      </c>
      <c r="F181" s="18"/>
      <c r="G181" s="219">
        <v>44521</v>
      </c>
      <c r="H181" s="18">
        <v>333.12</v>
      </c>
      <c r="I181" s="101">
        <f t="shared" si="16"/>
        <v>-3.5273675065160749E-2</v>
      </c>
      <c r="J181" s="18"/>
      <c r="K181" s="219">
        <v>44521</v>
      </c>
      <c r="L181" s="18">
        <v>142.18</v>
      </c>
      <c r="M181" s="101">
        <f t="shared" si="17"/>
        <v>-4.532330625125898E-2</v>
      </c>
      <c r="N181" s="18"/>
      <c r="O181" s="219">
        <v>44521</v>
      </c>
      <c r="P181" s="18">
        <v>148.11000000000001</v>
      </c>
      <c r="Q181" s="101">
        <f t="shared" si="18"/>
        <v>-3.8246753246753161E-2</v>
      </c>
      <c r="R181" s="18"/>
      <c r="S181" s="219">
        <v>44521</v>
      </c>
      <c r="T181" s="18">
        <v>51.1</v>
      </c>
      <c r="U181" s="101">
        <f t="shared" si="19"/>
        <v>-1.5603929878636008E-2</v>
      </c>
      <c r="V181" s="18"/>
      <c r="W181" s="219">
        <v>44521</v>
      </c>
      <c r="X181" s="18">
        <v>32.61</v>
      </c>
      <c r="Y181" s="101">
        <f t="shared" si="20"/>
        <v>-3.1194295900178172E-2</v>
      </c>
      <c r="Z181" s="18"/>
      <c r="AA181" s="219">
        <v>44521</v>
      </c>
      <c r="AB181" s="16">
        <v>4594.62</v>
      </c>
      <c r="AC181" s="17">
        <f t="shared" si="21"/>
        <v>-2.1996781581792978E-2</v>
      </c>
    </row>
    <row r="182" spans="3:29" x14ac:dyDescent="0.25">
      <c r="C182" s="219">
        <v>44514</v>
      </c>
      <c r="D182" s="18">
        <v>678.8</v>
      </c>
      <c r="E182" s="17">
        <f t="shared" si="15"/>
        <v>-5.5815179970994553E-3</v>
      </c>
      <c r="F182" s="18"/>
      <c r="G182" s="219">
        <v>44514</v>
      </c>
      <c r="H182" s="18">
        <v>345.3</v>
      </c>
      <c r="I182" s="101">
        <f t="shared" si="16"/>
        <v>1.2936724456569642E-2</v>
      </c>
      <c r="J182" s="18"/>
      <c r="K182" s="219">
        <v>44514</v>
      </c>
      <c r="L182" s="18">
        <v>148.93</v>
      </c>
      <c r="M182" s="101">
        <f t="shared" si="17"/>
        <v>1.6814635458703255E-3</v>
      </c>
      <c r="N182" s="18"/>
      <c r="O182" s="219">
        <v>44514</v>
      </c>
      <c r="P182" s="18">
        <v>154</v>
      </c>
      <c r="Q182" s="101">
        <f t="shared" si="18"/>
        <v>-3.5269059700557513E-2</v>
      </c>
      <c r="R182" s="18"/>
      <c r="S182" s="219">
        <v>44514</v>
      </c>
      <c r="T182" s="18">
        <v>51.91</v>
      </c>
      <c r="U182" s="101">
        <f t="shared" si="19"/>
        <v>-2.9719626168224364E-2</v>
      </c>
      <c r="V182" s="18"/>
      <c r="W182" s="219">
        <v>44514</v>
      </c>
      <c r="X182" s="18">
        <v>33.659999999999997</v>
      </c>
      <c r="Y182" s="101">
        <f t="shared" si="20"/>
        <v>-4.3750000000000171E-2</v>
      </c>
      <c r="Z182" s="18"/>
      <c r="AA182" s="219">
        <v>44514</v>
      </c>
      <c r="AB182" s="16">
        <v>4697.96</v>
      </c>
      <c r="AC182" s="17">
        <f t="shared" si="21"/>
        <v>3.2266675208472771E-3</v>
      </c>
    </row>
    <row r="183" spans="3:29" x14ac:dyDescent="0.25">
      <c r="C183" s="219">
        <v>44507</v>
      </c>
      <c r="D183" s="18">
        <v>682.61</v>
      </c>
      <c r="E183" s="17">
        <f t="shared" si="15"/>
        <v>5.7130025398005303E-2</v>
      </c>
      <c r="F183" s="18"/>
      <c r="G183" s="219">
        <v>44507</v>
      </c>
      <c r="H183" s="18">
        <v>340.89</v>
      </c>
      <c r="I183" s="101">
        <f t="shared" si="16"/>
        <v>-7.0354410342100989E-4</v>
      </c>
      <c r="J183" s="18"/>
      <c r="K183" s="219">
        <v>44507</v>
      </c>
      <c r="L183" s="18">
        <v>148.68</v>
      </c>
      <c r="M183" s="101">
        <f t="shared" si="17"/>
        <v>-1.1420893516962546E-3</v>
      </c>
      <c r="N183" s="18"/>
      <c r="O183" s="219">
        <v>44507</v>
      </c>
      <c r="P183" s="18">
        <v>159.63</v>
      </c>
      <c r="Q183" s="101">
        <f t="shared" si="18"/>
        <v>-9.1100609235324259E-2</v>
      </c>
      <c r="R183" s="18"/>
      <c r="S183" s="219">
        <v>44507</v>
      </c>
      <c r="T183" s="18">
        <v>53.5</v>
      </c>
      <c r="U183" s="101">
        <f t="shared" si="19"/>
        <v>-7.4211502782931095E-3</v>
      </c>
      <c r="V183" s="18"/>
      <c r="W183" s="219">
        <v>44507</v>
      </c>
      <c r="X183" s="18">
        <v>35.200000000000003</v>
      </c>
      <c r="Y183" s="101">
        <f t="shared" si="20"/>
        <v>-3.1370390753990104E-2</v>
      </c>
      <c r="Z183" s="18"/>
      <c r="AA183" s="219">
        <v>44507</v>
      </c>
      <c r="AB183" s="16">
        <v>4682.8500000000004</v>
      </c>
      <c r="AC183" s="17">
        <f t="shared" si="21"/>
        <v>-3.1250465670255184E-3</v>
      </c>
    </row>
    <row r="184" spans="3:29" x14ac:dyDescent="0.25">
      <c r="C184" s="219">
        <v>44500</v>
      </c>
      <c r="D184" s="18">
        <v>645.72</v>
      </c>
      <c r="E184" s="17">
        <f t="shared" si="15"/>
        <v>-6.459416783763805E-2</v>
      </c>
      <c r="F184" s="18"/>
      <c r="G184" s="219">
        <v>44500</v>
      </c>
      <c r="H184" s="18">
        <v>341.13</v>
      </c>
      <c r="I184" s="101">
        <f t="shared" si="16"/>
        <v>5.4269555273974729E-2</v>
      </c>
      <c r="J184" s="18"/>
      <c r="K184" s="219">
        <v>44500</v>
      </c>
      <c r="L184" s="18">
        <v>148.85</v>
      </c>
      <c r="M184" s="101">
        <f t="shared" si="17"/>
        <v>5.4035798716648622E-3</v>
      </c>
      <c r="N184" s="18"/>
      <c r="O184" s="219">
        <v>44500</v>
      </c>
      <c r="P184" s="18">
        <v>175.63</v>
      </c>
      <c r="Q184" s="101">
        <f t="shared" si="18"/>
        <v>3.8800496835630228E-2</v>
      </c>
      <c r="R184" s="18"/>
      <c r="S184" s="219">
        <v>44500</v>
      </c>
      <c r="T184" s="18">
        <v>53.9</v>
      </c>
      <c r="U184" s="101">
        <f t="shared" si="19"/>
        <v>4.8026443709896928E-2</v>
      </c>
      <c r="V184" s="18"/>
      <c r="W184" s="219">
        <v>44500</v>
      </c>
      <c r="X184" s="18">
        <v>36.340000000000003</v>
      </c>
      <c r="Y184" s="101">
        <f t="shared" si="20"/>
        <v>3.3130866924352444E-3</v>
      </c>
      <c r="Z184" s="18"/>
      <c r="AA184" s="219">
        <v>44500</v>
      </c>
      <c r="AB184" s="16">
        <v>4697.53</v>
      </c>
      <c r="AC184" s="17">
        <f t="shared" si="21"/>
        <v>2.0009206623557586E-2</v>
      </c>
    </row>
    <row r="185" spans="3:29" x14ac:dyDescent="0.25">
      <c r="C185" s="219">
        <v>44493</v>
      </c>
      <c r="D185" s="18">
        <v>690.31</v>
      </c>
      <c r="E185" s="17">
        <f t="shared" si="15"/>
        <v>3.8403682421252104E-2</v>
      </c>
      <c r="F185" s="18"/>
      <c r="G185" s="219">
        <v>44493</v>
      </c>
      <c r="H185" s="18">
        <v>323.57</v>
      </c>
      <c r="I185" s="101">
        <f t="shared" si="16"/>
        <v>-3.2038446135363064E-3</v>
      </c>
      <c r="J185" s="18"/>
      <c r="K185" s="219">
        <v>44493</v>
      </c>
      <c r="L185" s="18">
        <v>148.05000000000001</v>
      </c>
      <c r="M185" s="101">
        <f t="shared" si="17"/>
        <v>7.6179399578396589E-2</v>
      </c>
      <c r="N185" s="18"/>
      <c r="O185" s="219">
        <v>44493</v>
      </c>
      <c r="P185" s="18">
        <v>169.07</v>
      </c>
      <c r="Q185" s="101">
        <f t="shared" si="18"/>
        <v>-2.0658717978986798E-3</v>
      </c>
      <c r="R185" s="18"/>
      <c r="S185" s="219">
        <v>44493</v>
      </c>
      <c r="T185" s="18">
        <v>51.43</v>
      </c>
      <c r="U185" s="101">
        <f t="shared" si="19"/>
        <v>-5.1457026927333074E-2</v>
      </c>
      <c r="V185" s="18"/>
      <c r="W185" s="219">
        <v>44493</v>
      </c>
      <c r="X185" s="18">
        <v>36.22</v>
      </c>
      <c r="Y185" s="101">
        <f t="shared" si="20"/>
        <v>-3.4390829112236718E-2</v>
      </c>
      <c r="Z185" s="18"/>
      <c r="AA185" s="219">
        <v>44493</v>
      </c>
      <c r="AB185" s="16">
        <v>4605.38</v>
      </c>
      <c r="AC185" s="17">
        <f t="shared" si="21"/>
        <v>1.330722348126482E-2</v>
      </c>
    </row>
    <row r="186" spans="3:29" x14ac:dyDescent="0.25">
      <c r="C186" s="219">
        <v>44486</v>
      </c>
      <c r="D186" s="18">
        <v>664.78</v>
      </c>
      <c r="E186" s="17">
        <f t="shared" si="15"/>
        <v>5.8078275955370948E-2</v>
      </c>
      <c r="F186" s="18"/>
      <c r="G186" s="219">
        <v>44486</v>
      </c>
      <c r="H186" s="18">
        <v>324.61</v>
      </c>
      <c r="I186" s="101">
        <f t="shared" si="16"/>
        <v>-4.618795418154245E-4</v>
      </c>
      <c r="J186" s="18"/>
      <c r="K186" s="219">
        <v>44486</v>
      </c>
      <c r="L186" s="18">
        <v>137.57</v>
      </c>
      <c r="M186" s="101">
        <f t="shared" si="17"/>
        <v>-2.6879818914904232E-2</v>
      </c>
      <c r="N186" s="18"/>
      <c r="O186" s="219">
        <v>44486</v>
      </c>
      <c r="P186" s="18">
        <v>169.42</v>
      </c>
      <c r="Q186" s="101">
        <f t="shared" si="18"/>
        <v>-3.9895727076958064E-2</v>
      </c>
      <c r="R186" s="18"/>
      <c r="S186" s="219">
        <v>44486</v>
      </c>
      <c r="T186" s="18">
        <v>54.22</v>
      </c>
      <c r="U186" s="101">
        <f t="shared" si="19"/>
        <v>3.7023324694556779E-3</v>
      </c>
      <c r="V186" s="18"/>
      <c r="W186" s="219">
        <v>44486</v>
      </c>
      <c r="X186" s="18">
        <v>37.51</v>
      </c>
      <c r="Y186" s="101">
        <f t="shared" si="20"/>
        <v>-3.6228160328879849E-2</v>
      </c>
      <c r="Z186" s="18"/>
      <c r="AA186" s="219">
        <v>44486</v>
      </c>
      <c r="AB186" s="16">
        <v>4544.8999999999996</v>
      </c>
      <c r="AC186" s="17">
        <f t="shared" si="21"/>
        <v>1.6444624354504268E-2</v>
      </c>
    </row>
    <row r="187" spans="3:29" x14ac:dyDescent="0.25">
      <c r="C187" s="219">
        <v>44479</v>
      </c>
      <c r="D187" s="18">
        <v>628.29</v>
      </c>
      <c r="E187" s="17">
        <f t="shared" si="15"/>
        <v>-6.9073435968766868E-3</v>
      </c>
      <c r="F187" s="18"/>
      <c r="G187" s="219">
        <v>44479</v>
      </c>
      <c r="H187" s="18">
        <v>324.76</v>
      </c>
      <c r="I187" s="101">
        <f t="shared" si="16"/>
        <v>-1.602787456445999E-2</v>
      </c>
      <c r="J187" s="18"/>
      <c r="K187" s="219">
        <v>44479</v>
      </c>
      <c r="L187" s="18">
        <v>141.37</v>
      </c>
      <c r="M187" s="101">
        <f t="shared" si="17"/>
        <v>1.1302668288146595E-2</v>
      </c>
      <c r="N187" s="18"/>
      <c r="O187" s="219">
        <v>44479</v>
      </c>
      <c r="P187" s="18">
        <v>176.46</v>
      </c>
      <c r="Q187" s="101">
        <f t="shared" si="18"/>
        <v>-1.5842480479800901E-3</v>
      </c>
      <c r="R187" s="18"/>
      <c r="S187" s="219">
        <v>44479</v>
      </c>
      <c r="T187" s="18">
        <v>54.02</v>
      </c>
      <c r="U187" s="101">
        <f t="shared" si="19"/>
        <v>-1.2431444241316265E-2</v>
      </c>
      <c r="V187" s="18"/>
      <c r="W187" s="219">
        <v>44479</v>
      </c>
      <c r="X187" s="18">
        <v>38.92</v>
      </c>
      <c r="Y187" s="101">
        <f t="shared" si="20"/>
        <v>-2.2356191911580017E-2</v>
      </c>
      <c r="Z187" s="18"/>
      <c r="AA187" s="219">
        <v>44479</v>
      </c>
      <c r="AB187" s="16">
        <v>4471.37</v>
      </c>
      <c r="AC187" s="17">
        <f t="shared" si="21"/>
        <v>1.8224505504014662E-2</v>
      </c>
    </row>
    <row r="188" spans="3:29" x14ac:dyDescent="0.25">
      <c r="C188" s="219">
        <v>44472</v>
      </c>
      <c r="D188" s="18">
        <v>632.66</v>
      </c>
      <c r="E188" s="17">
        <f t="shared" si="15"/>
        <v>3.1819293810649907E-2</v>
      </c>
      <c r="F188" s="18"/>
      <c r="G188" s="219">
        <v>44472</v>
      </c>
      <c r="H188" s="18">
        <v>330.05</v>
      </c>
      <c r="I188" s="101">
        <f t="shared" si="16"/>
        <v>-3.778315501005796E-2</v>
      </c>
      <c r="J188" s="18"/>
      <c r="K188" s="219">
        <v>44472</v>
      </c>
      <c r="L188" s="18">
        <v>139.79</v>
      </c>
      <c r="M188" s="101">
        <f t="shared" si="17"/>
        <v>2.3802548703676579E-2</v>
      </c>
      <c r="N188" s="18"/>
      <c r="O188" s="219">
        <v>44472</v>
      </c>
      <c r="P188" s="18">
        <v>176.74</v>
      </c>
      <c r="Q188" s="101">
        <f t="shared" si="18"/>
        <v>4.1474916197944333E-3</v>
      </c>
      <c r="R188" s="18"/>
      <c r="S188" s="219">
        <v>44472</v>
      </c>
      <c r="T188" s="18">
        <v>54.7</v>
      </c>
      <c r="U188" s="101">
        <f t="shared" si="19"/>
        <v>-4.3873448697780072E-2</v>
      </c>
      <c r="V188" s="18"/>
      <c r="W188" s="219">
        <v>44472</v>
      </c>
      <c r="X188" s="18">
        <v>39.81</v>
      </c>
      <c r="Y188" s="101">
        <f t="shared" si="20"/>
        <v>-2.2556390977442682E-3</v>
      </c>
      <c r="Z188" s="18"/>
      <c r="AA188" s="219">
        <v>44472</v>
      </c>
      <c r="AB188" s="16">
        <v>4391.34</v>
      </c>
      <c r="AC188" s="17">
        <f t="shared" si="21"/>
        <v>7.8723169858436418E-3</v>
      </c>
    </row>
    <row r="189" spans="3:29" x14ac:dyDescent="0.25">
      <c r="C189" s="219">
        <v>44465</v>
      </c>
      <c r="D189" s="18">
        <v>613.15</v>
      </c>
      <c r="E189" s="17">
        <f t="shared" si="15"/>
        <v>3.5044480831884384E-2</v>
      </c>
      <c r="F189" s="18"/>
      <c r="G189" s="219">
        <v>44465</v>
      </c>
      <c r="H189" s="18">
        <v>343.01</v>
      </c>
      <c r="I189" s="101">
        <f t="shared" si="16"/>
        <v>-2.8190163191296434E-2</v>
      </c>
      <c r="J189" s="18"/>
      <c r="K189" s="219">
        <v>44465</v>
      </c>
      <c r="L189" s="18">
        <v>136.54</v>
      </c>
      <c r="M189" s="101">
        <f t="shared" si="17"/>
        <v>-3.98706138808805E-2</v>
      </c>
      <c r="N189" s="18"/>
      <c r="O189" s="219">
        <v>44465</v>
      </c>
      <c r="P189" s="18">
        <v>176.01</v>
      </c>
      <c r="Q189" s="101">
        <f t="shared" si="18"/>
        <v>5.6818181818130142E-5</v>
      </c>
      <c r="R189" s="18"/>
      <c r="S189" s="219">
        <v>44465</v>
      </c>
      <c r="T189" s="18">
        <v>57.21</v>
      </c>
      <c r="U189" s="101">
        <f t="shared" si="19"/>
        <v>1.7247510668563278E-2</v>
      </c>
      <c r="V189" s="18"/>
      <c r="W189" s="219">
        <v>44465</v>
      </c>
      <c r="X189" s="18">
        <v>39.9</v>
      </c>
      <c r="Y189" s="101">
        <f t="shared" si="20"/>
        <v>-2.2505626406602503E-3</v>
      </c>
      <c r="Z189" s="18"/>
      <c r="AA189" s="219">
        <v>44465</v>
      </c>
      <c r="AB189" s="16">
        <v>4357.04</v>
      </c>
      <c r="AC189" s="17">
        <f t="shared" si="21"/>
        <v>-2.209414024975976E-2</v>
      </c>
    </row>
    <row r="190" spans="3:29" x14ac:dyDescent="0.25">
      <c r="C190" s="219">
        <v>44458</v>
      </c>
      <c r="D190" s="18">
        <v>592.39</v>
      </c>
      <c r="E190" s="17">
        <f t="shared" si="15"/>
        <v>5.1582251633154556E-3</v>
      </c>
      <c r="F190" s="18"/>
      <c r="G190" s="219">
        <v>44458</v>
      </c>
      <c r="H190" s="18">
        <v>352.96</v>
      </c>
      <c r="I190" s="101">
        <f t="shared" si="16"/>
        <v>-3.2243913138846364E-2</v>
      </c>
      <c r="J190" s="18"/>
      <c r="K190" s="219">
        <v>44458</v>
      </c>
      <c r="L190" s="18">
        <v>142.21</v>
      </c>
      <c r="M190" s="101">
        <f t="shared" si="17"/>
        <v>1.0014204545454521E-2</v>
      </c>
      <c r="N190" s="18"/>
      <c r="O190" s="219">
        <v>44458</v>
      </c>
      <c r="P190" s="18">
        <v>176</v>
      </c>
      <c r="Q190" s="101">
        <f t="shared" si="18"/>
        <v>-4.0715103286640859E-2</v>
      </c>
      <c r="R190" s="18"/>
      <c r="S190" s="219">
        <v>44458</v>
      </c>
      <c r="T190" s="18">
        <v>56.24</v>
      </c>
      <c r="U190" s="101">
        <f t="shared" si="19"/>
        <v>-1.5233759411661661E-2</v>
      </c>
      <c r="V190" s="18"/>
      <c r="W190" s="219">
        <v>44458</v>
      </c>
      <c r="X190" s="18">
        <v>39.99</v>
      </c>
      <c r="Y190" s="101">
        <f t="shared" si="20"/>
        <v>0</v>
      </c>
      <c r="Z190" s="18"/>
      <c r="AA190" s="219">
        <v>44458</v>
      </c>
      <c r="AB190" s="16">
        <v>4455.4799999999996</v>
      </c>
      <c r="AC190" s="17">
        <f t="shared" si="21"/>
        <v>5.0733252274423766E-3</v>
      </c>
    </row>
    <row r="191" spans="3:29" x14ac:dyDescent="0.25">
      <c r="C191" s="219">
        <v>44451</v>
      </c>
      <c r="D191" s="18">
        <v>589.35</v>
      </c>
      <c r="E191" s="17">
        <f t="shared" si="15"/>
        <v>-1.5650053447354362E-2</v>
      </c>
      <c r="F191" s="18"/>
      <c r="G191" s="219">
        <v>44451</v>
      </c>
      <c r="H191" s="18">
        <v>364.72</v>
      </c>
      <c r="I191" s="101">
        <f t="shared" si="16"/>
        <v>-3.6890332461908079E-2</v>
      </c>
      <c r="J191" s="18"/>
      <c r="K191" s="219">
        <v>44451</v>
      </c>
      <c r="L191" s="18">
        <v>140.80000000000001</v>
      </c>
      <c r="M191" s="101">
        <f t="shared" si="17"/>
        <v>-5.6785917092549748E-4</v>
      </c>
      <c r="N191" s="18"/>
      <c r="O191" s="219">
        <v>44451</v>
      </c>
      <c r="P191" s="18">
        <v>183.47</v>
      </c>
      <c r="Q191" s="101">
        <f t="shared" si="18"/>
        <v>-3.5303063219639672E-3</v>
      </c>
      <c r="R191" s="18"/>
      <c r="S191" s="219">
        <v>44451</v>
      </c>
      <c r="T191" s="18">
        <v>57.11</v>
      </c>
      <c r="U191" s="101">
        <f t="shared" si="19"/>
        <v>-3.6930860033726774E-2</v>
      </c>
      <c r="V191" s="18"/>
      <c r="W191" s="219">
        <v>44451</v>
      </c>
      <c r="X191" s="18">
        <v>39.99</v>
      </c>
      <c r="Y191" s="101">
        <f t="shared" si="20"/>
        <v>8.5750315258512847E-3</v>
      </c>
      <c r="Z191" s="18"/>
      <c r="AA191" s="219">
        <v>44451</v>
      </c>
      <c r="AB191" s="16">
        <v>4432.99</v>
      </c>
      <c r="AC191" s="17">
        <f t="shared" si="21"/>
        <v>-5.7394955344527059E-3</v>
      </c>
    </row>
    <row r="192" spans="3:29" x14ac:dyDescent="0.25">
      <c r="C192" s="219">
        <v>44444</v>
      </c>
      <c r="D192" s="18">
        <v>598.72</v>
      </c>
      <c r="E192" s="17">
        <f t="shared" si="15"/>
        <v>1.386889743112129E-2</v>
      </c>
      <c r="F192" s="18"/>
      <c r="G192" s="219">
        <v>44444</v>
      </c>
      <c r="H192" s="18">
        <v>378.69</v>
      </c>
      <c r="I192" s="101">
        <f t="shared" si="16"/>
        <v>6.4583001116249586E-3</v>
      </c>
      <c r="J192" s="18"/>
      <c r="K192" s="219">
        <v>44444</v>
      </c>
      <c r="L192" s="18">
        <v>140.88</v>
      </c>
      <c r="M192" s="101">
        <f t="shared" si="17"/>
        <v>-1.9897036315569872E-2</v>
      </c>
      <c r="N192" s="18"/>
      <c r="O192" s="219">
        <v>44444</v>
      </c>
      <c r="P192" s="18">
        <v>184.12</v>
      </c>
      <c r="Q192" s="101">
        <f t="shared" si="18"/>
        <v>1.7237569060773505E-2</v>
      </c>
      <c r="R192" s="18"/>
      <c r="S192" s="219">
        <v>44444</v>
      </c>
      <c r="T192" s="18">
        <v>59.3</v>
      </c>
      <c r="U192" s="101">
        <f t="shared" si="19"/>
        <v>-3.9209332469215839E-2</v>
      </c>
      <c r="V192" s="18"/>
      <c r="W192" s="219">
        <v>44444</v>
      </c>
      <c r="X192" s="18">
        <v>39.65</v>
      </c>
      <c r="Y192" s="101">
        <f t="shared" si="20"/>
        <v>-3.9486434108527195E-2</v>
      </c>
      <c r="Z192" s="18"/>
      <c r="AA192" s="219">
        <v>44444</v>
      </c>
      <c r="AB192" s="16">
        <v>4458.58</v>
      </c>
      <c r="AC192" s="17">
        <f t="shared" si="21"/>
        <v>-1.6944369111638886E-2</v>
      </c>
    </row>
    <row r="193" spans="3:29" x14ac:dyDescent="0.25">
      <c r="C193" s="219">
        <v>44437</v>
      </c>
      <c r="D193" s="18">
        <v>590.53</v>
      </c>
      <c r="E193" s="17">
        <f t="shared" si="15"/>
        <v>5.6555499892650136E-2</v>
      </c>
      <c r="F193" s="18"/>
      <c r="G193" s="219">
        <v>44437</v>
      </c>
      <c r="H193" s="18">
        <v>376.26</v>
      </c>
      <c r="I193" s="101">
        <f t="shared" si="16"/>
        <v>9.7415667015538082E-3</v>
      </c>
      <c r="J193" s="18"/>
      <c r="K193" s="219">
        <v>44437</v>
      </c>
      <c r="L193" s="18">
        <v>143.74</v>
      </c>
      <c r="M193" s="101">
        <f t="shared" si="17"/>
        <v>-1.8055555555554924E-3</v>
      </c>
      <c r="N193" s="18"/>
      <c r="O193" s="219">
        <v>44437</v>
      </c>
      <c r="P193" s="18">
        <v>181</v>
      </c>
      <c r="Q193" s="101">
        <f t="shared" si="18"/>
        <v>4.7740646164095351E-3</v>
      </c>
      <c r="R193" s="18"/>
      <c r="S193" s="219">
        <v>44437</v>
      </c>
      <c r="T193" s="18">
        <v>61.72</v>
      </c>
      <c r="U193" s="101">
        <f t="shared" si="19"/>
        <v>3.9057239057239061E-2</v>
      </c>
      <c r="V193" s="18"/>
      <c r="W193" s="219">
        <v>44437</v>
      </c>
      <c r="X193" s="18">
        <v>41.28</v>
      </c>
      <c r="Y193" s="101">
        <f t="shared" si="20"/>
        <v>9.5377842993397063E-3</v>
      </c>
      <c r="Z193" s="18"/>
      <c r="AA193" s="219">
        <v>44437</v>
      </c>
      <c r="AB193" s="16">
        <v>4535.43</v>
      </c>
      <c r="AC193" s="17">
        <f t="shared" si="21"/>
        <v>5.7790777869193262E-3</v>
      </c>
    </row>
    <row r="194" spans="3:29" x14ac:dyDescent="0.25">
      <c r="C194" s="219">
        <v>44430</v>
      </c>
      <c r="D194" s="18">
        <v>558.91999999999996</v>
      </c>
      <c r="E194" s="17">
        <f t="shared" si="15"/>
        <v>2.2015798712697418E-2</v>
      </c>
      <c r="F194" s="18"/>
      <c r="G194" s="219">
        <v>44430</v>
      </c>
      <c r="H194" s="18">
        <v>372.63</v>
      </c>
      <c r="I194" s="101">
        <f t="shared" si="16"/>
        <v>3.6897904666499684E-2</v>
      </c>
      <c r="J194" s="18"/>
      <c r="K194" s="219">
        <v>44430</v>
      </c>
      <c r="L194" s="18">
        <v>144</v>
      </c>
      <c r="M194" s="101">
        <f t="shared" si="17"/>
        <v>4.7806155861165635E-2</v>
      </c>
      <c r="N194" s="18"/>
      <c r="O194" s="219">
        <v>44430</v>
      </c>
      <c r="P194" s="18">
        <v>180.14</v>
      </c>
      <c r="Q194" s="101">
        <f t="shared" si="18"/>
        <v>2.8666057560529819E-2</v>
      </c>
      <c r="R194" s="18"/>
      <c r="S194" s="219">
        <v>44430</v>
      </c>
      <c r="T194" s="18">
        <v>59.4</v>
      </c>
      <c r="U194" s="101">
        <f t="shared" si="19"/>
        <v>-1.6832183134149153E-4</v>
      </c>
      <c r="V194" s="18"/>
      <c r="W194" s="219">
        <v>44430</v>
      </c>
      <c r="X194" s="18">
        <v>40.89</v>
      </c>
      <c r="Y194" s="101">
        <f t="shared" si="20"/>
        <v>2.9715436917652976E-2</v>
      </c>
      <c r="Z194" s="18"/>
      <c r="AA194" s="219">
        <v>44430</v>
      </c>
      <c r="AB194" s="16">
        <v>4509.37</v>
      </c>
      <c r="AC194" s="17">
        <f t="shared" si="21"/>
        <v>1.5242014827756186E-2</v>
      </c>
    </row>
    <row r="195" spans="3:29" x14ac:dyDescent="0.25">
      <c r="C195" s="219">
        <v>44423</v>
      </c>
      <c r="D195" s="18">
        <v>546.88</v>
      </c>
      <c r="E195" s="17">
        <f t="shared" si="15"/>
        <v>6.0009303768026129E-2</v>
      </c>
      <c r="F195" s="18"/>
      <c r="G195" s="219">
        <v>44423</v>
      </c>
      <c r="H195" s="18">
        <v>359.37</v>
      </c>
      <c r="I195" s="101">
        <f t="shared" si="16"/>
        <v>-1.0490665785560885E-2</v>
      </c>
      <c r="J195" s="18"/>
      <c r="K195" s="219">
        <v>44423</v>
      </c>
      <c r="L195" s="18">
        <v>137.43</v>
      </c>
      <c r="M195" s="101">
        <f t="shared" si="17"/>
        <v>-2.178174689609983E-3</v>
      </c>
      <c r="N195" s="18"/>
      <c r="O195" s="219">
        <v>44423</v>
      </c>
      <c r="P195" s="18">
        <v>175.12</v>
      </c>
      <c r="Q195" s="101">
        <f t="shared" si="18"/>
        <v>-3.2913629335100551E-2</v>
      </c>
      <c r="R195" s="18"/>
      <c r="S195" s="219">
        <v>44423</v>
      </c>
      <c r="T195" s="18">
        <v>59.41</v>
      </c>
      <c r="U195" s="101">
        <f t="shared" si="19"/>
        <v>1.5171948752528035E-3</v>
      </c>
      <c r="V195" s="18"/>
      <c r="W195" s="219">
        <v>44423</v>
      </c>
      <c r="X195" s="18">
        <v>39.71</v>
      </c>
      <c r="Y195" s="101">
        <f t="shared" si="20"/>
        <v>1.404494382022483E-2</v>
      </c>
      <c r="Z195" s="18"/>
      <c r="AA195" s="219">
        <v>44423</v>
      </c>
      <c r="AB195" s="16">
        <v>4441.67</v>
      </c>
      <c r="AC195" s="17">
        <f t="shared" si="21"/>
        <v>-5.8930170098477905E-3</v>
      </c>
    </row>
    <row r="196" spans="3:29" x14ac:dyDescent="0.25">
      <c r="C196" s="219">
        <v>44416</v>
      </c>
      <c r="D196" s="18">
        <v>515.91999999999996</v>
      </c>
      <c r="E196" s="17">
        <f t="shared" si="15"/>
        <v>-8.8944385745845667E-3</v>
      </c>
      <c r="F196" s="18"/>
      <c r="G196" s="219">
        <v>44416</v>
      </c>
      <c r="H196" s="18">
        <v>363.18</v>
      </c>
      <c r="I196" s="101">
        <f t="shared" si="16"/>
        <v>-9.0781546587434764E-4</v>
      </c>
      <c r="J196" s="18"/>
      <c r="K196" s="219">
        <v>44416</v>
      </c>
      <c r="L196" s="18">
        <v>137.72999999999999</v>
      </c>
      <c r="M196" s="101">
        <f t="shared" si="17"/>
        <v>1.4660380138499931E-2</v>
      </c>
      <c r="N196" s="18"/>
      <c r="O196" s="219">
        <v>44416</v>
      </c>
      <c r="P196" s="18">
        <v>181.08</v>
      </c>
      <c r="Q196" s="101">
        <f t="shared" si="18"/>
        <v>2.2300005645571146E-2</v>
      </c>
      <c r="R196" s="18"/>
      <c r="S196" s="219">
        <v>44416</v>
      </c>
      <c r="T196" s="18">
        <v>59.32</v>
      </c>
      <c r="U196" s="101">
        <f t="shared" si="19"/>
        <v>1.0734367013119826E-2</v>
      </c>
      <c r="V196" s="18"/>
      <c r="W196" s="219">
        <v>44416</v>
      </c>
      <c r="X196" s="18">
        <v>39.159999999999997</v>
      </c>
      <c r="Y196" s="101">
        <f t="shared" si="20"/>
        <v>-5.6385542168674779E-2</v>
      </c>
      <c r="Z196" s="18"/>
      <c r="AA196" s="219">
        <v>44416</v>
      </c>
      <c r="AB196" s="16">
        <v>4468</v>
      </c>
      <c r="AC196" s="17">
        <f t="shared" si="21"/>
        <v>7.0956515467076806E-3</v>
      </c>
    </row>
    <row r="197" spans="3:29" x14ac:dyDescent="0.25">
      <c r="C197" s="219">
        <v>44409</v>
      </c>
      <c r="D197" s="18">
        <v>520.54999999999995</v>
      </c>
      <c r="E197" s="17">
        <f t="shared" si="15"/>
        <v>5.7576752902987116E-3</v>
      </c>
      <c r="F197" s="18"/>
      <c r="G197" s="219">
        <v>44409</v>
      </c>
      <c r="H197" s="18">
        <v>363.51</v>
      </c>
      <c r="I197" s="101">
        <f t="shared" si="16"/>
        <v>2.0235756385068703E-2</v>
      </c>
      <c r="J197" s="18"/>
      <c r="K197" s="219">
        <v>44409</v>
      </c>
      <c r="L197" s="18">
        <v>135.74</v>
      </c>
      <c r="M197" s="101">
        <f t="shared" si="17"/>
        <v>7.4964744303423099E-3</v>
      </c>
      <c r="N197" s="18"/>
      <c r="O197" s="219">
        <v>44409</v>
      </c>
      <c r="P197" s="18">
        <v>177.13</v>
      </c>
      <c r="Q197" s="101">
        <f t="shared" si="18"/>
        <v>6.306101579365897E-3</v>
      </c>
      <c r="R197" s="18"/>
      <c r="S197" s="219">
        <v>44409</v>
      </c>
      <c r="T197" s="18">
        <v>58.69</v>
      </c>
      <c r="U197" s="101">
        <f t="shared" si="19"/>
        <v>-2.3797382287948422E-3</v>
      </c>
      <c r="V197" s="18"/>
      <c r="W197" s="219">
        <v>44409</v>
      </c>
      <c r="X197" s="18">
        <v>41.5</v>
      </c>
      <c r="Y197" s="101">
        <f t="shared" si="20"/>
        <v>1.3926215489860744E-2</v>
      </c>
      <c r="Z197" s="18"/>
      <c r="AA197" s="219">
        <v>44409</v>
      </c>
      <c r="AB197" s="16">
        <v>4436.5200000000004</v>
      </c>
      <c r="AC197" s="17">
        <f t="shared" si="21"/>
        <v>9.3873855016541035E-3</v>
      </c>
    </row>
    <row r="198" spans="3:29" x14ac:dyDescent="0.25">
      <c r="C198" s="219">
        <v>44402</v>
      </c>
      <c r="D198" s="18">
        <v>517.57000000000005</v>
      </c>
      <c r="E198" s="17">
        <f t="shared" si="15"/>
        <v>4.1908383616927917E-3</v>
      </c>
      <c r="F198" s="18"/>
      <c r="G198" s="219">
        <v>44402</v>
      </c>
      <c r="H198" s="18">
        <v>356.3</v>
      </c>
      <c r="I198" s="101">
        <f t="shared" si="16"/>
        <v>-3.6480164417642472E-2</v>
      </c>
      <c r="J198" s="18"/>
      <c r="K198" s="219">
        <v>44402</v>
      </c>
      <c r="L198" s="18">
        <v>134.72999999999999</v>
      </c>
      <c r="M198" s="101">
        <f t="shared" si="17"/>
        <v>1.2931358544470332E-2</v>
      </c>
      <c r="N198" s="18"/>
      <c r="O198" s="219">
        <v>44402</v>
      </c>
      <c r="P198" s="18">
        <v>176.02</v>
      </c>
      <c r="Q198" s="101">
        <f t="shared" si="18"/>
        <v>-6.8127625752228982E-4</v>
      </c>
      <c r="R198" s="18"/>
      <c r="S198" s="219">
        <v>44402</v>
      </c>
      <c r="T198" s="18">
        <v>58.83</v>
      </c>
      <c r="U198" s="101">
        <f t="shared" si="19"/>
        <v>8.0534612748457655E-3</v>
      </c>
      <c r="V198" s="18"/>
      <c r="W198" s="219">
        <v>44402</v>
      </c>
      <c r="X198" s="18">
        <v>40.93</v>
      </c>
      <c r="Y198" s="101">
        <f t="shared" si="20"/>
        <v>-1.4637716516224023E-3</v>
      </c>
      <c r="Z198" s="18"/>
      <c r="AA198" s="219">
        <v>44402</v>
      </c>
      <c r="AB198" s="16">
        <v>4395.26</v>
      </c>
      <c r="AC198" s="17">
        <f t="shared" si="21"/>
        <v>-3.7467785184697698E-3</v>
      </c>
    </row>
    <row r="199" spans="3:29" x14ac:dyDescent="0.25">
      <c r="C199" s="219">
        <v>44395</v>
      </c>
      <c r="D199" s="18">
        <v>515.41</v>
      </c>
      <c r="E199" s="17">
        <f t="shared" si="15"/>
        <v>-2.8096773585261411E-2</v>
      </c>
      <c r="F199" s="18"/>
      <c r="G199" s="219">
        <v>44395</v>
      </c>
      <c r="H199" s="18">
        <v>369.79</v>
      </c>
      <c r="I199" s="101">
        <f t="shared" si="16"/>
        <v>8.3919568530894578E-2</v>
      </c>
      <c r="J199" s="18"/>
      <c r="K199" s="219">
        <v>44395</v>
      </c>
      <c r="L199" s="18">
        <v>133.01</v>
      </c>
      <c r="M199" s="101">
        <f t="shared" si="17"/>
        <v>4.7570292195006629E-2</v>
      </c>
      <c r="N199" s="18"/>
      <c r="O199" s="219">
        <v>44395</v>
      </c>
      <c r="P199" s="18">
        <v>176.14</v>
      </c>
      <c r="Q199" s="101">
        <f t="shared" si="18"/>
        <v>-1.7678880151692687E-2</v>
      </c>
      <c r="R199" s="18"/>
      <c r="S199" s="219">
        <v>44395</v>
      </c>
      <c r="T199" s="18">
        <v>58.36</v>
      </c>
      <c r="U199" s="101">
        <f t="shared" si="19"/>
        <v>1.4074717636837573E-2</v>
      </c>
      <c r="V199" s="18"/>
      <c r="W199" s="219">
        <v>44395</v>
      </c>
      <c r="X199" s="18">
        <v>40.99</v>
      </c>
      <c r="Y199" s="101">
        <f t="shared" si="20"/>
        <v>1.737403822288416E-2</v>
      </c>
      <c r="Z199" s="18"/>
      <c r="AA199" s="219">
        <v>44395</v>
      </c>
      <c r="AB199" s="16">
        <v>4411.79</v>
      </c>
      <c r="AC199" s="17">
        <f t="shared" si="21"/>
        <v>1.955786243171043E-2</v>
      </c>
    </row>
    <row r="200" spans="3:29" x14ac:dyDescent="0.25">
      <c r="C200" s="219">
        <v>44388</v>
      </c>
      <c r="D200" s="18">
        <v>530.30999999999995</v>
      </c>
      <c r="E200" s="17">
        <f t="shared" si="15"/>
        <v>-1.0578752938542619E-2</v>
      </c>
      <c r="F200" s="18"/>
      <c r="G200" s="219">
        <v>44388</v>
      </c>
      <c r="H200" s="18">
        <v>341.16</v>
      </c>
      <c r="I200" s="101">
        <f t="shared" si="16"/>
        <v>-2.6425432338336826E-2</v>
      </c>
      <c r="J200" s="18"/>
      <c r="K200" s="219">
        <v>44388</v>
      </c>
      <c r="L200" s="18">
        <v>126.97</v>
      </c>
      <c r="M200" s="101">
        <f t="shared" si="17"/>
        <v>1.1551943913320609E-2</v>
      </c>
      <c r="N200" s="18"/>
      <c r="O200" s="219">
        <v>44388</v>
      </c>
      <c r="P200" s="18">
        <v>179.31</v>
      </c>
      <c r="Q200" s="101">
        <f t="shared" si="18"/>
        <v>1.282196113872577E-2</v>
      </c>
      <c r="R200" s="18"/>
      <c r="S200" s="219">
        <v>44388</v>
      </c>
      <c r="T200" s="18">
        <v>57.55</v>
      </c>
      <c r="U200" s="101">
        <f t="shared" si="19"/>
        <v>-8.2715836636223332E-3</v>
      </c>
      <c r="V200" s="18"/>
      <c r="W200" s="219">
        <v>44388</v>
      </c>
      <c r="X200" s="18">
        <v>40.29</v>
      </c>
      <c r="Y200" s="101">
        <f t="shared" si="20"/>
        <v>-5.7984568622866585E-2</v>
      </c>
      <c r="Z200" s="18"/>
      <c r="AA200" s="219">
        <v>44388</v>
      </c>
      <c r="AB200" s="16">
        <v>4327.16</v>
      </c>
      <c r="AC200" s="17">
        <f t="shared" si="21"/>
        <v>-9.7012278152213208E-3</v>
      </c>
    </row>
    <row r="201" spans="3:29" x14ac:dyDescent="0.25">
      <c r="C201" s="219">
        <v>44381</v>
      </c>
      <c r="D201" s="18">
        <v>535.98</v>
      </c>
      <c r="E201" s="17">
        <f t="shared" si="15"/>
        <v>3.7454586314094158E-3</v>
      </c>
      <c r="F201" s="18"/>
      <c r="G201" s="219">
        <v>44381</v>
      </c>
      <c r="H201" s="18">
        <v>350.42</v>
      </c>
      <c r="I201" s="101">
        <f t="shared" si="16"/>
        <v>-1.2066535100084501E-2</v>
      </c>
      <c r="J201" s="18"/>
      <c r="K201" s="219">
        <v>44381</v>
      </c>
      <c r="L201" s="18">
        <v>125.52</v>
      </c>
      <c r="M201" s="101">
        <f t="shared" si="17"/>
        <v>2.0756825802330423E-3</v>
      </c>
      <c r="N201" s="18"/>
      <c r="O201" s="219">
        <v>44381</v>
      </c>
      <c r="P201" s="18">
        <v>177.04</v>
      </c>
      <c r="Q201" s="101">
        <f t="shared" si="18"/>
        <v>-3.9523459996624466E-4</v>
      </c>
      <c r="R201" s="18"/>
      <c r="S201" s="219">
        <v>44381</v>
      </c>
      <c r="T201" s="18">
        <v>58.03</v>
      </c>
      <c r="U201" s="101">
        <f t="shared" si="19"/>
        <v>-6.6757959602875821E-3</v>
      </c>
      <c r="V201" s="18"/>
      <c r="W201" s="219">
        <v>44381</v>
      </c>
      <c r="X201" s="18">
        <v>42.77</v>
      </c>
      <c r="Y201" s="101">
        <f t="shared" si="20"/>
        <v>-3.1476449275362174E-2</v>
      </c>
      <c r="Z201" s="18"/>
      <c r="AA201" s="219">
        <v>44381</v>
      </c>
      <c r="AB201" s="16">
        <v>4369.55</v>
      </c>
      <c r="AC201" s="17">
        <f t="shared" si="21"/>
        <v>3.9541947550053615E-3</v>
      </c>
    </row>
    <row r="202" spans="3:29" x14ac:dyDescent="0.25">
      <c r="C202" s="219">
        <v>44374</v>
      </c>
      <c r="D202" s="18">
        <v>533.98</v>
      </c>
      <c r="E202" s="17">
        <f t="shared" si="15"/>
        <v>1.3110213064678255E-2</v>
      </c>
      <c r="F202" s="18"/>
      <c r="G202" s="219">
        <v>44374</v>
      </c>
      <c r="H202" s="18">
        <v>354.7</v>
      </c>
      <c r="I202" s="101">
        <f t="shared" si="16"/>
        <v>3.9048539707648544E-2</v>
      </c>
      <c r="J202" s="18"/>
      <c r="K202" s="219">
        <v>44374</v>
      </c>
      <c r="L202" s="18">
        <v>125.26</v>
      </c>
      <c r="M202" s="101">
        <f t="shared" si="17"/>
        <v>2.2447147171659455E-2</v>
      </c>
      <c r="N202" s="18"/>
      <c r="O202" s="219">
        <v>44374</v>
      </c>
      <c r="P202" s="18">
        <v>177.11</v>
      </c>
      <c r="Q202" s="101">
        <f t="shared" si="18"/>
        <v>-6.9526212503503264E-3</v>
      </c>
      <c r="R202" s="18"/>
      <c r="S202" s="219">
        <v>44374</v>
      </c>
      <c r="T202" s="18">
        <v>58.42</v>
      </c>
      <c r="U202" s="101">
        <f t="shared" si="19"/>
        <v>3.5448422545196735E-2</v>
      </c>
      <c r="V202" s="18"/>
      <c r="W202" s="219">
        <v>44374</v>
      </c>
      <c r="X202" s="18">
        <v>44.16</v>
      </c>
      <c r="Y202" s="101">
        <f t="shared" si="20"/>
        <v>7.7590141487904225E-3</v>
      </c>
      <c r="Z202" s="18"/>
      <c r="AA202" s="219">
        <v>44374</v>
      </c>
      <c r="AB202" s="16">
        <v>4352.34</v>
      </c>
      <c r="AC202" s="17">
        <f t="shared" si="21"/>
        <v>1.6735580629336402E-2</v>
      </c>
    </row>
    <row r="203" spans="3:29" x14ac:dyDescent="0.25">
      <c r="C203" s="219">
        <v>44367</v>
      </c>
      <c r="D203" s="18">
        <v>527.07000000000005</v>
      </c>
      <c r="E203" s="17">
        <f t="shared" si="15"/>
        <v>5.2519120554346446E-2</v>
      </c>
      <c r="F203" s="18"/>
      <c r="G203" s="219">
        <v>44367</v>
      </c>
      <c r="H203" s="18">
        <v>341.37</v>
      </c>
      <c r="I203" s="101">
        <f t="shared" si="16"/>
        <v>3.5521446338651883E-2</v>
      </c>
      <c r="J203" s="18"/>
      <c r="K203" s="219">
        <v>44367</v>
      </c>
      <c r="L203" s="18">
        <v>122.51</v>
      </c>
      <c r="M203" s="101">
        <f t="shared" si="17"/>
        <v>1.9981683456831285E-2</v>
      </c>
      <c r="N203" s="18"/>
      <c r="O203" s="219">
        <v>44367</v>
      </c>
      <c r="P203" s="18">
        <v>178.35</v>
      </c>
      <c r="Q203" s="101">
        <f t="shared" si="18"/>
        <v>3.4392761860573058E-2</v>
      </c>
      <c r="R203" s="18"/>
      <c r="S203" s="219">
        <v>44367</v>
      </c>
      <c r="T203" s="18">
        <v>56.42</v>
      </c>
      <c r="U203" s="101">
        <f t="shared" si="19"/>
        <v>-5.1137365543995617E-3</v>
      </c>
      <c r="V203" s="18"/>
      <c r="W203" s="219">
        <v>44367</v>
      </c>
      <c r="X203" s="18">
        <v>43.82</v>
      </c>
      <c r="Y203" s="101">
        <f t="shared" si="20"/>
        <v>9.4678990756932271E-2</v>
      </c>
      <c r="Z203" s="18"/>
      <c r="AA203" s="219">
        <v>44367</v>
      </c>
      <c r="AB203" s="16">
        <v>4280.7</v>
      </c>
      <c r="AC203" s="17">
        <f t="shared" si="21"/>
        <v>2.7421425914147538E-2</v>
      </c>
    </row>
    <row r="204" spans="3:29" x14ac:dyDescent="0.25">
      <c r="C204" s="219">
        <v>44360</v>
      </c>
      <c r="D204" s="18">
        <v>500.77</v>
      </c>
      <c r="E204" s="17">
        <f t="shared" si="15"/>
        <v>2.4551425005626369E-2</v>
      </c>
      <c r="F204" s="18"/>
      <c r="G204" s="219">
        <v>44360</v>
      </c>
      <c r="H204" s="18">
        <v>329.66</v>
      </c>
      <c r="I204" s="101">
        <f t="shared" si="16"/>
        <v>-4.8300428666303383E-3</v>
      </c>
      <c r="J204" s="18"/>
      <c r="K204" s="219">
        <v>44360</v>
      </c>
      <c r="L204" s="18">
        <v>120.11</v>
      </c>
      <c r="M204" s="101">
        <f t="shared" si="17"/>
        <v>-1.1521685457987043E-2</v>
      </c>
      <c r="N204" s="18"/>
      <c r="O204" s="219">
        <v>44360</v>
      </c>
      <c r="P204" s="18">
        <v>172.42</v>
      </c>
      <c r="Q204" s="101">
        <f t="shared" si="18"/>
        <v>-2.7962566241966445E-2</v>
      </c>
      <c r="R204" s="18"/>
      <c r="S204" s="219">
        <v>44360</v>
      </c>
      <c r="T204" s="18">
        <v>56.71</v>
      </c>
      <c r="U204" s="101">
        <f t="shared" si="19"/>
        <v>-2.9887482419128286E-3</v>
      </c>
      <c r="V204" s="18"/>
      <c r="W204" s="219">
        <v>44360</v>
      </c>
      <c r="X204" s="18">
        <v>40.03</v>
      </c>
      <c r="Y204" s="101">
        <f t="shared" si="20"/>
        <v>-5.478158205430933E-2</v>
      </c>
      <c r="Z204" s="18"/>
      <c r="AA204" s="219">
        <v>44360</v>
      </c>
      <c r="AB204" s="16">
        <v>4166.45</v>
      </c>
      <c r="AC204" s="17">
        <f t="shared" si="21"/>
        <v>-1.9067956227751256E-2</v>
      </c>
    </row>
    <row r="205" spans="3:29" x14ac:dyDescent="0.25">
      <c r="C205" s="219">
        <v>44353</v>
      </c>
      <c r="D205" s="18">
        <v>488.77</v>
      </c>
      <c r="E205" s="17">
        <f t="shared" si="15"/>
        <v>-1.2066944253547372E-2</v>
      </c>
      <c r="F205" s="18"/>
      <c r="G205" s="219">
        <v>44353</v>
      </c>
      <c r="H205" s="18">
        <v>331.26</v>
      </c>
      <c r="I205" s="101">
        <f t="shared" si="16"/>
        <v>2.7546541546843292E-3</v>
      </c>
      <c r="J205" s="18"/>
      <c r="K205" s="219">
        <v>44353</v>
      </c>
      <c r="L205" s="18">
        <v>121.51</v>
      </c>
      <c r="M205" s="101">
        <f t="shared" si="17"/>
        <v>1.5290775401069504E-2</v>
      </c>
      <c r="N205" s="18"/>
      <c r="O205" s="219">
        <v>44353</v>
      </c>
      <c r="P205" s="18">
        <v>177.38</v>
      </c>
      <c r="Q205" s="101">
        <f t="shared" si="18"/>
        <v>1.1287955751212813E-3</v>
      </c>
      <c r="R205" s="18"/>
      <c r="S205" s="219">
        <v>44353</v>
      </c>
      <c r="T205" s="18">
        <v>56.88</v>
      </c>
      <c r="U205" s="101">
        <f t="shared" si="19"/>
        <v>-2.1052631578946921E-3</v>
      </c>
      <c r="V205" s="18"/>
      <c r="W205" s="219">
        <v>44353</v>
      </c>
      <c r="X205" s="18">
        <v>42.35</v>
      </c>
      <c r="Y205" s="101">
        <f t="shared" si="20"/>
        <v>1.558752997601915E-2</v>
      </c>
      <c r="Z205" s="18"/>
      <c r="AA205" s="219">
        <v>44353</v>
      </c>
      <c r="AB205" s="16">
        <v>4247.4399999999996</v>
      </c>
      <c r="AC205" s="17">
        <f t="shared" si="21"/>
        <v>4.149044064975513E-3</v>
      </c>
    </row>
    <row r="206" spans="3:29" x14ac:dyDescent="0.25">
      <c r="C206" s="219">
        <v>44346</v>
      </c>
      <c r="D206" s="18">
        <v>494.74</v>
      </c>
      <c r="E206" s="17">
        <f t="shared" si="15"/>
        <v>-1.6049800123307E-2</v>
      </c>
      <c r="F206" s="18"/>
      <c r="G206" s="219">
        <v>44346</v>
      </c>
      <c r="H206" s="18">
        <v>330.35</v>
      </c>
      <c r="I206" s="101">
        <f t="shared" si="16"/>
        <v>4.928056459708589E-3</v>
      </c>
      <c r="J206" s="18"/>
      <c r="K206" s="219">
        <v>44346</v>
      </c>
      <c r="L206" s="18">
        <v>119.68</v>
      </c>
      <c r="M206" s="101">
        <f t="shared" si="17"/>
        <v>1.5614392396469818E-2</v>
      </c>
      <c r="N206" s="18"/>
      <c r="O206" s="219">
        <v>44346</v>
      </c>
      <c r="P206" s="18">
        <v>177.18</v>
      </c>
      <c r="Q206" s="101">
        <f t="shared" si="18"/>
        <v>-8.2283795130142674E-3</v>
      </c>
      <c r="R206" s="18"/>
      <c r="S206" s="219">
        <v>44346</v>
      </c>
      <c r="T206" s="18">
        <v>57</v>
      </c>
      <c r="U206" s="101">
        <f t="shared" si="19"/>
        <v>-5.9295430763865262E-3</v>
      </c>
      <c r="V206" s="18"/>
      <c r="W206" s="219">
        <v>44346</v>
      </c>
      <c r="X206" s="18">
        <v>41.7</v>
      </c>
      <c r="Y206" s="101">
        <f t="shared" si="20"/>
        <v>-1.6973125884016945E-2</v>
      </c>
      <c r="Z206" s="18"/>
      <c r="AA206" s="219">
        <v>44346</v>
      </c>
      <c r="AB206" s="16">
        <v>4229.8900000000003</v>
      </c>
      <c r="AC206" s="17">
        <f t="shared" si="21"/>
        <v>6.1320945455757957E-3</v>
      </c>
    </row>
    <row r="207" spans="3:29" x14ac:dyDescent="0.25">
      <c r="C207" s="219">
        <v>44339</v>
      </c>
      <c r="D207" s="18">
        <v>502.81</v>
      </c>
      <c r="E207" s="17">
        <f t="shared" si="15"/>
        <v>9.8817007772801536E-3</v>
      </c>
      <c r="F207" s="18"/>
      <c r="G207" s="219">
        <v>44339</v>
      </c>
      <c r="H207" s="18">
        <v>328.73</v>
      </c>
      <c r="I207" s="101">
        <f t="shared" si="16"/>
        <v>3.9528191506182205E-2</v>
      </c>
      <c r="J207" s="18"/>
      <c r="K207" s="219">
        <v>44339</v>
      </c>
      <c r="L207" s="18">
        <v>117.84</v>
      </c>
      <c r="M207" s="101">
        <f t="shared" si="17"/>
        <v>2.7286199982564815E-2</v>
      </c>
      <c r="N207" s="18"/>
      <c r="O207" s="219">
        <v>44339</v>
      </c>
      <c r="P207" s="18">
        <v>178.65</v>
      </c>
      <c r="Q207" s="101">
        <f t="shared" si="18"/>
        <v>3.6252900232018562E-2</v>
      </c>
      <c r="R207" s="18"/>
      <c r="S207" s="219">
        <v>44339</v>
      </c>
      <c r="T207" s="18">
        <v>57.34</v>
      </c>
      <c r="U207" s="101">
        <f t="shared" si="19"/>
        <v>4.1031227305737203E-2</v>
      </c>
      <c r="V207" s="18"/>
      <c r="W207" s="219">
        <v>44339</v>
      </c>
      <c r="X207" s="18">
        <v>42.42</v>
      </c>
      <c r="Y207" s="101">
        <f t="shared" si="20"/>
        <v>6.4056939501780106E-3</v>
      </c>
      <c r="Z207" s="18"/>
      <c r="AA207" s="219">
        <v>44339</v>
      </c>
      <c r="AB207" s="16">
        <v>4204.1099999999997</v>
      </c>
      <c r="AC207" s="17">
        <f t="shared" si="21"/>
        <v>1.1610111986448053E-2</v>
      </c>
    </row>
    <row r="208" spans="3:29" x14ac:dyDescent="0.25">
      <c r="C208" s="219">
        <v>44332</v>
      </c>
      <c r="D208" s="18">
        <v>497.89</v>
      </c>
      <c r="E208" s="17">
        <f t="shared" si="15"/>
        <v>9.1614812412590587E-3</v>
      </c>
      <c r="F208" s="18"/>
      <c r="G208" s="219">
        <v>44332</v>
      </c>
      <c r="H208" s="18">
        <v>316.23</v>
      </c>
      <c r="I208" s="101">
        <f t="shared" si="16"/>
        <v>9.1789580300063447E-4</v>
      </c>
      <c r="J208" s="18"/>
      <c r="K208" s="219">
        <v>44332</v>
      </c>
      <c r="L208" s="18">
        <v>114.71</v>
      </c>
      <c r="M208" s="101">
        <f t="shared" si="17"/>
        <v>6.9346910112358853E-3</v>
      </c>
      <c r="N208" s="18"/>
      <c r="O208" s="219">
        <v>44332</v>
      </c>
      <c r="P208" s="18">
        <v>172.4</v>
      </c>
      <c r="Q208" s="101">
        <f t="shared" si="18"/>
        <v>-7.4841681059296663E-3</v>
      </c>
      <c r="R208" s="18"/>
      <c r="S208" s="219">
        <v>44332</v>
      </c>
      <c r="T208" s="18">
        <v>55.08</v>
      </c>
      <c r="U208" s="101">
        <f t="shared" si="19"/>
        <v>-6.134969325153377E-2</v>
      </c>
      <c r="V208" s="18"/>
      <c r="W208" s="219">
        <v>44332</v>
      </c>
      <c r="X208" s="18">
        <v>42.15</v>
      </c>
      <c r="Y208" s="101">
        <f t="shared" si="20"/>
        <v>8.3269082498072536E-2</v>
      </c>
      <c r="Z208" s="18"/>
      <c r="AA208" s="219">
        <v>44332</v>
      </c>
      <c r="AB208" s="16">
        <v>4155.8599999999997</v>
      </c>
      <c r="AC208" s="17">
        <f t="shared" si="21"/>
        <v>-4.3101692681818205E-3</v>
      </c>
    </row>
    <row r="209" spans="3:29" x14ac:dyDescent="0.25">
      <c r="C209" s="219">
        <v>44325</v>
      </c>
      <c r="D209" s="18">
        <v>493.37</v>
      </c>
      <c r="E209" s="17">
        <f t="shared" si="15"/>
        <v>-2.0780406478247006E-2</v>
      </c>
      <c r="F209" s="18"/>
      <c r="G209" s="219">
        <v>44325</v>
      </c>
      <c r="H209" s="18">
        <v>315.94</v>
      </c>
      <c r="I209" s="101">
        <f t="shared" si="16"/>
        <v>-9.8407922777986288E-3</v>
      </c>
      <c r="J209" s="18"/>
      <c r="K209" s="219">
        <v>44325</v>
      </c>
      <c r="L209" s="18">
        <v>113.92</v>
      </c>
      <c r="M209" s="101">
        <f t="shared" si="17"/>
        <v>-3.1292517006802661E-2</v>
      </c>
      <c r="N209" s="18"/>
      <c r="O209" s="219">
        <v>44325</v>
      </c>
      <c r="P209" s="18">
        <v>173.7</v>
      </c>
      <c r="Q209" s="101">
        <f t="shared" si="18"/>
        <v>-6.0268340186106981E-2</v>
      </c>
      <c r="R209" s="18"/>
      <c r="S209" s="219">
        <v>44325</v>
      </c>
      <c r="T209" s="18">
        <v>58.68</v>
      </c>
      <c r="U209" s="101">
        <f t="shared" si="19"/>
        <v>9.8089829633453852E-3</v>
      </c>
      <c r="V209" s="18"/>
      <c r="W209" s="219">
        <v>44325</v>
      </c>
      <c r="X209" s="18">
        <v>38.909999999999997</v>
      </c>
      <c r="Y209" s="101">
        <f t="shared" si="20"/>
        <v>-1.2185833968012287E-2</v>
      </c>
      <c r="Z209" s="18"/>
      <c r="AA209" s="219">
        <v>44325</v>
      </c>
      <c r="AB209" s="16">
        <v>4173.8500000000004</v>
      </c>
      <c r="AC209" s="17">
        <f t="shared" si="21"/>
        <v>-1.3880357227236214E-2</v>
      </c>
    </row>
    <row r="210" spans="3:29" x14ac:dyDescent="0.25">
      <c r="C210" s="219">
        <v>44318</v>
      </c>
      <c r="D210" s="18">
        <v>503.84</v>
      </c>
      <c r="E210" s="17">
        <f t="shared" si="15"/>
        <v>-1.8754747112781762E-2</v>
      </c>
      <c r="F210" s="18"/>
      <c r="G210" s="219">
        <v>44318</v>
      </c>
      <c r="H210" s="18">
        <v>319.08</v>
      </c>
      <c r="I210" s="101">
        <f t="shared" si="16"/>
        <v>-1.8456995201181249E-2</v>
      </c>
      <c r="J210" s="18"/>
      <c r="K210" s="219">
        <v>44318</v>
      </c>
      <c r="L210" s="18">
        <v>117.6</v>
      </c>
      <c r="M210" s="101">
        <f t="shared" si="17"/>
        <v>-6.7980965329718303E-4</v>
      </c>
      <c r="N210" s="18"/>
      <c r="O210" s="219">
        <v>44318</v>
      </c>
      <c r="P210" s="18">
        <v>184.84</v>
      </c>
      <c r="Q210" s="101">
        <f t="shared" si="18"/>
        <v>-6.3434039350607823E-3</v>
      </c>
      <c r="R210" s="18"/>
      <c r="S210" s="219">
        <v>44318</v>
      </c>
      <c r="T210" s="18">
        <v>58.11</v>
      </c>
      <c r="U210" s="101">
        <f t="shared" si="19"/>
        <v>3.4906500445235994E-2</v>
      </c>
      <c r="V210" s="18"/>
      <c r="W210" s="219">
        <v>44318</v>
      </c>
      <c r="X210" s="18">
        <v>39.39</v>
      </c>
      <c r="Y210" s="101">
        <f t="shared" si="20"/>
        <v>-3.9736713798147305E-2</v>
      </c>
      <c r="Z210" s="18"/>
      <c r="AA210" s="219">
        <v>44318</v>
      </c>
      <c r="AB210" s="16">
        <v>4232.6000000000004</v>
      </c>
      <c r="AC210" s="17">
        <f t="shared" si="21"/>
        <v>1.2300384820516815E-2</v>
      </c>
    </row>
    <row r="211" spans="3:29" x14ac:dyDescent="0.25">
      <c r="C211" s="219">
        <v>44311</v>
      </c>
      <c r="D211" s="18">
        <v>513.47</v>
      </c>
      <c r="E211" s="17">
        <f t="shared" si="15"/>
        <v>1.5666106220947513E-2</v>
      </c>
      <c r="F211" s="18"/>
      <c r="G211" s="219">
        <v>44311</v>
      </c>
      <c r="H211" s="18">
        <v>325.08</v>
      </c>
      <c r="I211" s="101">
        <f t="shared" si="16"/>
        <v>7.9533756185036331E-2</v>
      </c>
      <c r="J211" s="18"/>
      <c r="K211" s="219">
        <v>44311</v>
      </c>
      <c r="L211" s="18">
        <v>117.68</v>
      </c>
      <c r="M211" s="101">
        <f t="shared" si="17"/>
        <v>2.3304347826087014E-2</v>
      </c>
      <c r="N211" s="18"/>
      <c r="O211" s="219">
        <v>44311</v>
      </c>
      <c r="P211" s="18">
        <v>186.02</v>
      </c>
      <c r="Q211" s="101">
        <f t="shared" si="18"/>
        <v>1.6391651185662767E-2</v>
      </c>
      <c r="R211" s="18"/>
      <c r="S211" s="219">
        <v>44311</v>
      </c>
      <c r="T211" s="18">
        <v>56.15</v>
      </c>
      <c r="U211" s="101">
        <f t="shared" si="19"/>
        <v>3.2358889501746604E-2</v>
      </c>
      <c r="V211" s="18"/>
      <c r="W211" s="219">
        <v>44311</v>
      </c>
      <c r="X211" s="18">
        <v>41.02</v>
      </c>
      <c r="Y211" s="101">
        <f t="shared" si="20"/>
        <v>-1.654279549268755E-2</v>
      </c>
      <c r="Z211" s="18"/>
      <c r="AA211" s="219">
        <v>44311</v>
      </c>
      <c r="AB211" s="16">
        <v>4181.17</v>
      </c>
      <c r="AC211" s="17">
        <f t="shared" si="21"/>
        <v>2.3922472052572024E-4</v>
      </c>
    </row>
    <row r="212" spans="3:29" x14ac:dyDescent="0.25">
      <c r="C212" s="219">
        <v>44304</v>
      </c>
      <c r="D212" s="18">
        <v>505.55</v>
      </c>
      <c r="E212" s="17">
        <f t="shared" si="15"/>
        <v>-7.4999085153877029E-2</v>
      </c>
      <c r="F212" s="18"/>
      <c r="G212" s="219">
        <v>44304</v>
      </c>
      <c r="H212" s="18">
        <v>301.13</v>
      </c>
      <c r="I212" s="101">
        <f t="shared" si="16"/>
        <v>-1.6493565876281962E-2</v>
      </c>
      <c r="J212" s="18"/>
      <c r="K212" s="219">
        <v>44304</v>
      </c>
      <c r="L212" s="18">
        <v>115</v>
      </c>
      <c r="M212" s="101">
        <f t="shared" si="17"/>
        <v>7.534606623444887E-3</v>
      </c>
      <c r="N212" s="18"/>
      <c r="O212" s="219">
        <v>44304</v>
      </c>
      <c r="P212" s="18">
        <v>183.02</v>
      </c>
      <c r="Q212" s="101">
        <f t="shared" si="18"/>
        <v>-2.2642315497169607E-2</v>
      </c>
      <c r="R212" s="18"/>
      <c r="S212" s="219">
        <v>44304</v>
      </c>
      <c r="T212" s="18">
        <v>54.39</v>
      </c>
      <c r="U212" s="101">
        <f t="shared" si="19"/>
        <v>-1.3064779531845379E-2</v>
      </c>
      <c r="V212" s="18"/>
      <c r="W212" s="219">
        <v>44304</v>
      </c>
      <c r="X212" s="18">
        <v>41.71</v>
      </c>
      <c r="Y212" s="101">
        <f t="shared" si="20"/>
        <v>5.997458703939007E-2</v>
      </c>
      <c r="Z212" s="18"/>
      <c r="AA212" s="219">
        <v>44304</v>
      </c>
      <c r="AB212" s="16">
        <v>4180.17</v>
      </c>
      <c r="AC212" s="17">
        <f t="shared" si="21"/>
        <v>-1.2662855067651141E-3</v>
      </c>
    </row>
    <row r="213" spans="3:29" x14ac:dyDescent="0.25">
      <c r="C213" s="219">
        <v>44297</v>
      </c>
      <c r="D213" s="18">
        <v>546.54</v>
      </c>
      <c r="E213" s="17">
        <f t="shared" si="15"/>
        <v>-1.5792980497379809E-2</v>
      </c>
      <c r="F213" s="18"/>
      <c r="G213" s="219">
        <v>44297</v>
      </c>
      <c r="H213" s="18">
        <v>306.18</v>
      </c>
      <c r="I213" s="101">
        <f t="shared" si="16"/>
        <v>-2.0098572617294929E-2</v>
      </c>
      <c r="J213" s="18"/>
      <c r="K213" s="219">
        <v>44297</v>
      </c>
      <c r="L213" s="18">
        <v>114.14</v>
      </c>
      <c r="M213" s="101">
        <f t="shared" si="17"/>
        <v>5.3730291552893461E-3</v>
      </c>
      <c r="N213" s="18"/>
      <c r="O213" s="219">
        <v>44297</v>
      </c>
      <c r="P213" s="18">
        <v>187.26</v>
      </c>
      <c r="Q213" s="101">
        <f t="shared" si="18"/>
        <v>-3.3530257065303927E-3</v>
      </c>
      <c r="R213" s="18"/>
      <c r="S213" s="219">
        <v>44297</v>
      </c>
      <c r="T213" s="18">
        <v>55.11</v>
      </c>
      <c r="U213" s="101">
        <f t="shared" si="19"/>
        <v>2.8747433264887049E-2</v>
      </c>
      <c r="V213" s="18"/>
      <c r="W213" s="219">
        <v>44297</v>
      </c>
      <c r="X213" s="18">
        <v>39.35</v>
      </c>
      <c r="Y213" s="101">
        <f t="shared" si="20"/>
        <v>-6.0410697230181491E-2</v>
      </c>
      <c r="Z213" s="18"/>
      <c r="AA213" s="219">
        <v>44297</v>
      </c>
      <c r="AB213" s="16">
        <v>4185.47</v>
      </c>
      <c r="AC213" s="17">
        <f t="shared" si="21"/>
        <v>1.3725537686494883E-2</v>
      </c>
    </row>
    <row r="214" spans="3:29" x14ac:dyDescent="0.25">
      <c r="C214" s="219">
        <v>44290</v>
      </c>
      <c r="D214" s="18">
        <v>555.30999999999995</v>
      </c>
      <c r="E214" s="17">
        <f t="shared" ref="E214:E228" si="22">(D214-D215)/D215</f>
        <v>2.9457565533350612E-2</v>
      </c>
      <c r="F214" s="18"/>
      <c r="G214" s="219">
        <v>44290</v>
      </c>
      <c r="H214" s="18">
        <v>312.45999999999998</v>
      </c>
      <c r="I214" s="101">
        <f t="shared" ref="I214:I228" si="23">(H214-H215)/H215</f>
        <v>4.6206388535458227E-2</v>
      </c>
      <c r="J214" s="18"/>
      <c r="K214" s="219">
        <v>44290</v>
      </c>
      <c r="L214" s="18">
        <v>113.53</v>
      </c>
      <c r="M214" s="101">
        <f t="shared" ref="M214:M228" si="24">(L214-L215)/L215</f>
        <v>6.6109493849187781E-2</v>
      </c>
      <c r="N214" s="18"/>
      <c r="O214" s="219">
        <v>44290</v>
      </c>
      <c r="P214" s="18">
        <v>187.89</v>
      </c>
      <c r="Q214" s="101">
        <f t="shared" ref="Q214:Q228" si="25">(P214-P215)/P215</f>
        <v>-5.7151928877600278E-3</v>
      </c>
      <c r="R214" s="18"/>
      <c r="S214" s="219">
        <v>44290</v>
      </c>
      <c r="T214" s="18">
        <v>53.57</v>
      </c>
      <c r="U214" s="101">
        <f t="shared" ref="U214:U228" si="26">(T214-T215)/T215</f>
        <v>-2.1552511415525107E-2</v>
      </c>
      <c r="V214" s="18"/>
      <c r="W214" s="219">
        <v>44290</v>
      </c>
      <c r="X214" s="18">
        <v>41.88</v>
      </c>
      <c r="Y214" s="101">
        <f t="shared" ref="Y214:Y228" si="27">(X214-X215)/X215</f>
        <v>-6.1827956989247264E-2</v>
      </c>
      <c r="Z214" s="18"/>
      <c r="AA214" s="219">
        <v>44290</v>
      </c>
      <c r="AB214" s="16">
        <v>4128.8</v>
      </c>
      <c r="AC214" s="17">
        <f t="shared" ref="AC214:AC228" si="28">(AB214-AB215)/AB215</f>
        <v>2.7097891225338205E-2</v>
      </c>
    </row>
    <row r="215" spans="3:29" x14ac:dyDescent="0.25">
      <c r="C215" s="219">
        <v>44283</v>
      </c>
      <c r="D215" s="18">
        <v>539.41999999999996</v>
      </c>
      <c r="E215" s="17">
        <f t="shared" si="22"/>
        <v>6.1745891152445519E-2</v>
      </c>
      <c r="F215" s="18"/>
      <c r="G215" s="219">
        <v>44283</v>
      </c>
      <c r="H215" s="18">
        <v>298.66000000000003</v>
      </c>
      <c r="I215" s="101">
        <f t="shared" si="23"/>
        <v>5.5261112288884334E-2</v>
      </c>
      <c r="J215" s="18"/>
      <c r="K215" s="219">
        <v>44283</v>
      </c>
      <c r="L215" s="18">
        <v>106.49</v>
      </c>
      <c r="M215" s="101">
        <f t="shared" si="24"/>
        <v>5.1856973528249709E-2</v>
      </c>
      <c r="N215" s="18"/>
      <c r="O215" s="219">
        <v>44283</v>
      </c>
      <c r="P215" s="18">
        <v>188.97</v>
      </c>
      <c r="Q215" s="101">
        <f t="shared" si="25"/>
        <v>1.640490533562829E-2</v>
      </c>
      <c r="R215" s="18"/>
      <c r="S215" s="219">
        <v>44283</v>
      </c>
      <c r="T215" s="18">
        <v>54.75</v>
      </c>
      <c r="U215" s="101">
        <f t="shared" si="26"/>
        <v>-7.7926785067053226E-3</v>
      </c>
      <c r="V215" s="18"/>
      <c r="W215" s="219">
        <v>44283</v>
      </c>
      <c r="X215" s="18">
        <v>44.64</v>
      </c>
      <c r="Y215" s="101">
        <f t="shared" si="27"/>
        <v>-7.4434998963300775E-2</v>
      </c>
      <c r="Z215" s="18"/>
      <c r="AA215" s="219">
        <v>44283</v>
      </c>
      <c r="AB215" s="16">
        <v>4019.87</v>
      </c>
      <c r="AC215" s="17">
        <f t="shared" si="28"/>
        <v>1.1405093419615837E-2</v>
      </c>
    </row>
    <row r="216" spans="3:29" x14ac:dyDescent="0.25">
      <c r="C216" s="219">
        <v>44276</v>
      </c>
      <c r="D216" s="18">
        <v>508.05</v>
      </c>
      <c r="E216" s="17">
        <f t="shared" si="22"/>
        <v>-8.0635714006793303E-3</v>
      </c>
      <c r="F216" s="18"/>
      <c r="G216" s="219">
        <v>44276</v>
      </c>
      <c r="H216" s="18">
        <v>283.02</v>
      </c>
      <c r="I216" s="101">
        <f t="shared" si="23"/>
        <v>-2.4439005894316058E-2</v>
      </c>
      <c r="J216" s="18"/>
      <c r="K216" s="219">
        <v>44276</v>
      </c>
      <c r="L216" s="18">
        <v>101.24</v>
      </c>
      <c r="M216" s="101">
        <f t="shared" si="24"/>
        <v>-1.0853478046373897E-3</v>
      </c>
      <c r="N216" s="18"/>
      <c r="O216" s="219">
        <v>44276</v>
      </c>
      <c r="P216" s="18">
        <v>185.92</v>
      </c>
      <c r="Q216" s="101">
        <f t="shared" si="25"/>
        <v>-2.7309825258972478E-2</v>
      </c>
      <c r="R216" s="18"/>
      <c r="S216" s="219">
        <v>44276</v>
      </c>
      <c r="T216" s="18">
        <v>55.18</v>
      </c>
      <c r="U216" s="101">
        <f t="shared" si="26"/>
        <v>-5.0486837360259849E-3</v>
      </c>
      <c r="V216" s="18"/>
      <c r="W216" s="219">
        <v>44276</v>
      </c>
      <c r="X216" s="18">
        <v>48.23</v>
      </c>
      <c r="Y216" s="101">
        <f t="shared" si="27"/>
        <v>-0.50457113507960971</v>
      </c>
      <c r="Z216" s="18"/>
      <c r="AA216" s="219">
        <v>44276</v>
      </c>
      <c r="AB216" s="16">
        <v>3974.54</v>
      </c>
      <c r="AC216" s="17">
        <f t="shared" si="28"/>
        <v>1.570110653957222E-2</v>
      </c>
    </row>
    <row r="217" spans="3:29" x14ac:dyDescent="0.25">
      <c r="C217" s="219">
        <v>44269</v>
      </c>
      <c r="D217" s="18">
        <v>512.17999999999995</v>
      </c>
      <c r="E217" s="17">
        <f t="shared" si="22"/>
        <v>-1.1273695996293642E-2</v>
      </c>
      <c r="F217" s="18"/>
      <c r="G217" s="219">
        <v>44269</v>
      </c>
      <c r="H217" s="18">
        <v>290.11</v>
      </c>
      <c r="I217" s="101">
        <f t="shared" si="23"/>
        <v>8.0886736214605209E-2</v>
      </c>
      <c r="J217" s="18"/>
      <c r="K217" s="219">
        <v>44269</v>
      </c>
      <c r="L217" s="18">
        <v>101.35</v>
      </c>
      <c r="M217" s="101">
        <f t="shared" si="24"/>
        <v>-1.1219512195122006E-2</v>
      </c>
      <c r="N217" s="18"/>
      <c r="O217" s="219">
        <v>44269</v>
      </c>
      <c r="P217" s="18">
        <v>191.14</v>
      </c>
      <c r="Q217" s="101">
        <f t="shared" si="25"/>
        <v>-3.0533576790424073E-2</v>
      </c>
      <c r="R217" s="18"/>
      <c r="S217" s="219">
        <v>44269</v>
      </c>
      <c r="T217" s="18">
        <v>55.46</v>
      </c>
      <c r="U217" s="101">
        <f t="shared" si="26"/>
        <v>-2.8551410054300272E-2</v>
      </c>
      <c r="V217" s="18"/>
      <c r="W217" s="219">
        <v>44269</v>
      </c>
      <c r="X217" s="18">
        <v>97.35</v>
      </c>
      <c r="Y217" s="101">
        <f t="shared" si="27"/>
        <v>2.5384453338950883E-2</v>
      </c>
      <c r="Z217" s="18"/>
      <c r="AA217" s="219">
        <v>44269</v>
      </c>
      <c r="AB217" s="16">
        <v>3913.1</v>
      </c>
      <c r="AC217" s="17">
        <f t="shared" si="28"/>
        <v>-7.6686260885442887E-3</v>
      </c>
    </row>
    <row r="218" spans="3:29" x14ac:dyDescent="0.25">
      <c r="C218" s="219">
        <v>44262</v>
      </c>
      <c r="D218" s="18">
        <v>518.02</v>
      </c>
      <c r="E218" s="17">
        <f t="shared" si="22"/>
        <v>3.1565289800344612E-3</v>
      </c>
      <c r="F218" s="18"/>
      <c r="G218" s="219">
        <v>44262</v>
      </c>
      <c r="H218" s="18">
        <v>268.39999999999998</v>
      </c>
      <c r="I218" s="101">
        <f t="shared" si="23"/>
        <v>1.5589526260027263E-2</v>
      </c>
      <c r="J218" s="18"/>
      <c r="K218" s="219">
        <v>44262</v>
      </c>
      <c r="L218" s="18">
        <v>102.5</v>
      </c>
      <c r="M218" s="101">
        <f t="shared" si="24"/>
        <v>-2.2412970910824934E-2</v>
      </c>
      <c r="N218" s="18"/>
      <c r="O218" s="219">
        <v>44262</v>
      </c>
      <c r="P218" s="18">
        <v>197.16</v>
      </c>
      <c r="Q218" s="101">
        <f t="shared" si="25"/>
        <v>3.7738828359387272E-2</v>
      </c>
      <c r="R218" s="18"/>
      <c r="S218" s="219">
        <v>44262</v>
      </c>
      <c r="T218" s="18">
        <v>57.09</v>
      </c>
      <c r="U218" s="101">
        <f t="shared" si="26"/>
        <v>3.6304229442730075E-2</v>
      </c>
      <c r="V218" s="18"/>
      <c r="W218" s="219">
        <v>44262</v>
      </c>
      <c r="X218" s="18">
        <v>94.94</v>
      </c>
      <c r="Y218" s="101">
        <f t="shared" si="27"/>
        <v>0.27882543103448282</v>
      </c>
      <c r="Z218" s="18"/>
      <c r="AA218" s="219">
        <v>44262</v>
      </c>
      <c r="AB218" s="16">
        <v>3943.34</v>
      </c>
      <c r="AC218" s="17">
        <f t="shared" si="28"/>
        <v>2.6392916078856018E-2</v>
      </c>
    </row>
    <row r="219" spans="3:29" x14ac:dyDescent="0.25">
      <c r="C219" s="219">
        <v>44255</v>
      </c>
      <c r="D219" s="18">
        <v>516.39</v>
      </c>
      <c r="E219" s="17">
        <f t="shared" si="22"/>
        <v>-4.1681358448547902E-2</v>
      </c>
      <c r="F219" s="18"/>
      <c r="G219" s="219">
        <v>44255</v>
      </c>
      <c r="H219" s="18">
        <v>264.27999999999997</v>
      </c>
      <c r="I219" s="101">
        <f t="shared" si="23"/>
        <v>2.5852030121884823E-2</v>
      </c>
      <c r="J219" s="18"/>
      <c r="K219" s="219">
        <v>44255</v>
      </c>
      <c r="L219" s="18">
        <v>104.85</v>
      </c>
      <c r="M219" s="101">
        <f t="shared" si="24"/>
        <v>3.7091988130563802E-2</v>
      </c>
      <c r="N219" s="18"/>
      <c r="O219" s="219">
        <v>44255</v>
      </c>
      <c r="P219" s="18">
        <v>189.99</v>
      </c>
      <c r="Q219" s="101">
        <f t="shared" si="25"/>
        <v>5.0253914515447371E-3</v>
      </c>
      <c r="R219" s="18"/>
      <c r="S219" s="219">
        <v>44255</v>
      </c>
      <c r="T219" s="18">
        <v>55.09</v>
      </c>
      <c r="U219" s="101">
        <f t="shared" si="26"/>
        <v>4.4954476479514505E-2</v>
      </c>
      <c r="V219" s="18"/>
      <c r="W219" s="219">
        <v>44255</v>
      </c>
      <c r="X219" s="18">
        <v>74.239999999999995</v>
      </c>
      <c r="Y219" s="101">
        <f t="shared" si="27"/>
        <v>0.15118623042332147</v>
      </c>
      <c r="Z219" s="18"/>
      <c r="AA219" s="219">
        <v>44255</v>
      </c>
      <c r="AB219" s="16">
        <v>3841.94</v>
      </c>
      <c r="AC219" s="17">
        <f t="shared" si="28"/>
        <v>8.0789263083321204E-3</v>
      </c>
    </row>
    <row r="220" spans="3:29" x14ac:dyDescent="0.25">
      <c r="C220" s="219">
        <v>44248</v>
      </c>
      <c r="D220" s="18">
        <v>538.85</v>
      </c>
      <c r="E220" s="17">
        <f t="shared" si="22"/>
        <v>-2.5360038502832264E-3</v>
      </c>
      <c r="F220" s="18"/>
      <c r="G220" s="219">
        <v>44248</v>
      </c>
      <c r="H220" s="18">
        <v>257.62</v>
      </c>
      <c r="I220" s="101">
        <f t="shared" si="23"/>
        <v>-1.5063465361676088E-2</v>
      </c>
      <c r="J220" s="18"/>
      <c r="K220" s="219">
        <v>44248</v>
      </c>
      <c r="L220" s="18">
        <v>101.1</v>
      </c>
      <c r="M220" s="101">
        <f t="shared" si="24"/>
        <v>-3.1980084258904667E-2</v>
      </c>
      <c r="N220" s="18"/>
      <c r="O220" s="219">
        <v>44248</v>
      </c>
      <c r="P220" s="18">
        <v>189.04</v>
      </c>
      <c r="Q220" s="101">
        <f t="shared" si="25"/>
        <v>2.9349305744622849E-2</v>
      </c>
      <c r="R220" s="18"/>
      <c r="S220" s="219">
        <v>44248</v>
      </c>
      <c r="T220" s="18">
        <v>52.72</v>
      </c>
      <c r="U220" s="101">
        <f t="shared" si="26"/>
        <v>1.1900191938579606E-2</v>
      </c>
      <c r="V220" s="18"/>
      <c r="W220" s="219">
        <v>44248</v>
      </c>
      <c r="X220" s="18">
        <v>64.489999999999995</v>
      </c>
      <c r="Y220" s="101">
        <f t="shared" si="27"/>
        <v>2.8712713351411664E-2</v>
      </c>
      <c r="Z220" s="18"/>
      <c r="AA220" s="219">
        <v>44248</v>
      </c>
      <c r="AB220" s="16">
        <v>3811.15</v>
      </c>
      <c r="AC220" s="17">
        <f t="shared" si="28"/>
        <v>-2.4460479533930071E-2</v>
      </c>
    </row>
    <row r="221" spans="3:29" x14ac:dyDescent="0.25">
      <c r="C221" s="219">
        <v>44241</v>
      </c>
      <c r="D221" s="18">
        <v>540.22</v>
      </c>
      <c r="E221" s="17">
        <f t="shared" si="22"/>
        <v>-2.9289154028606258E-2</v>
      </c>
      <c r="F221" s="18"/>
      <c r="G221" s="219">
        <v>44241</v>
      </c>
      <c r="H221" s="18">
        <v>261.56</v>
      </c>
      <c r="I221" s="101">
        <f t="shared" si="23"/>
        <v>-3.3049907578558219E-2</v>
      </c>
      <c r="J221" s="18"/>
      <c r="K221" s="219">
        <v>44241</v>
      </c>
      <c r="L221" s="18">
        <v>104.44</v>
      </c>
      <c r="M221" s="101">
        <f t="shared" si="24"/>
        <v>-2.959427207637253E-3</v>
      </c>
      <c r="N221" s="18"/>
      <c r="O221" s="219">
        <v>44241</v>
      </c>
      <c r="P221" s="18">
        <v>183.65</v>
      </c>
      <c r="Q221" s="101">
        <f t="shared" si="25"/>
        <v>-2.1420578675334267E-2</v>
      </c>
      <c r="R221" s="18"/>
      <c r="S221" s="219">
        <v>44241</v>
      </c>
      <c r="T221" s="18">
        <v>52.1</v>
      </c>
      <c r="U221" s="101">
        <f t="shared" si="26"/>
        <v>-2.1228630471538522E-2</v>
      </c>
      <c r="V221" s="18"/>
      <c r="W221" s="219">
        <v>44241</v>
      </c>
      <c r="X221" s="18">
        <v>62.69</v>
      </c>
      <c r="Y221" s="101">
        <f t="shared" si="27"/>
        <v>7.511576058995019E-2</v>
      </c>
      <c r="Z221" s="18"/>
      <c r="AA221" s="219">
        <v>44241</v>
      </c>
      <c r="AB221" s="16">
        <v>3906.71</v>
      </c>
      <c r="AC221" s="17">
        <f t="shared" si="28"/>
        <v>-7.1464332639529261E-3</v>
      </c>
    </row>
    <row r="222" spans="3:29" x14ac:dyDescent="0.25">
      <c r="C222" s="219">
        <v>44234</v>
      </c>
      <c r="D222" s="18">
        <v>556.52</v>
      </c>
      <c r="E222" s="17">
        <f t="shared" si="22"/>
        <v>1.0403238984004828E-2</v>
      </c>
      <c r="F222" s="18"/>
      <c r="G222" s="219">
        <v>44234</v>
      </c>
      <c r="H222" s="18">
        <v>270.5</v>
      </c>
      <c r="I222" s="101">
        <f t="shared" si="23"/>
        <v>8.951883625512783E-3</v>
      </c>
      <c r="J222" s="18"/>
      <c r="K222" s="219">
        <v>44234</v>
      </c>
      <c r="L222" s="18">
        <v>104.75</v>
      </c>
      <c r="M222" s="101">
        <f t="shared" si="24"/>
        <v>2.9682114132516496E-3</v>
      </c>
      <c r="N222" s="18"/>
      <c r="O222" s="219">
        <v>44234</v>
      </c>
      <c r="P222" s="18">
        <v>187.67</v>
      </c>
      <c r="Q222" s="101">
        <f t="shared" si="25"/>
        <v>3.5935085007727928E-2</v>
      </c>
      <c r="R222" s="18"/>
      <c r="S222" s="219">
        <v>44234</v>
      </c>
      <c r="T222" s="18">
        <v>53.23</v>
      </c>
      <c r="U222" s="101">
        <f t="shared" si="26"/>
        <v>4.1479162590491045E-2</v>
      </c>
      <c r="V222" s="18"/>
      <c r="W222" s="219">
        <v>44234</v>
      </c>
      <c r="X222" s="18">
        <v>58.31</v>
      </c>
      <c r="Y222" s="101">
        <f t="shared" si="27"/>
        <v>7.9015544041450836E-2</v>
      </c>
      <c r="Z222" s="18"/>
      <c r="AA222" s="219">
        <v>44234</v>
      </c>
      <c r="AB222" s="16">
        <v>3934.83</v>
      </c>
      <c r="AC222" s="17">
        <f t="shared" si="28"/>
        <v>1.2349395265550591E-2</v>
      </c>
    </row>
    <row r="223" spans="3:29" x14ac:dyDescent="0.25">
      <c r="C223" s="219">
        <v>44227</v>
      </c>
      <c r="D223" s="18">
        <v>550.79</v>
      </c>
      <c r="E223" s="17">
        <f t="shared" si="22"/>
        <v>3.4561129998685131E-2</v>
      </c>
      <c r="F223" s="18"/>
      <c r="G223" s="219">
        <v>44227</v>
      </c>
      <c r="H223" s="18">
        <v>268.10000000000002</v>
      </c>
      <c r="I223" s="101">
        <f t="shared" si="23"/>
        <v>3.7819842836681918E-2</v>
      </c>
      <c r="J223" s="18"/>
      <c r="K223" s="219">
        <v>44227</v>
      </c>
      <c r="L223" s="18">
        <v>104.44</v>
      </c>
      <c r="M223" s="101">
        <f t="shared" si="24"/>
        <v>0.14304476305132968</v>
      </c>
      <c r="N223" s="18"/>
      <c r="O223" s="219">
        <v>44227</v>
      </c>
      <c r="P223" s="18">
        <v>181.16</v>
      </c>
      <c r="Q223" s="101">
        <f t="shared" si="25"/>
        <v>7.724326574299821E-2</v>
      </c>
      <c r="R223" s="18"/>
      <c r="S223" s="219">
        <v>44227</v>
      </c>
      <c r="T223" s="18">
        <v>51.11</v>
      </c>
      <c r="U223" s="101">
        <f t="shared" si="26"/>
        <v>3.1067177728464779E-2</v>
      </c>
      <c r="V223" s="18"/>
      <c r="W223" s="219">
        <v>44227</v>
      </c>
      <c r="X223" s="18">
        <v>54.04</v>
      </c>
      <c r="Y223" s="101">
        <f t="shared" si="27"/>
        <v>0.11422680412371132</v>
      </c>
      <c r="Z223" s="18"/>
      <c r="AA223" s="219">
        <v>44227</v>
      </c>
      <c r="AB223" s="16">
        <v>3886.83</v>
      </c>
      <c r="AC223" s="17">
        <f t="shared" si="28"/>
        <v>4.6467110364435293E-2</v>
      </c>
    </row>
    <row r="224" spans="3:29" x14ac:dyDescent="0.25">
      <c r="C224" s="219">
        <v>44220</v>
      </c>
      <c r="D224" s="18">
        <v>532.39</v>
      </c>
      <c r="E224" s="17">
        <f t="shared" si="22"/>
        <v>-5.8000247713077435E-2</v>
      </c>
      <c r="F224" s="18"/>
      <c r="G224" s="219">
        <v>44220</v>
      </c>
      <c r="H224" s="18">
        <v>258.33</v>
      </c>
      <c r="I224" s="101">
        <f t="shared" si="23"/>
        <v>-5.890710382513667E-2</v>
      </c>
      <c r="J224" s="18"/>
      <c r="K224" s="219">
        <v>44220</v>
      </c>
      <c r="L224" s="18">
        <v>91.37</v>
      </c>
      <c r="M224" s="101">
        <f t="shared" si="24"/>
        <v>-3.4449963013843295E-2</v>
      </c>
      <c r="N224" s="18"/>
      <c r="O224" s="219">
        <v>44220</v>
      </c>
      <c r="P224" s="18">
        <v>168.17</v>
      </c>
      <c r="Q224" s="101">
        <f t="shared" si="25"/>
        <v>-2.6681328857506733E-2</v>
      </c>
      <c r="R224" s="18"/>
      <c r="S224" s="219">
        <v>44220</v>
      </c>
      <c r="T224" s="18">
        <v>49.57</v>
      </c>
      <c r="U224" s="101">
        <f t="shared" si="26"/>
        <v>1.8282662284305681E-2</v>
      </c>
      <c r="V224" s="18"/>
      <c r="W224" s="219">
        <v>44220</v>
      </c>
      <c r="X224" s="18">
        <v>48.5</v>
      </c>
      <c r="Y224" s="101">
        <f t="shared" si="27"/>
        <v>6.4063185607722728E-2</v>
      </c>
      <c r="Z224" s="18"/>
      <c r="AA224" s="219">
        <v>44220</v>
      </c>
      <c r="AB224" s="16">
        <v>3714.24</v>
      </c>
      <c r="AC224" s="17">
        <f t="shared" si="28"/>
        <v>-3.312013369881843E-2</v>
      </c>
    </row>
    <row r="225" spans="3:29" x14ac:dyDescent="0.25">
      <c r="C225" s="219">
        <v>44213</v>
      </c>
      <c r="D225" s="18">
        <v>565.16999999999996</v>
      </c>
      <c r="E225" s="17">
        <f t="shared" si="22"/>
        <v>0.1349250973934695</v>
      </c>
      <c r="F225" s="18"/>
      <c r="G225" s="219">
        <v>44213</v>
      </c>
      <c r="H225" s="18">
        <v>274.5</v>
      </c>
      <c r="I225" s="101">
        <f t="shared" si="23"/>
        <v>9.2059197963080777E-2</v>
      </c>
      <c r="J225" s="18"/>
      <c r="K225" s="219">
        <v>44213</v>
      </c>
      <c r="L225" s="18">
        <v>94.63</v>
      </c>
      <c r="M225" s="101">
        <f t="shared" si="24"/>
        <v>9.5508219495253538E-2</v>
      </c>
      <c r="N225" s="18"/>
      <c r="O225" s="219">
        <v>44213</v>
      </c>
      <c r="P225" s="18">
        <v>172.78</v>
      </c>
      <c r="Q225" s="101">
        <f t="shared" si="25"/>
        <v>7.8161455902940012E-3</v>
      </c>
      <c r="R225" s="18"/>
      <c r="S225" s="219">
        <v>44213</v>
      </c>
      <c r="T225" s="18">
        <v>48.68</v>
      </c>
      <c r="U225" s="101">
        <f t="shared" si="26"/>
        <v>-2.0538098172105177E-4</v>
      </c>
      <c r="V225" s="18"/>
      <c r="W225" s="219">
        <v>44213</v>
      </c>
      <c r="X225" s="18">
        <v>45.58</v>
      </c>
      <c r="Y225" s="101">
        <f t="shared" si="27"/>
        <v>6.1810154525386565E-3</v>
      </c>
      <c r="Z225" s="18"/>
      <c r="AA225" s="219">
        <v>44213</v>
      </c>
      <c r="AB225" s="16">
        <v>3841.47</v>
      </c>
      <c r="AC225" s="17">
        <f t="shared" si="28"/>
        <v>1.9430770251442925E-2</v>
      </c>
    </row>
    <row r="226" spans="3:29" x14ac:dyDescent="0.25">
      <c r="C226" s="219">
        <v>44206</v>
      </c>
      <c r="D226" s="18">
        <v>497.98</v>
      </c>
      <c r="E226" s="17">
        <f t="shared" si="22"/>
        <v>-2.4333855799372962E-2</v>
      </c>
      <c r="F226" s="18"/>
      <c r="G226" s="219">
        <v>44206</v>
      </c>
      <c r="H226" s="18">
        <v>251.36</v>
      </c>
      <c r="I226" s="101">
        <f t="shared" si="23"/>
        <v>-6.0582277534850619E-2</v>
      </c>
      <c r="J226" s="18"/>
      <c r="K226" s="219">
        <v>44206</v>
      </c>
      <c r="L226" s="18">
        <v>86.38</v>
      </c>
      <c r="M226" s="101">
        <f t="shared" si="24"/>
        <v>-3.9047724997218883E-2</v>
      </c>
      <c r="N226" s="18"/>
      <c r="O226" s="219">
        <v>44206</v>
      </c>
      <c r="P226" s="18">
        <v>171.44</v>
      </c>
      <c r="Q226" s="101">
        <f t="shared" si="25"/>
        <v>-4.0573059488499638E-2</v>
      </c>
      <c r="R226" s="18"/>
      <c r="S226" s="219">
        <v>44206</v>
      </c>
      <c r="T226" s="18">
        <v>48.69</v>
      </c>
      <c r="U226" s="101">
        <f t="shared" si="26"/>
        <v>-5.5296856810244502E-2</v>
      </c>
      <c r="V226" s="18"/>
      <c r="W226" s="219">
        <v>44206</v>
      </c>
      <c r="X226" s="18">
        <v>45.3</v>
      </c>
      <c r="Y226" s="101">
        <f t="shared" si="27"/>
        <v>0.13080379430853706</v>
      </c>
      <c r="Z226" s="18"/>
      <c r="AA226" s="219">
        <v>44206</v>
      </c>
      <c r="AB226" s="16">
        <v>3768.25</v>
      </c>
      <c r="AC226" s="17">
        <f t="shared" si="28"/>
        <v>-1.4754175512722591E-2</v>
      </c>
    </row>
    <row r="227" spans="3:29" x14ac:dyDescent="0.25">
      <c r="C227" s="219">
        <v>44199</v>
      </c>
      <c r="D227" s="18">
        <v>510.4</v>
      </c>
      <c r="E227" s="17">
        <f t="shared" si="22"/>
        <v>-5.6090840160523812E-2</v>
      </c>
      <c r="F227" s="18"/>
      <c r="G227" s="219">
        <v>44199</v>
      </c>
      <c r="H227" s="18">
        <v>267.57</v>
      </c>
      <c r="I227" s="101">
        <f t="shared" si="23"/>
        <v>-2.0464196807731847E-2</v>
      </c>
      <c r="J227" s="18"/>
      <c r="K227" s="219">
        <v>44199</v>
      </c>
      <c r="L227" s="18">
        <v>89.89</v>
      </c>
      <c r="M227" s="101">
        <f t="shared" si="24"/>
        <v>2.5790254479059742E-2</v>
      </c>
      <c r="N227" s="18"/>
      <c r="O227" s="219">
        <v>44199</v>
      </c>
      <c r="P227" s="18">
        <v>178.69</v>
      </c>
      <c r="Q227" s="101">
        <f t="shared" si="25"/>
        <v>-1.3743238768075997E-2</v>
      </c>
      <c r="R227" s="18"/>
      <c r="S227" s="219">
        <v>44199</v>
      </c>
      <c r="T227" s="18">
        <v>51.54</v>
      </c>
      <c r="U227" s="101">
        <f t="shared" si="26"/>
        <v>-1.6412213740458006E-2</v>
      </c>
      <c r="V227" s="18"/>
      <c r="W227" s="219">
        <v>44199</v>
      </c>
      <c r="X227" s="18">
        <v>40.06</v>
      </c>
      <c r="Y227" s="101">
        <f t="shared" si="27"/>
        <v>7.5147611379495549E-2</v>
      </c>
      <c r="Z227" s="18"/>
      <c r="AA227" s="219">
        <v>44199</v>
      </c>
      <c r="AB227" s="16">
        <v>3824.68</v>
      </c>
      <c r="AC227" s="17">
        <f t="shared" si="28"/>
        <v>1.826643273421413E-2</v>
      </c>
    </row>
    <row r="228" spans="3:29" x14ac:dyDescent="0.25">
      <c r="C228" s="219">
        <v>44192</v>
      </c>
      <c r="D228" s="18">
        <v>540.73</v>
      </c>
      <c r="E228" s="17">
        <f t="shared" si="22"/>
        <v>5.2065295639823317E-2</v>
      </c>
      <c r="F228" s="18"/>
      <c r="G228" s="219">
        <v>44192</v>
      </c>
      <c r="H228" s="18">
        <v>273.16000000000003</v>
      </c>
      <c r="I228" s="101">
        <f t="shared" si="23"/>
        <v>2.1540762902019627E-2</v>
      </c>
      <c r="J228" s="18"/>
      <c r="K228" s="219">
        <v>44192</v>
      </c>
      <c r="L228" s="18">
        <v>87.63</v>
      </c>
      <c r="M228" s="101">
        <f t="shared" si="24"/>
        <v>1.0610079575596837E-2</v>
      </c>
      <c r="N228" s="18"/>
      <c r="O228" s="219">
        <v>44192</v>
      </c>
      <c r="P228" s="18">
        <v>181.18</v>
      </c>
      <c r="Q228" s="101">
        <f t="shared" si="25"/>
        <v>4.2882633972255897E-2</v>
      </c>
      <c r="R228" s="18"/>
      <c r="S228" s="219">
        <v>44192</v>
      </c>
      <c r="T228" s="18">
        <v>52.4</v>
      </c>
      <c r="U228" s="101">
        <f t="shared" si="26"/>
        <v>4.0095275903136086E-2</v>
      </c>
      <c r="V228" s="18"/>
      <c r="W228" s="219">
        <v>44192</v>
      </c>
      <c r="X228" s="18">
        <v>37.26</v>
      </c>
      <c r="Y228" s="101">
        <f t="shared" si="27"/>
        <v>3.5287579883300807E-2</v>
      </c>
      <c r="Z228" s="18"/>
      <c r="AA228" s="219">
        <v>44192</v>
      </c>
      <c r="AB228" s="16">
        <v>3756.07</v>
      </c>
      <c r="AC228" s="17">
        <f t="shared" si="28"/>
        <v>1.4315187979670926E-2</v>
      </c>
    </row>
    <row r="229" spans="3:29" x14ac:dyDescent="0.25">
      <c r="C229" s="219">
        <v>44185</v>
      </c>
      <c r="D229" s="18">
        <v>513.97</v>
      </c>
      <c r="E229" s="18"/>
      <c r="F229" s="18"/>
      <c r="G229" s="219">
        <v>44185</v>
      </c>
      <c r="H229" s="18">
        <v>267.39999999999998</v>
      </c>
      <c r="I229" s="101"/>
      <c r="J229" s="18"/>
      <c r="K229" s="219">
        <v>44185</v>
      </c>
      <c r="L229" s="18">
        <v>86.71</v>
      </c>
      <c r="M229" s="101"/>
      <c r="N229" s="18"/>
      <c r="O229" s="219">
        <v>44185</v>
      </c>
      <c r="P229" s="18">
        <v>173.73</v>
      </c>
      <c r="Q229" s="18"/>
      <c r="R229" s="18"/>
      <c r="S229" s="219">
        <v>44185</v>
      </c>
      <c r="T229" s="18">
        <v>50.38</v>
      </c>
      <c r="U229" s="18"/>
      <c r="V229" s="18"/>
      <c r="W229" s="219">
        <v>44185</v>
      </c>
      <c r="X229" s="18">
        <v>35.99</v>
      </c>
      <c r="Y229" s="18"/>
      <c r="Z229" s="18"/>
      <c r="AA229" s="219">
        <v>44185</v>
      </c>
      <c r="AB229" s="16">
        <v>3703.06</v>
      </c>
      <c r="AC229" s="17"/>
    </row>
    <row r="230" spans="3:29" ht="15.75" thickBot="1" x14ac:dyDescent="0.3"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219"/>
      <c r="AB230" s="16"/>
      <c r="AC230" s="18"/>
    </row>
    <row r="231" spans="3:29" ht="15.75" thickBot="1" x14ac:dyDescent="0.3">
      <c r="C231" s="224">
        <f>SLOPE(E21:E228,$AC$21:$AC$228)</f>
        <v>1.5232441591147785</v>
      </c>
      <c r="D231" s="227" t="s">
        <v>241</v>
      </c>
      <c r="E231" s="225"/>
      <c r="F231" s="109"/>
      <c r="G231" s="224">
        <f>SLOPE(I21:I228,$AC$21:$AC$228)</f>
        <v>1.2600487694757485</v>
      </c>
      <c r="H231" s="227" t="s">
        <v>241</v>
      </c>
      <c r="I231" s="226"/>
      <c r="J231" s="18"/>
      <c r="K231" s="224">
        <f>SLOPE(M21:M228,$AC$21:$AC$228)</f>
        <v>1.2196948918204511</v>
      </c>
      <c r="L231" s="227" t="s">
        <v>241</v>
      </c>
      <c r="M231" s="226"/>
      <c r="N231" s="18"/>
      <c r="O231" s="224">
        <f>SLOPE(Q21:Q228,$AC$21:$AC$228)</f>
        <v>1.0309383831130361</v>
      </c>
      <c r="P231" s="227" t="s">
        <v>241</v>
      </c>
      <c r="Q231" s="226"/>
      <c r="R231" s="18"/>
      <c r="S231" s="224">
        <f>SLOPE(U21:U228,$AC$21:$AC$228)</f>
        <v>0.6486922107512173</v>
      </c>
      <c r="T231" s="227" t="s">
        <v>241</v>
      </c>
      <c r="U231" s="226"/>
      <c r="V231" s="18"/>
      <c r="W231" s="224">
        <f>SLOPE(Y21:Y228,$AC$21:$AC$228)</f>
        <v>1.2706953491647806</v>
      </c>
      <c r="X231" s="227" t="s">
        <v>241</v>
      </c>
      <c r="Y231" s="226"/>
      <c r="Z231" s="18"/>
      <c r="AA231" s="224">
        <f>SLOPE(AC21:AC228,$AC$21:$AC$228)</f>
        <v>1</v>
      </c>
      <c r="AB231" s="227" t="s">
        <v>241</v>
      </c>
      <c r="AC231" s="226"/>
    </row>
    <row r="232" spans="3:29" x14ac:dyDescent="0.25">
      <c r="AA232" s="204"/>
    </row>
    <row r="233" spans="3:29" x14ac:dyDescent="0.25">
      <c r="AA233" s="204"/>
    </row>
    <row r="234" spans="3:29" x14ac:dyDescent="0.25">
      <c r="AA234" s="204"/>
    </row>
    <row r="235" spans="3:29" x14ac:dyDescent="0.25">
      <c r="AA235" s="204"/>
    </row>
    <row r="236" spans="3:29" x14ac:dyDescent="0.25">
      <c r="AA236" s="204"/>
    </row>
    <row r="237" spans="3:29" x14ac:dyDescent="0.25">
      <c r="AA237" s="204"/>
    </row>
    <row r="238" spans="3:29" x14ac:dyDescent="0.25">
      <c r="AA238" s="204"/>
    </row>
    <row r="239" spans="3:29" x14ac:dyDescent="0.25">
      <c r="AA239" s="204"/>
    </row>
    <row r="240" spans="3:29" x14ac:dyDescent="0.25">
      <c r="AA240" s="204"/>
    </row>
    <row r="241" spans="27:27" x14ac:dyDescent="0.25">
      <c r="AA241" s="204"/>
    </row>
    <row r="242" spans="27:27" x14ac:dyDescent="0.25">
      <c r="AA242" s="204"/>
    </row>
    <row r="243" spans="27:27" x14ac:dyDescent="0.25">
      <c r="AA243" s="204"/>
    </row>
    <row r="244" spans="27:27" x14ac:dyDescent="0.25">
      <c r="AA244" s="204"/>
    </row>
    <row r="245" spans="27:27" x14ac:dyDescent="0.25">
      <c r="AA245" s="204"/>
    </row>
    <row r="246" spans="27:27" x14ac:dyDescent="0.25">
      <c r="AA246" s="204"/>
    </row>
    <row r="247" spans="27:27" x14ac:dyDescent="0.25">
      <c r="AA247" s="204"/>
    </row>
    <row r="248" spans="27:27" x14ac:dyDescent="0.25">
      <c r="AA248" s="204"/>
    </row>
    <row r="249" spans="27:27" x14ac:dyDescent="0.25">
      <c r="AA249" s="204"/>
    </row>
    <row r="250" spans="27:27" x14ac:dyDescent="0.25">
      <c r="AA250" s="204"/>
    </row>
    <row r="251" spans="27:27" x14ac:dyDescent="0.25">
      <c r="AA251" s="204"/>
    </row>
    <row r="252" spans="27:27" x14ac:dyDescent="0.25">
      <c r="AA252" s="204"/>
    </row>
    <row r="253" spans="27:27" x14ac:dyDescent="0.25">
      <c r="AA253" s="204"/>
    </row>
    <row r="254" spans="27:27" x14ac:dyDescent="0.25">
      <c r="AA254" s="204"/>
    </row>
    <row r="255" spans="27:27" x14ac:dyDescent="0.25">
      <c r="AA255" s="204"/>
    </row>
    <row r="256" spans="27:27" x14ac:dyDescent="0.25">
      <c r="AA256" s="204"/>
    </row>
    <row r="257" spans="27:27" x14ac:dyDescent="0.25">
      <c r="AA257" s="204"/>
    </row>
    <row r="258" spans="27:27" x14ac:dyDescent="0.25">
      <c r="AA258" s="204"/>
    </row>
    <row r="259" spans="27:27" x14ac:dyDescent="0.25">
      <c r="AA259" s="204"/>
    </row>
    <row r="260" spans="27:27" x14ac:dyDescent="0.25">
      <c r="AA260" s="204"/>
    </row>
    <row r="261" spans="27:27" x14ac:dyDescent="0.25">
      <c r="AA261" s="204"/>
    </row>
    <row r="262" spans="27:27" x14ac:dyDescent="0.25">
      <c r="AA262" s="204"/>
    </row>
    <row r="263" spans="27:27" x14ac:dyDescent="0.25">
      <c r="AA263" s="204"/>
    </row>
    <row r="264" spans="27:27" x14ac:dyDescent="0.25">
      <c r="AA264" s="204"/>
    </row>
    <row r="265" spans="27:27" x14ac:dyDescent="0.25">
      <c r="AA265" s="204"/>
    </row>
    <row r="266" spans="27:27" x14ac:dyDescent="0.25">
      <c r="AA266" s="204"/>
    </row>
    <row r="267" spans="27:27" x14ac:dyDescent="0.25">
      <c r="AA267" s="204"/>
    </row>
    <row r="268" spans="27:27" x14ac:dyDescent="0.25">
      <c r="AA268" s="204"/>
    </row>
    <row r="269" spans="27:27" x14ac:dyDescent="0.25">
      <c r="AA269" s="204"/>
    </row>
    <row r="270" spans="27:27" x14ac:dyDescent="0.25">
      <c r="AA270" s="204"/>
    </row>
    <row r="271" spans="27:27" x14ac:dyDescent="0.25">
      <c r="AA271" s="204"/>
    </row>
    <row r="272" spans="27:27" x14ac:dyDescent="0.25">
      <c r="AA272" s="204"/>
    </row>
    <row r="273" spans="27:27" x14ac:dyDescent="0.25">
      <c r="AA273" s="204"/>
    </row>
    <row r="274" spans="27:27" x14ac:dyDescent="0.25">
      <c r="AA274" s="204"/>
    </row>
    <row r="275" spans="27:27" x14ac:dyDescent="0.25">
      <c r="AA275" s="204"/>
    </row>
    <row r="276" spans="27:27" x14ac:dyDescent="0.25">
      <c r="AA276" s="204"/>
    </row>
    <row r="277" spans="27:27" x14ac:dyDescent="0.25">
      <c r="AA277" s="204"/>
    </row>
    <row r="278" spans="27:27" x14ac:dyDescent="0.25">
      <c r="AA278" s="204"/>
    </row>
    <row r="279" spans="27:27" x14ac:dyDescent="0.25">
      <c r="AA279" s="204"/>
    </row>
    <row r="280" spans="27:27" x14ac:dyDescent="0.25">
      <c r="AA280" s="204"/>
    </row>
    <row r="281" spans="27:27" x14ac:dyDescent="0.25">
      <c r="AA281" s="204"/>
    </row>
    <row r="282" spans="27:27" x14ac:dyDescent="0.25">
      <c r="AA282" s="204"/>
    </row>
    <row r="283" spans="27:27" x14ac:dyDescent="0.25">
      <c r="AA283" s="204"/>
    </row>
    <row r="284" spans="27:27" x14ac:dyDescent="0.25">
      <c r="AA284" s="204"/>
    </row>
    <row r="285" spans="27:27" x14ac:dyDescent="0.25">
      <c r="AA285" s="204"/>
    </row>
    <row r="286" spans="27:27" x14ac:dyDescent="0.25">
      <c r="AA286" s="204"/>
    </row>
    <row r="287" spans="27:27" x14ac:dyDescent="0.25">
      <c r="AA287" s="204"/>
    </row>
    <row r="288" spans="27:27" x14ac:dyDescent="0.25">
      <c r="AA288" s="204"/>
    </row>
    <row r="289" spans="27:27" x14ac:dyDescent="0.25">
      <c r="AA289" s="204"/>
    </row>
    <row r="290" spans="27:27" x14ac:dyDescent="0.25">
      <c r="AA290" s="204"/>
    </row>
    <row r="291" spans="27:27" x14ac:dyDescent="0.25">
      <c r="AA291" s="204"/>
    </row>
    <row r="292" spans="27:27" x14ac:dyDescent="0.25">
      <c r="AA292" s="204"/>
    </row>
    <row r="293" spans="27:27" x14ac:dyDescent="0.25">
      <c r="AA293" s="204"/>
    </row>
    <row r="294" spans="27:27" x14ac:dyDescent="0.25">
      <c r="AA294" s="204"/>
    </row>
    <row r="295" spans="27:27" x14ac:dyDescent="0.25">
      <c r="AA295" s="204"/>
    </row>
    <row r="296" spans="27:27" x14ac:dyDescent="0.25">
      <c r="AA296" s="204"/>
    </row>
    <row r="297" spans="27:27" x14ac:dyDescent="0.25">
      <c r="AA297" s="204"/>
    </row>
    <row r="298" spans="27:27" x14ac:dyDescent="0.25">
      <c r="AA298" s="204"/>
    </row>
    <row r="299" spans="27:27" x14ac:dyDescent="0.25">
      <c r="AA299" s="204"/>
    </row>
    <row r="300" spans="27:27" x14ac:dyDescent="0.25">
      <c r="AA300" s="204"/>
    </row>
    <row r="301" spans="27:27" x14ac:dyDescent="0.25">
      <c r="AA301" s="204"/>
    </row>
    <row r="302" spans="27:27" x14ac:dyDescent="0.25">
      <c r="AA302" s="204"/>
    </row>
    <row r="303" spans="27:27" x14ac:dyDescent="0.25">
      <c r="AA303" s="204"/>
    </row>
    <row r="304" spans="27:27" x14ac:dyDescent="0.25">
      <c r="AA304" s="204"/>
    </row>
    <row r="305" spans="27:27" x14ac:dyDescent="0.25">
      <c r="AA305" s="204"/>
    </row>
    <row r="306" spans="27:27" x14ac:dyDescent="0.25">
      <c r="AA306" s="204"/>
    </row>
    <row r="307" spans="27:27" x14ac:dyDescent="0.25">
      <c r="AA307" s="204"/>
    </row>
    <row r="308" spans="27:27" x14ac:dyDescent="0.25">
      <c r="AA308" s="204"/>
    </row>
    <row r="309" spans="27:27" x14ac:dyDescent="0.25">
      <c r="AA309" s="204"/>
    </row>
    <row r="310" spans="27:27" x14ac:dyDescent="0.25">
      <c r="AA310" s="204"/>
    </row>
    <row r="311" spans="27:27" x14ac:dyDescent="0.25">
      <c r="AA311" s="204"/>
    </row>
    <row r="312" spans="27:27" x14ac:dyDescent="0.25">
      <c r="AA312" s="204"/>
    </row>
    <row r="313" spans="27:27" x14ac:dyDescent="0.25">
      <c r="AA313" s="204"/>
    </row>
    <row r="314" spans="27:27" x14ac:dyDescent="0.25">
      <c r="AA314" s="204"/>
    </row>
    <row r="315" spans="27:27" x14ac:dyDescent="0.25">
      <c r="AA315" s="204"/>
    </row>
    <row r="316" spans="27:27" x14ac:dyDescent="0.25">
      <c r="AA316" s="204"/>
    </row>
    <row r="317" spans="27:27" x14ac:dyDescent="0.25">
      <c r="AA317" s="204"/>
    </row>
    <row r="318" spans="27:27" x14ac:dyDescent="0.25">
      <c r="AA318" s="204"/>
    </row>
    <row r="319" spans="27:27" x14ac:dyDescent="0.25">
      <c r="AA319" s="204"/>
    </row>
    <row r="320" spans="27:27" x14ac:dyDescent="0.25">
      <c r="AA320" s="204"/>
    </row>
    <row r="321" spans="27:27" x14ac:dyDescent="0.25">
      <c r="AA321" s="204"/>
    </row>
    <row r="322" spans="27:27" x14ac:dyDescent="0.25">
      <c r="AA322" s="204"/>
    </row>
    <row r="323" spans="27:27" x14ac:dyDescent="0.25">
      <c r="AA323" s="204"/>
    </row>
    <row r="324" spans="27:27" x14ac:dyDescent="0.25">
      <c r="AA324" s="204"/>
    </row>
    <row r="325" spans="27:27" x14ac:dyDescent="0.25">
      <c r="AA325" s="204"/>
    </row>
    <row r="326" spans="27:27" x14ac:dyDescent="0.25">
      <c r="AA326" s="204"/>
    </row>
    <row r="327" spans="27:27" x14ac:dyDescent="0.25">
      <c r="AA327" s="204"/>
    </row>
    <row r="328" spans="27:27" x14ac:dyDescent="0.25">
      <c r="AA328" s="204"/>
    </row>
    <row r="329" spans="27:27" x14ac:dyDescent="0.25">
      <c r="AA329" s="204"/>
    </row>
    <row r="330" spans="27:27" x14ac:dyDescent="0.25">
      <c r="AA330" s="204"/>
    </row>
    <row r="331" spans="27:27" x14ac:dyDescent="0.25">
      <c r="AA331" s="204"/>
    </row>
    <row r="332" spans="27:27" x14ac:dyDescent="0.25">
      <c r="AA332" s="204"/>
    </row>
    <row r="333" spans="27:27" x14ac:dyDescent="0.25">
      <c r="AA333" s="204"/>
    </row>
    <row r="334" spans="27:27" x14ac:dyDescent="0.25">
      <c r="AA334" s="204"/>
    </row>
    <row r="335" spans="27:27" x14ac:dyDescent="0.25">
      <c r="AA335" s="204"/>
    </row>
    <row r="336" spans="27:27" x14ac:dyDescent="0.25">
      <c r="AA336" s="204"/>
    </row>
    <row r="337" spans="27:27" x14ac:dyDescent="0.25">
      <c r="AA337" s="204"/>
    </row>
    <row r="338" spans="27:27" x14ac:dyDescent="0.25">
      <c r="AA338" s="204"/>
    </row>
    <row r="339" spans="27:27" x14ac:dyDescent="0.25">
      <c r="AA339" s="204"/>
    </row>
    <row r="340" spans="27:27" x14ac:dyDescent="0.25">
      <c r="AA340" s="204"/>
    </row>
    <row r="341" spans="27:27" x14ac:dyDescent="0.25">
      <c r="AA341" s="204"/>
    </row>
    <row r="342" spans="27:27" x14ac:dyDescent="0.25">
      <c r="AA342" s="204"/>
    </row>
    <row r="343" spans="27:27" x14ac:dyDescent="0.25">
      <c r="AA343" s="204"/>
    </row>
    <row r="344" spans="27:27" x14ac:dyDescent="0.25">
      <c r="AA344" s="204"/>
    </row>
    <row r="345" spans="27:27" x14ac:dyDescent="0.25">
      <c r="AA345" s="204"/>
    </row>
    <row r="346" spans="27:27" x14ac:dyDescent="0.25">
      <c r="AA346" s="204"/>
    </row>
    <row r="347" spans="27:27" x14ac:dyDescent="0.25">
      <c r="AA347" s="204"/>
    </row>
    <row r="348" spans="27:27" x14ac:dyDescent="0.25">
      <c r="AA348" s="204"/>
    </row>
    <row r="349" spans="27:27" x14ac:dyDescent="0.25">
      <c r="AA349" s="204"/>
    </row>
    <row r="350" spans="27:27" x14ac:dyDescent="0.25">
      <c r="AA350" s="204"/>
    </row>
    <row r="351" spans="27:27" x14ac:dyDescent="0.25">
      <c r="AA351" s="204"/>
    </row>
    <row r="352" spans="27:27" x14ac:dyDescent="0.25">
      <c r="AA352" s="204"/>
    </row>
    <row r="353" spans="27:27" x14ac:dyDescent="0.25">
      <c r="AA353" s="204"/>
    </row>
    <row r="354" spans="27:27" x14ac:dyDescent="0.25">
      <c r="AA354" s="204"/>
    </row>
    <row r="355" spans="27:27" x14ac:dyDescent="0.25">
      <c r="AA355" s="204"/>
    </row>
    <row r="356" spans="27:27" x14ac:dyDescent="0.25">
      <c r="AA356" s="204"/>
    </row>
    <row r="357" spans="27:27" x14ac:dyDescent="0.25">
      <c r="AA357" s="204"/>
    </row>
    <row r="358" spans="27:27" x14ac:dyDescent="0.25">
      <c r="AA358" s="204"/>
    </row>
    <row r="359" spans="27:27" x14ac:dyDescent="0.25">
      <c r="AA359" s="204"/>
    </row>
    <row r="360" spans="27:27" x14ac:dyDescent="0.25">
      <c r="AA360" s="204"/>
    </row>
    <row r="361" spans="27:27" x14ac:dyDescent="0.25">
      <c r="AA361" s="204"/>
    </row>
    <row r="362" spans="27:27" x14ac:dyDescent="0.25">
      <c r="AA362" s="204"/>
    </row>
    <row r="363" spans="27:27" x14ac:dyDescent="0.25">
      <c r="AA363" s="204"/>
    </row>
    <row r="364" spans="27:27" x14ac:dyDescent="0.25">
      <c r="AA364" s="204"/>
    </row>
    <row r="365" spans="27:27" x14ac:dyDescent="0.25">
      <c r="AA365" s="204"/>
    </row>
    <row r="366" spans="27:27" x14ac:dyDescent="0.25">
      <c r="AA366" s="204"/>
    </row>
    <row r="367" spans="27:27" x14ac:dyDescent="0.25">
      <c r="AA367" s="204"/>
    </row>
    <row r="368" spans="27:27" x14ac:dyDescent="0.25">
      <c r="AA368" s="204"/>
    </row>
    <row r="369" spans="27:27" x14ac:dyDescent="0.25">
      <c r="AA369" s="204"/>
    </row>
    <row r="370" spans="27:27" x14ac:dyDescent="0.25">
      <c r="AA370" s="204"/>
    </row>
    <row r="371" spans="27:27" x14ac:dyDescent="0.25">
      <c r="AA371" s="204"/>
    </row>
    <row r="372" spans="27:27" x14ac:dyDescent="0.25">
      <c r="AA372" s="204"/>
    </row>
    <row r="373" spans="27:27" x14ac:dyDescent="0.25">
      <c r="AA373" s="204"/>
    </row>
    <row r="374" spans="27:27" x14ac:dyDescent="0.25">
      <c r="AA374" s="204"/>
    </row>
    <row r="375" spans="27:27" x14ac:dyDescent="0.25">
      <c r="AA375" s="204"/>
    </row>
    <row r="376" spans="27:27" x14ac:dyDescent="0.25">
      <c r="AA376" s="204"/>
    </row>
    <row r="377" spans="27:27" x14ac:dyDescent="0.25">
      <c r="AA377" s="204"/>
    </row>
    <row r="378" spans="27:27" x14ac:dyDescent="0.25">
      <c r="AA378" s="204"/>
    </row>
    <row r="379" spans="27:27" x14ac:dyDescent="0.25">
      <c r="AA379" s="204"/>
    </row>
    <row r="380" spans="27:27" x14ac:dyDescent="0.25">
      <c r="AA380" s="204"/>
    </row>
    <row r="381" spans="27:27" x14ac:dyDescent="0.25">
      <c r="AA381" s="204"/>
    </row>
    <row r="382" spans="27:27" x14ac:dyDescent="0.25">
      <c r="AA382" s="204"/>
    </row>
    <row r="383" spans="27:27" x14ac:dyDescent="0.25">
      <c r="AA383" s="204"/>
    </row>
    <row r="384" spans="27:27" x14ac:dyDescent="0.25">
      <c r="AA384" s="204"/>
    </row>
    <row r="385" spans="27:27" x14ac:dyDescent="0.25">
      <c r="AA385" s="204"/>
    </row>
    <row r="386" spans="27:27" x14ac:dyDescent="0.25">
      <c r="AA386" s="204"/>
    </row>
    <row r="387" spans="27:27" x14ac:dyDescent="0.25">
      <c r="AA387" s="204"/>
    </row>
    <row r="388" spans="27:27" x14ac:dyDescent="0.25">
      <c r="AA388" s="204"/>
    </row>
    <row r="389" spans="27:27" x14ac:dyDescent="0.25">
      <c r="AA389" s="204"/>
    </row>
    <row r="390" spans="27:27" x14ac:dyDescent="0.25">
      <c r="AA390" s="204"/>
    </row>
    <row r="391" spans="27:27" x14ac:dyDescent="0.25">
      <c r="AA391" s="204"/>
    </row>
    <row r="392" spans="27:27" x14ac:dyDescent="0.25">
      <c r="AA392" s="204"/>
    </row>
    <row r="393" spans="27:27" x14ac:dyDescent="0.25">
      <c r="AA393" s="204"/>
    </row>
    <row r="394" spans="27:27" x14ac:dyDescent="0.25">
      <c r="AA394" s="204"/>
    </row>
    <row r="395" spans="27:27" x14ac:dyDescent="0.25">
      <c r="AA395" s="204"/>
    </row>
    <row r="396" spans="27:27" x14ac:dyDescent="0.25">
      <c r="AA396" s="204"/>
    </row>
    <row r="397" spans="27:27" x14ac:dyDescent="0.25">
      <c r="AA397" s="204"/>
    </row>
    <row r="398" spans="27:27" x14ac:dyDescent="0.25">
      <c r="AA398" s="204"/>
    </row>
    <row r="399" spans="27:27" x14ac:dyDescent="0.25">
      <c r="AA399" s="204"/>
    </row>
    <row r="400" spans="27:27" x14ac:dyDescent="0.25">
      <c r="AA400" s="204"/>
    </row>
    <row r="401" spans="27:27" x14ac:dyDescent="0.25">
      <c r="AA401" s="204"/>
    </row>
    <row r="402" spans="27:27" x14ac:dyDescent="0.25">
      <c r="AA402" s="204"/>
    </row>
    <row r="403" spans="27:27" x14ac:dyDescent="0.25">
      <c r="AA403" s="204"/>
    </row>
    <row r="404" spans="27:27" x14ac:dyDescent="0.25">
      <c r="AA404" s="204"/>
    </row>
    <row r="405" spans="27:27" x14ac:dyDescent="0.25">
      <c r="AA405" s="204"/>
    </row>
    <row r="406" spans="27:27" x14ac:dyDescent="0.25">
      <c r="AA406" s="204"/>
    </row>
    <row r="407" spans="27:27" x14ac:dyDescent="0.25">
      <c r="AA407" s="204"/>
    </row>
    <row r="408" spans="27:27" x14ac:dyDescent="0.25">
      <c r="AA408" s="204"/>
    </row>
    <row r="409" spans="27:27" x14ac:dyDescent="0.25">
      <c r="AA409" s="204"/>
    </row>
    <row r="410" spans="27:27" x14ac:dyDescent="0.25">
      <c r="AA410" s="204"/>
    </row>
    <row r="411" spans="27:27" x14ac:dyDescent="0.25">
      <c r="AA411" s="204"/>
    </row>
    <row r="412" spans="27:27" x14ac:dyDescent="0.25">
      <c r="AA412" s="204"/>
    </row>
    <row r="413" spans="27:27" x14ac:dyDescent="0.25">
      <c r="AA413" s="204"/>
    </row>
    <row r="414" spans="27:27" x14ac:dyDescent="0.25">
      <c r="AA414" s="204"/>
    </row>
    <row r="415" spans="27:27" x14ac:dyDescent="0.25">
      <c r="AA415" s="204"/>
    </row>
    <row r="416" spans="27:27" x14ac:dyDescent="0.25">
      <c r="AA416" s="204"/>
    </row>
    <row r="417" spans="27:27" x14ac:dyDescent="0.25">
      <c r="AA417" s="204"/>
    </row>
    <row r="418" spans="27:27" x14ac:dyDescent="0.25">
      <c r="AA418" s="204"/>
    </row>
    <row r="419" spans="27:27" x14ac:dyDescent="0.25">
      <c r="AA419" s="204"/>
    </row>
    <row r="420" spans="27:27" x14ac:dyDescent="0.25">
      <c r="AA420" s="204"/>
    </row>
    <row r="421" spans="27:27" x14ac:dyDescent="0.25">
      <c r="AA421" s="204"/>
    </row>
    <row r="422" spans="27:27" x14ac:dyDescent="0.25">
      <c r="AA422" s="204"/>
    </row>
    <row r="423" spans="27:27" x14ac:dyDescent="0.25">
      <c r="AA423" s="204"/>
    </row>
    <row r="424" spans="27:27" x14ac:dyDescent="0.25">
      <c r="AA424" s="204"/>
    </row>
    <row r="425" spans="27:27" x14ac:dyDescent="0.25">
      <c r="AA425" s="204"/>
    </row>
    <row r="426" spans="27:27" x14ac:dyDescent="0.25">
      <c r="AA426" s="204"/>
    </row>
    <row r="427" spans="27:27" x14ac:dyDescent="0.25">
      <c r="AA427" s="204"/>
    </row>
    <row r="428" spans="27:27" x14ac:dyDescent="0.25">
      <c r="AA428" s="204"/>
    </row>
    <row r="429" spans="27:27" x14ac:dyDescent="0.25">
      <c r="AA429" s="204"/>
    </row>
    <row r="430" spans="27:27" x14ac:dyDescent="0.25">
      <c r="AA430" s="204"/>
    </row>
    <row r="431" spans="27:27" x14ac:dyDescent="0.25">
      <c r="AA431" s="204"/>
    </row>
    <row r="432" spans="27:27" x14ac:dyDescent="0.25">
      <c r="AA432" s="204"/>
    </row>
    <row r="433" spans="27:27" x14ac:dyDescent="0.25">
      <c r="AA433" s="204"/>
    </row>
    <row r="434" spans="27:27" x14ac:dyDescent="0.25">
      <c r="AA434" s="204"/>
    </row>
    <row r="435" spans="27:27" x14ac:dyDescent="0.25">
      <c r="AA435" s="204"/>
    </row>
    <row r="436" spans="27:27" x14ac:dyDescent="0.25">
      <c r="AA436" s="204"/>
    </row>
    <row r="437" spans="27:27" x14ac:dyDescent="0.25">
      <c r="AA437" s="204"/>
    </row>
    <row r="438" spans="27:27" x14ac:dyDescent="0.25">
      <c r="AA438" s="204"/>
    </row>
    <row r="439" spans="27:27" x14ac:dyDescent="0.25">
      <c r="AA439" s="204"/>
    </row>
    <row r="440" spans="27:27" x14ac:dyDescent="0.25">
      <c r="AA440" s="204"/>
    </row>
    <row r="441" spans="27:27" x14ac:dyDescent="0.25">
      <c r="AA441" s="204"/>
    </row>
    <row r="442" spans="27:27" x14ac:dyDescent="0.25">
      <c r="AA442" s="204"/>
    </row>
    <row r="443" spans="27:27" x14ac:dyDescent="0.25">
      <c r="AA443" s="204"/>
    </row>
    <row r="444" spans="27:27" x14ac:dyDescent="0.25">
      <c r="AA444" s="204"/>
    </row>
    <row r="445" spans="27:27" x14ac:dyDescent="0.25">
      <c r="AA445" s="204"/>
    </row>
    <row r="446" spans="27:27" x14ac:dyDescent="0.25">
      <c r="AA446" s="204"/>
    </row>
    <row r="447" spans="27:27" x14ac:dyDescent="0.25">
      <c r="AA447" s="204"/>
    </row>
    <row r="448" spans="27:27" x14ac:dyDescent="0.25">
      <c r="AA448" s="204"/>
    </row>
    <row r="449" spans="27:27" x14ac:dyDescent="0.25">
      <c r="AA449" s="204"/>
    </row>
    <row r="450" spans="27:27" x14ac:dyDescent="0.25">
      <c r="AA450" s="204"/>
    </row>
    <row r="451" spans="27:27" x14ac:dyDescent="0.25">
      <c r="AA451" s="204"/>
    </row>
    <row r="452" spans="27:27" x14ac:dyDescent="0.25">
      <c r="AA452" s="204"/>
    </row>
    <row r="453" spans="27:27" x14ac:dyDescent="0.25">
      <c r="AA453" s="204"/>
    </row>
    <row r="454" spans="27:27" x14ac:dyDescent="0.25">
      <c r="AA454" s="204"/>
    </row>
    <row r="455" spans="27:27" x14ac:dyDescent="0.25">
      <c r="AA455" s="204"/>
    </row>
    <row r="456" spans="27:27" x14ac:dyDescent="0.25">
      <c r="AA456" s="204"/>
    </row>
    <row r="457" spans="27:27" x14ac:dyDescent="0.25">
      <c r="AA457" s="204"/>
    </row>
    <row r="458" spans="27:27" x14ac:dyDescent="0.25">
      <c r="AA458" s="204"/>
    </row>
    <row r="459" spans="27:27" x14ac:dyDescent="0.25">
      <c r="AA459" s="204"/>
    </row>
    <row r="460" spans="27:27" x14ac:dyDescent="0.25">
      <c r="AA460" s="204"/>
    </row>
    <row r="461" spans="27:27" x14ac:dyDescent="0.25">
      <c r="AA461" s="204"/>
    </row>
    <row r="462" spans="27:27" x14ac:dyDescent="0.25">
      <c r="AA462" s="204"/>
    </row>
    <row r="463" spans="27:27" x14ac:dyDescent="0.25">
      <c r="AA463" s="204"/>
    </row>
    <row r="464" spans="27:27" x14ac:dyDescent="0.25">
      <c r="AA464" s="204"/>
    </row>
    <row r="465" spans="27:27" x14ac:dyDescent="0.25">
      <c r="AA465" s="204"/>
    </row>
    <row r="466" spans="27:27" x14ac:dyDescent="0.25">
      <c r="AA466" s="204"/>
    </row>
    <row r="467" spans="27:27" x14ac:dyDescent="0.25">
      <c r="AA467" s="204"/>
    </row>
    <row r="468" spans="27:27" x14ac:dyDescent="0.25">
      <c r="AA468" s="204"/>
    </row>
    <row r="469" spans="27:27" x14ac:dyDescent="0.25">
      <c r="AA469" s="204"/>
    </row>
    <row r="470" spans="27:27" x14ac:dyDescent="0.25">
      <c r="AA470" s="204"/>
    </row>
    <row r="471" spans="27:27" x14ac:dyDescent="0.25">
      <c r="AA471" s="204"/>
    </row>
    <row r="472" spans="27:27" x14ac:dyDescent="0.25">
      <c r="AA472" s="204"/>
    </row>
    <row r="473" spans="27:27" x14ac:dyDescent="0.25">
      <c r="AA473" s="204"/>
    </row>
    <row r="474" spans="27:27" x14ac:dyDescent="0.25">
      <c r="AA474" s="204"/>
    </row>
    <row r="475" spans="27:27" x14ac:dyDescent="0.25">
      <c r="AA475" s="204"/>
    </row>
    <row r="476" spans="27:27" x14ac:dyDescent="0.25">
      <c r="AA476" s="204"/>
    </row>
    <row r="477" spans="27:27" x14ac:dyDescent="0.25">
      <c r="AA477" s="204"/>
    </row>
    <row r="478" spans="27:27" x14ac:dyDescent="0.25">
      <c r="AA478" s="204"/>
    </row>
    <row r="479" spans="27:27" x14ac:dyDescent="0.25">
      <c r="AA479" s="204"/>
    </row>
    <row r="480" spans="27:27" x14ac:dyDescent="0.25">
      <c r="AA480" s="204"/>
    </row>
    <row r="481" spans="27:27" x14ac:dyDescent="0.25">
      <c r="AA481" s="204"/>
    </row>
    <row r="482" spans="27:27" x14ac:dyDescent="0.25">
      <c r="AA482" s="204"/>
    </row>
    <row r="483" spans="27:27" x14ac:dyDescent="0.25">
      <c r="AA483" s="204"/>
    </row>
    <row r="484" spans="27:27" x14ac:dyDescent="0.25">
      <c r="AA484" s="204"/>
    </row>
    <row r="485" spans="27:27" x14ac:dyDescent="0.25">
      <c r="AA485" s="204"/>
    </row>
    <row r="486" spans="27:27" x14ac:dyDescent="0.25">
      <c r="AA486" s="204"/>
    </row>
    <row r="487" spans="27:27" x14ac:dyDescent="0.25">
      <c r="AA487" s="204"/>
    </row>
    <row r="488" spans="27:27" x14ac:dyDescent="0.25">
      <c r="AA488" s="204"/>
    </row>
    <row r="489" spans="27:27" x14ac:dyDescent="0.25">
      <c r="AA489" s="204"/>
    </row>
    <row r="490" spans="27:27" x14ac:dyDescent="0.25">
      <c r="AA490" s="204"/>
    </row>
    <row r="491" spans="27:27" x14ac:dyDescent="0.25">
      <c r="AA491" s="204"/>
    </row>
    <row r="492" spans="27:27" x14ac:dyDescent="0.25">
      <c r="AA492" s="204"/>
    </row>
    <row r="493" spans="27:27" x14ac:dyDescent="0.25">
      <c r="AA493" s="204"/>
    </row>
    <row r="494" spans="27:27" x14ac:dyDescent="0.25">
      <c r="AA494" s="204"/>
    </row>
    <row r="495" spans="27:27" x14ac:dyDescent="0.25">
      <c r="AA495" s="204"/>
    </row>
    <row r="496" spans="27:27" x14ac:dyDescent="0.25">
      <c r="AA496" s="204"/>
    </row>
    <row r="497" spans="27:27" x14ac:dyDescent="0.25">
      <c r="AA497" s="204"/>
    </row>
    <row r="498" spans="27:27" x14ac:dyDescent="0.25">
      <c r="AA498" s="204"/>
    </row>
    <row r="499" spans="27:27" x14ac:dyDescent="0.25">
      <c r="AA499" s="204"/>
    </row>
    <row r="500" spans="27:27" x14ac:dyDescent="0.25">
      <c r="AA500" s="204"/>
    </row>
    <row r="501" spans="27:27" x14ac:dyDescent="0.25">
      <c r="AA501" s="204"/>
    </row>
    <row r="502" spans="27:27" x14ac:dyDescent="0.25">
      <c r="AA502" s="204"/>
    </row>
    <row r="503" spans="27:27" x14ac:dyDescent="0.25">
      <c r="AA503" s="204"/>
    </row>
    <row r="504" spans="27:27" x14ac:dyDescent="0.25">
      <c r="AA504" s="204"/>
    </row>
    <row r="505" spans="27:27" x14ac:dyDescent="0.25">
      <c r="AA505" s="204"/>
    </row>
    <row r="506" spans="27:27" x14ac:dyDescent="0.25">
      <c r="AA506" s="204"/>
    </row>
    <row r="507" spans="27:27" x14ac:dyDescent="0.25">
      <c r="AA507" s="204"/>
    </row>
    <row r="508" spans="27:27" x14ac:dyDescent="0.25">
      <c r="AA508" s="204"/>
    </row>
    <row r="509" spans="27:27" x14ac:dyDescent="0.25">
      <c r="AA509" s="204"/>
    </row>
    <row r="510" spans="27:27" x14ac:dyDescent="0.25">
      <c r="AA510" s="204"/>
    </row>
    <row r="511" spans="27:27" x14ac:dyDescent="0.25">
      <c r="AA511" s="204"/>
    </row>
    <row r="512" spans="27:27" x14ac:dyDescent="0.25">
      <c r="AA512" s="204"/>
    </row>
    <row r="513" spans="27:27" x14ac:dyDescent="0.25">
      <c r="AA513" s="204"/>
    </row>
    <row r="514" spans="27:27" x14ac:dyDescent="0.25">
      <c r="AA514" s="204"/>
    </row>
    <row r="515" spans="27:27" x14ac:dyDescent="0.25">
      <c r="AA515" s="204"/>
    </row>
    <row r="516" spans="27:27" x14ac:dyDescent="0.25">
      <c r="AA516" s="204"/>
    </row>
    <row r="517" spans="27:27" x14ac:dyDescent="0.25">
      <c r="AA517" s="204"/>
    </row>
    <row r="518" spans="27:27" x14ac:dyDescent="0.25">
      <c r="AA518" s="204"/>
    </row>
    <row r="519" spans="27:27" x14ac:dyDescent="0.25">
      <c r="AA519" s="204"/>
    </row>
    <row r="520" spans="27:27" x14ac:dyDescent="0.25">
      <c r="AA520" s="204"/>
    </row>
    <row r="521" spans="27:27" x14ac:dyDescent="0.25">
      <c r="AA521" s="204"/>
    </row>
    <row r="522" spans="27:27" x14ac:dyDescent="0.25">
      <c r="AA522" s="204"/>
    </row>
    <row r="523" spans="27:27" x14ac:dyDescent="0.25">
      <c r="AA523" s="204"/>
    </row>
    <row r="524" spans="27:27" x14ac:dyDescent="0.25">
      <c r="AA524" s="204"/>
    </row>
    <row r="525" spans="27:27" x14ac:dyDescent="0.25">
      <c r="AA525" s="204"/>
    </row>
    <row r="526" spans="27:27" x14ac:dyDescent="0.25">
      <c r="AA526" s="204"/>
    </row>
    <row r="527" spans="27:27" x14ac:dyDescent="0.25">
      <c r="AA527" s="204"/>
    </row>
    <row r="528" spans="27:27" x14ac:dyDescent="0.25">
      <c r="AA528" s="204"/>
    </row>
    <row r="529" spans="27:27" x14ac:dyDescent="0.25">
      <c r="AA529" s="204"/>
    </row>
    <row r="530" spans="27:27" x14ac:dyDescent="0.25">
      <c r="AA530" s="204"/>
    </row>
    <row r="531" spans="27:27" x14ac:dyDescent="0.25">
      <c r="AA531" s="204"/>
    </row>
    <row r="532" spans="27:27" x14ac:dyDescent="0.25">
      <c r="AA532" s="204"/>
    </row>
    <row r="533" spans="27:27" x14ac:dyDescent="0.25">
      <c r="AA533" s="204"/>
    </row>
    <row r="534" spans="27:27" x14ac:dyDescent="0.25">
      <c r="AA534" s="204"/>
    </row>
    <row r="535" spans="27:27" x14ac:dyDescent="0.25">
      <c r="AA535" s="204"/>
    </row>
    <row r="536" spans="27:27" x14ac:dyDescent="0.25">
      <c r="AA536" s="204"/>
    </row>
    <row r="537" spans="27:27" x14ac:dyDescent="0.25">
      <c r="AA537" s="204"/>
    </row>
    <row r="538" spans="27:27" x14ac:dyDescent="0.25">
      <c r="AA538" s="204"/>
    </row>
    <row r="539" spans="27:27" x14ac:dyDescent="0.25">
      <c r="AA539" s="204"/>
    </row>
    <row r="540" spans="27:27" x14ac:dyDescent="0.25">
      <c r="AA540" s="204"/>
    </row>
    <row r="541" spans="27:27" x14ac:dyDescent="0.25">
      <c r="AA541" s="204"/>
    </row>
    <row r="542" spans="27:27" x14ac:dyDescent="0.25">
      <c r="AA542" s="204"/>
    </row>
    <row r="543" spans="27:27" x14ac:dyDescent="0.25">
      <c r="AA543" s="204"/>
    </row>
    <row r="544" spans="27:27" x14ac:dyDescent="0.25">
      <c r="AA544" s="204"/>
    </row>
    <row r="545" spans="27:27" x14ac:dyDescent="0.25">
      <c r="AA545" s="204"/>
    </row>
    <row r="546" spans="27:27" x14ac:dyDescent="0.25">
      <c r="AA546" s="204"/>
    </row>
    <row r="547" spans="27:27" x14ac:dyDescent="0.25">
      <c r="AA547" s="204"/>
    </row>
    <row r="548" spans="27:27" x14ac:dyDescent="0.25">
      <c r="AA548" s="204"/>
    </row>
    <row r="549" spans="27:27" x14ac:dyDescent="0.25">
      <c r="AA549" s="204"/>
    </row>
    <row r="550" spans="27:27" x14ac:dyDescent="0.25">
      <c r="AA550" s="204"/>
    </row>
    <row r="551" spans="27:27" x14ac:dyDescent="0.25">
      <c r="AA551" s="204"/>
    </row>
    <row r="552" spans="27:27" x14ac:dyDescent="0.25">
      <c r="AA552" s="204"/>
    </row>
    <row r="553" spans="27:27" x14ac:dyDescent="0.25">
      <c r="AA553" s="204"/>
    </row>
    <row r="554" spans="27:27" x14ac:dyDescent="0.25">
      <c r="AA554" s="204"/>
    </row>
    <row r="555" spans="27:27" x14ac:dyDescent="0.25">
      <c r="AA555" s="204"/>
    </row>
    <row r="556" spans="27:27" x14ac:dyDescent="0.25">
      <c r="AA556" s="204"/>
    </row>
    <row r="557" spans="27:27" x14ac:dyDescent="0.25">
      <c r="AA557" s="204"/>
    </row>
    <row r="558" spans="27:27" x14ac:dyDescent="0.25">
      <c r="AA558" s="204"/>
    </row>
    <row r="559" spans="27:27" x14ac:dyDescent="0.25">
      <c r="AA559" s="204"/>
    </row>
    <row r="560" spans="27:27" x14ac:dyDescent="0.25">
      <c r="AA560" s="204"/>
    </row>
    <row r="561" spans="27:27" x14ac:dyDescent="0.25">
      <c r="AA561" s="204"/>
    </row>
    <row r="562" spans="27:27" x14ac:dyDescent="0.25">
      <c r="AA562" s="204"/>
    </row>
    <row r="563" spans="27:27" x14ac:dyDescent="0.25">
      <c r="AA563" s="204"/>
    </row>
    <row r="564" spans="27:27" x14ac:dyDescent="0.25">
      <c r="AA564" s="204"/>
    </row>
    <row r="565" spans="27:27" x14ac:dyDescent="0.25">
      <c r="AA565" s="204"/>
    </row>
    <row r="566" spans="27:27" x14ac:dyDescent="0.25">
      <c r="AA566" s="204"/>
    </row>
    <row r="567" spans="27:27" x14ac:dyDescent="0.25">
      <c r="AA567" s="204"/>
    </row>
    <row r="568" spans="27:27" x14ac:dyDescent="0.25">
      <c r="AA568" s="204"/>
    </row>
    <row r="569" spans="27:27" x14ac:dyDescent="0.25">
      <c r="AA569" s="204"/>
    </row>
    <row r="570" spans="27:27" x14ac:dyDescent="0.25">
      <c r="AA570" s="204"/>
    </row>
    <row r="571" spans="27:27" x14ac:dyDescent="0.25">
      <c r="AA571" s="204"/>
    </row>
    <row r="572" spans="27:27" x14ac:dyDescent="0.25">
      <c r="AA572" s="204"/>
    </row>
    <row r="573" spans="27:27" x14ac:dyDescent="0.25">
      <c r="AA573" s="204"/>
    </row>
    <row r="574" spans="27:27" x14ac:dyDescent="0.25">
      <c r="AA574" s="204"/>
    </row>
    <row r="575" spans="27:27" x14ac:dyDescent="0.25">
      <c r="AA575" s="204"/>
    </row>
    <row r="576" spans="27:27" x14ac:dyDescent="0.25">
      <c r="AA576" s="204"/>
    </row>
    <row r="577" spans="27:27" x14ac:dyDescent="0.25">
      <c r="AA577" s="204"/>
    </row>
    <row r="578" spans="27:27" x14ac:dyDescent="0.25">
      <c r="AA578" s="204"/>
    </row>
    <row r="579" spans="27:27" x14ac:dyDescent="0.25">
      <c r="AA579" s="204"/>
    </row>
    <row r="580" spans="27:27" x14ac:dyDescent="0.25">
      <c r="AA580" s="204"/>
    </row>
    <row r="581" spans="27:27" x14ac:dyDescent="0.25">
      <c r="AA581" s="204"/>
    </row>
    <row r="582" spans="27:27" x14ac:dyDescent="0.25">
      <c r="AA582" s="204"/>
    </row>
    <row r="583" spans="27:27" x14ac:dyDescent="0.25">
      <c r="AA583" s="204"/>
    </row>
    <row r="584" spans="27:27" x14ac:dyDescent="0.25">
      <c r="AA584" s="204"/>
    </row>
    <row r="585" spans="27:27" x14ac:dyDescent="0.25">
      <c r="AA585" s="204"/>
    </row>
    <row r="586" spans="27:27" x14ac:dyDescent="0.25">
      <c r="AA586" s="204"/>
    </row>
    <row r="587" spans="27:27" x14ac:dyDescent="0.25">
      <c r="AA587" s="204"/>
    </row>
    <row r="588" spans="27:27" x14ac:dyDescent="0.25">
      <c r="AA588" s="204"/>
    </row>
    <row r="589" spans="27:27" x14ac:dyDescent="0.25">
      <c r="AA589" s="204"/>
    </row>
    <row r="590" spans="27:27" x14ac:dyDescent="0.25">
      <c r="AA590" s="204"/>
    </row>
    <row r="591" spans="27:27" x14ac:dyDescent="0.25">
      <c r="AA591" s="204"/>
    </row>
    <row r="592" spans="27:27" x14ac:dyDescent="0.25">
      <c r="AA592" s="204"/>
    </row>
    <row r="593" spans="27:27" x14ac:dyDescent="0.25">
      <c r="AA593" s="204"/>
    </row>
    <row r="594" spans="27:27" x14ac:dyDescent="0.25">
      <c r="AA594" s="204"/>
    </row>
    <row r="595" spans="27:27" x14ac:dyDescent="0.25">
      <c r="AA595" s="204"/>
    </row>
    <row r="596" spans="27:27" x14ac:dyDescent="0.25">
      <c r="AA596" s="204"/>
    </row>
    <row r="597" spans="27:27" x14ac:dyDescent="0.25">
      <c r="AA597" s="204"/>
    </row>
    <row r="598" spans="27:27" x14ac:dyDescent="0.25">
      <c r="AA598" s="204"/>
    </row>
    <row r="599" spans="27:27" x14ac:dyDescent="0.25">
      <c r="AA599" s="204"/>
    </row>
    <row r="600" spans="27:27" x14ac:dyDescent="0.25">
      <c r="AA600" s="204"/>
    </row>
    <row r="601" spans="27:27" x14ac:dyDescent="0.25">
      <c r="AA601" s="204"/>
    </row>
    <row r="602" spans="27:27" x14ac:dyDescent="0.25">
      <c r="AA602" s="204"/>
    </row>
    <row r="603" spans="27:27" x14ac:dyDescent="0.25">
      <c r="AA603" s="204"/>
    </row>
    <row r="604" spans="27:27" x14ac:dyDescent="0.25">
      <c r="AA604" s="204"/>
    </row>
    <row r="605" spans="27:27" x14ac:dyDescent="0.25">
      <c r="AA605" s="204"/>
    </row>
    <row r="606" spans="27:27" x14ac:dyDescent="0.25">
      <c r="AA606" s="204"/>
    </row>
    <row r="607" spans="27:27" x14ac:dyDescent="0.25">
      <c r="AA607" s="204"/>
    </row>
    <row r="608" spans="27:27" x14ac:dyDescent="0.25">
      <c r="AA608" s="204"/>
    </row>
    <row r="609" spans="27:27" x14ac:dyDescent="0.25">
      <c r="AA609" s="204"/>
    </row>
    <row r="610" spans="27:27" x14ac:dyDescent="0.25">
      <c r="AA610" s="204"/>
    </row>
    <row r="611" spans="27:27" x14ac:dyDescent="0.25">
      <c r="AA611" s="204"/>
    </row>
    <row r="612" spans="27:27" x14ac:dyDescent="0.25">
      <c r="AA612" s="204"/>
    </row>
    <row r="613" spans="27:27" x14ac:dyDescent="0.25">
      <c r="AA613" s="204"/>
    </row>
    <row r="614" spans="27:27" x14ac:dyDescent="0.25">
      <c r="AA614" s="204"/>
    </row>
    <row r="615" spans="27:27" x14ac:dyDescent="0.25">
      <c r="AA615" s="204"/>
    </row>
    <row r="616" spans="27:27" x14ac:dyDescent="0.25">
      <c r="AA616" s="204"/>
    </row>
    <row r="617" spans="27:27" x14ac:dyDescent="0.25">
      <c r="AA617" s="204"/>
    </row>
    <row r="618" spans="27:27" x14ac:dyDescent="0.25">
      <c r="AA618" s="204"/>
    </row>
    <row r="619" spans="27:27" x14ac:dyDescent="0.25">
      <c r="AA619" s="204"/>
    </row>
    <row r="620" spans="27:27" x14ac:dyDescent="0.25">
      <c r="AA620" s="204"/>
    </row>
    <row r="621" spans="27:27" x14ac:dyDescent="0.25">
      <c r="AA621" s="204"/>
    </row>
    <row r="622" spans="27:27" x14ac:dyDescent="0.25">
      <c r="AA622" s="204"/>
    </row>
    <row r="623" spans="27:27" x14ac:dyDescent="0.25">
      <c r="AA623" s="204"/>
    </row>
    <row r="624" spans="27:27" x14ac:dyDescent="0.25">
      <c r="AA624" s="204"/>
    </row>
    <row r="625" spans="27:27" x14ac:dyDescent="0.25">
      <c r="AA625" s="204"/>
    </row>
    <row r="626" spans="27:27" x14ac:dyDescent="0.25">
      <c r="AA626" s="204"/>
    </row>
    <row r="627" spans="27:27" x14ac:dyDescent="0.25">
      <c r="AA627" s="204"/>
    </row>
    <row r="628" spans="27:27" x14ac:dyDescent="0.25">
      <c r="AA628" s="204"/>
    </row>
    <row r="629" spans="27:27" x14ac:dyDescent="0.25">
      <c r="AA629" s="204"/>
    </row>
    <row r="630" spans="27:27" x14ac:dyDescent="0.25">
      <c r="AA630" s="204"/>
    </row>
    <row r="631" spans="27:27" x14ac:dyDescent="0.25">
      <c r="AA631" s="204"/>
    </row>
    <row r="632" spans="27:27" x14ac:dyDescent="0.25">
      <c r="AA632" s="204"/>
    </row>
    <row r="633" spans="27:27" x14ac:dyDescent="0.25">
      <c r="AA633" s="204"/>
    </row>
    <row r="634" spans="27:27" x14ac:dyDescent="0.25">
      <c r="AA634" s="204"/>
    </row>
    <row r="635" spans="27:27" x14ac:dyDescent="0.25">
      <c r="AA635" s="204"/>
    </row>
    <row r="636" spans="27:27" x14ac:dyDescent="0.25">
      <c r="AA636" s="204"/>
    </row>
    <row r="637" spans="27:27" x14ac:dyDescent="0.25">
      <c r="AA637" s="204"/>
    </row>
    <row r="638" spans="27:27" x14ac:dyDescent="0.25">
      <c r="AA638" s="204"/>
    </row>
    <row r="639" spans="27:27" x14ac:dyDescent="0.25">
      <c r="AA639" s="204"/>
    </row>
    <row r="640" spans="27:27" x14ac:dyDescent="0.25">
      <c r="AA640" s="204"/>
    </row>
    <row r="641" spans="27:27" x14ac:dyDescent="0.25">
      <c r="AA641" s="204"/>
    </row>
    <row r="642" spans="27:27" x14ac:dyDescent="0.25">
      <c r="AA642" s="204"/>
    </row>
    <row r="643" spans="27:27" x14ac:dyDescent="0.25">
      <c r="AA643" s="204"/>
    </row>
    <row r="644" spans="27:27" x14ac:dyDescent="0.25">
      <c r="AA644" s="204"/>
    </row>
    <row r="645" spans="27:27" x14ac:dyDescent="0.25">
      <c r="AA645" s="204"/>
    </row>
    <row r="646" spans="27:27" x14ac:dyDescent="0.25">
      <c r="AA646" s="204"/>
    </row>
    <row r="647" spans="27:27" x14ac:dyDescent="0.25">
      <c r="AA647" s="204"/>
    </row>
    <row r="648" spans="27:27" x14ac:dyDescent="0.25">
      <c r="AA648" s="204"/>
    </row>
    <row r="649" spans="27:27" x14ac:dyDescent="0.25">
      <c r="AA649" s="204"/>
    </row>
    <row r="650" spans="27:27" x14ac:dyDescent="0.25">
      <c r="AA650" s="204"/>
    </row>
    <row r="651" spans="27:27" x14ac:dyDescent="0.25">
      <c r="AA651" s="204"/>
    </row>
    <row r="652" spans="27:27" x14ac:dyDescent="0.25">
      <c r="AA652" s="204"/>
    </row>
    <row r="653" spans="27:27" x14ac:dyDescent="0.25">
      <c r="AA653" s="204"/>
    </row>
    <row r="654" spans="27:27" x14ac:dyDescent="0.25">
      <c r="AA654" s="204"/>
    </row>
    <row r="655" spans="27:27" x14ac:dyDescent="0.25">
      <c r="AA655" s="204"/>
    </row>
    <row r="656" spans="27:27" x14ac:dyDescent="0.25">
      <c r="AA656" s="204"/>
    </row>
    <row r="657" spans="27:27" x14ac:dyDescent="0.25">
      <c r="AA657" s="204"/>
    </row>
    <row r="658" spans="27:27" x14ac:dyDescent="0.25">
      <c r="AA658" s="204"/>
    </row>
    <row r="659" spans="27:27" x14ac:dyDescent="0.25">
      <c r="AA659" s="204"/>
    </row>
    <row r="660" spans="27:27" x14ac:dyDescent="0.25">
      <c r="AA660" s="204"/>
    </row>
    <row r="661" spans="27:27" x14ac:dyDescent="0.25">
      <c r="AA661" s="204"/>
    </row>
    <row r="662" spans="27:27" x14ac:dyDescent="0.25">
      <c r="AA662" s="204"/>
    </row>
    <row r="663" spans="27:27" x14ac:dyDescent="0.25">
      <c r="AA663" s="204"/>
    </row>
    <row r="664" spans="27:27" x14ac:dyDescent="0.25">
      <c r="AA664" s="204"/>
    </row>
    <row r="665" spans="27:27" x14ac:dyDescent="0.25">
      <c r="AA665" s="204"/>
    </row>
    <row r="666" spans="27:27" x14ac:dyDescent="0.25">
      <c r="AA666" s="204"/>
    </row>
    <row r="667" spans="27:27" x14ac:dyDescent="0.25">
      <c r="AA667" s="204"/>
    </row>
    <row r="668" spans="27:27" x14ac:dyDescent="0.25">
      <c r="AA668" s="204"/>
    </row>
    <row r="669" spans="27:27" x14ac:dyDescent="0.25">
      <c r="AA669" s="204"/>
    </row>
    <row r="670" spans="27:27" x14ac:dyDescent="0.25">
      <c r="AA670" s="204"/>
    </row>
    <row r="671" spans="27:27" x14ac:dyDescent="0.25">
      <c r="AA671" s="204"/>
    </row>
    <row r="672" spans="27:27" x14ac:dyDescent="0.25">
      <c r="AA672" s="204"/>
    </row>
    <row r="673" spans="27:27" x14ac:dyDescent="0.25">
      <c r="AA673" s="204"/>
    </row>
    <row r="674" spans="27:27" x14ac:dyDescent="0.25">
      <c r="AA674" s="204"/>
    </row>
    <row r="675" spans="27:27" x14ac:dyDescent="0.25">
      <c r="AA675" s="204"/>
    </row>
    <row r="676" spans="27:27" x14ac:dyDescent="0.25">
      <c r="AA676" s="204"/>
    </row>
    <row r="677" spans="27:27" x14ac:dyDescent="0.25">
      <c r="AA677" s="204"/>
    </row>
    <row r="678" spans="27:27" x14ac:dyDescent="0.25">
      <c r="AA678" s="204"/>
    </row>
    <row r="679" spans="27:27" x14ac:dyDescent="0.25">
      <c r="AA679" s="204"/>
    </row>
    <row r="680" spans="27:27" x14ac:dyDescent="0.25">
      <c r="AA680" s="204"/>
    </row>
    <row r="681" spans="27:27" x14ac:dyDescent="0.25">
      <c r="AA681" s="204"/>
    </row>
    <row r="682" spans="27:27" x14ac:dyDescent="0.25">
      <c r="AA682" s="204"/>
    </row>
    <row r="683" spans="27:27" x14ac:dyDescent="0.25">
      <c r="AA683" s="204"/>
    </row>
    <row r="684" spans="27:27" x14ac:dyDescent="0.25">
      <c r="AA684" s="204"/>
    </row>
    <row r="685" spans="27:27" x14ac:dyDescent="0.25">
      <c r="AA685" s="204"/>
    </row>
    <row r="686" spans="27:27" x14ac:dyDescent="0.25">
      <c r="AA686" s="204"/>
    </row>
    <row r="687" spans="27:27" x14ac:dyDescent="0.25">
      <c r="AA687" s="204"/>
    </row>
    <row r="688" spans="27:27" x14ac:dyDescent="0.25">
      <c r="AA688" s="204"/>
    </row>
    <row r="689" spans="27:27" x14ac:dyDescent="0.25">
      <c r="AA689" s="204"/>
    </row>
    <row r="690" spans="27:27" x14ac:dyDescent="0.25">
      <c r="AA690" s="204"/>
    </row>
    <row r="691" spans="27:27" x14ac:dyDescent="0.25">
      <c r="AA691" s="204"/>
    </row>
    <row r="692" spans="27:27" x14ac:dyDescent="0.25">
      <c r="AA692" s="204"/>
    </row>
    <row r="693" spans="27:27" x14ac:dyDescent="0.25">
      <c r="AA693" s="204"/>
    </row>
    <row r="694" spans="27:27" x14ac:dyDescent="0.25">
      <c r="AA694" s="204"/>
    </row>
    <row r="695" spans="27:27" x14ac:dyDescent="0.25">
      <c r="AA695" s="204"/>
    </row>
    <row r="696" spans="27:27" x14ac:dyDescent="0.25">
      <c r="AA696" s="204"/>
    </row>
    <row r="697" spans="27:27" x14ac:dyDescent="0.25">
      <c r="AA697" s="204"/>
    </row>
    <row r="698" spans="27:27" x14ac:dyDescent="0.25">
      <c r="AA698" s="204"/>
    </row>
    <row r="699" spans="27:27" x14ac:dyDescent="0.25">
      <c r="AA699" s="204"/>
    </row>
    <row r="700" spans="27:27" x14ac:dyDescent="0.25">
      <c r="AA700" s="204"/>
    </row>
    <row r="701" spans="27:27" x14ac:dyDescent="0.25">
      <c r="AA701" s="204"/>
    </row>
    <row r="702" spans="27:27" x14ac:dyDescent="0.25">
      <c r="AA702" s="204"/>
    </row>
    <row r="703" spans="27:27" x14ac:dyDescent="0.25">
      <c r="AA703" s="204"/>
    </row>
    <row r="704" spans="27:27" x14ac:dyDescent="0.25">
      <c r="AA704" s="204"/>
    </row>
    <row r="705" spans="27:27" x14ac:dyDescent="0.25">
      <c r="AA705" s="204"/>
    </row>
    <row r="706" spans="27:27" x14ac:dyDescent="0.25">
      <c r="AA706" s="204"/>
    </row>
    <row r="707" spans="27:27" x14ac:dyDescent="0.25">
      <c r="AA707" s="204"/>
    </row>
    <row r="708" spans="27:27" x14ac:dyDescent="0.25">
      <c r="AA708" s="204"/>
    </row>
    <row r="709" spans="27:27" x14ac:dyDescent="0.25">
      <c r="AA709" s="204"/>
    </row>
    <row r="710" spans="27:27" x14ac:dyDescent="0.25">
      <c r="AA710" s="204"/>
    </row>
    <row r="711" spans="27:27" x14ac:dyDescent="0.25">
      <c r="AA711" s="204"/>
    </row>
    <row r="712" spans="27:27" x14ac:dyDescent="0.25">
      <c r="AA712" s="204"/>
    </row>
    <row r="713" spans="27:27" x14ac:dyDescent="0.25">
      <c r="AA713" s="204"/>
    </row>
    <row r="714" spans="27:27" x14ac:dyDescent="0.25">
      <c r="AA714" s="204"/>
    </row>
    <row r="715" spans="27:27" x14ac:dyDescent="0.25">
      <c r="AA715" s="204"/>
    </row>
    <row r="716" spans="27:27" x14ac:dyDescent="0.25">
      <c r="AA716" s="204"/>
    </row>
    <row r="717" spans="27:27" x14ac:dyDescent="0.25">
      <c r="AA717" s="204"/>
    </row>
    <row r="718" spans="27:27" x14ac:dyDescent="0.25">
      <c r="AA718" s="204"/>
    </row>
    <row r="719" spans="27:27" x14ac:dyDescent="0.25">
      <c r="AA719" s="204"/>
    </row>
    <row r="720" spans="27:27" x14ac:dyDescent="0.25">
      <c r="AA720" s="204"/>
    </row>
    <row r="721" spans="27:27" x14ac:dyDescent="0.25">
      <c r="AA721" s="204"/>
    </row>
    <row r="722" spans="27:27" x14ac:dyDescent="0.25">
      <c r="AA722" s="204"/>
    </row>
    <row r="723" spans="27:27" x14ac:dyDescent="0.25">
      <c r="AA723" s="204"/>
    </row>
    <row r="724" spans="27:27" x14ac:dyDescent="0.25">
      <c r="AA724" s="204"/>
    </row>
    <row r="725" spans="27:27" x14ac:dyDescent="0.25">
      <c r="AA725" s="204"/>
    </row>
    <row r="726" spans="27:27" x14ac:dyDescent="0.25">
      <c r="AA726" s="204"/>
    </row>
    <row r="727" spans="27:27" x14ac:dyDescent="0.25">
      <c r="AA727" s="204"/>
    </row>
    <row r="728" spans="27:27" x14ac:dyDescent="0.25">
      <c r="AA728" s="204"/>
    </row>
    <row r="729" spans="27:27" x14ac:dyDescent="0.25">
      <c r="AA729" s="204"/>
    </row>
    <row r="730" spans="27:27" x14ac:dyDescent="0.25">
      <c r="AA730" s="204"/>
    </row>
    <row r="731" spans="27:27" x14ac:dyDescent="0.25">
      <c r="AA731" s="204"/>
    </row>
    <row r="732" spans="27:27" x14ac:dyDescent="0.25">
      <c r="AA732" s="204"/>
    </row>
    <row r="733" spans="27:27" x14ac:dyDescent="0.25">
      <c r="AA733" s="204"/>
    </row>
    <row r="734" spans="27:27" x14ac:dyDescent="0.25">
      <c r="AA734" s="204"/>
    </row>
    <row r="735" spans="27:27" x14ac:dyDescent="0.25">
      <c r="AA735" s="204"/>
    </row>
    <row r="736" spans="27:27" x14ac:dyDescent="0.25">
      <c r="AA736" s="204"/>
    </row>
    <row r="737" spans="27:27" x14ac:dyDescent="0.25">
      <c r="AA737" s="204"/>
    </row>
    <row r="738" spans="27:27" x14ac:dyDescent="0.25">
      <c r="AA738" s="204"/>
    </row>
    <row r="739" spans="27:27" x14ac:dyDescent="0.25">
      <c r="AA739" s="204"/>
    </row>
    <row r="740" spans="27:27" x14ac:dyDescent="0.25">
      <c r="AA740" s="204"/>
    </row>
    <row r="741" spans="27:27" x14ac:dyDescent="0.25">
      <c r="AA741" s="204"/>
    </row>
    <row r="742" spans="27:27" x14ac:dyDescent="0.25">
      <c r="AA742" s="204"/>
    </row>
    <row r="743" spans="27:27" x14ac:dyDescent="0.25">
      <c r="AA743" s="204"/>
    </row>
    <row r="744" spans="27:27" x14ac:dyDescent="0.25">
      <c r="AA744" s="204"/>
    </row>
    <row r="745" spans="27:27" x14ac:dyDescent="0.25">
      <c r="AA745" s="204"/>
    </row>
    <row r="746" spans="27:27" x14ac:dyDescent="0.25">
      <c r="AA746" s="204"/>
    </row>
    <row r="747" spans="27:27" x14ac:dyDescent="0.25">
      <c r="AA747" s="204"/>
    </row>
    <row r="748" spans="27:27" x14ac:dyDescent="0.25">
      <c r="AA748" s="204"/>
    </row>
    <row r="749" spans="27:27" x14ac:dyDescent="0.25">
      <c r="AA749" s="204"/>
    </row>
    <row r="750" spans="27:27" x14ac:dyDescent="0.25">
      <c r="AA750" s="204"/>
    </row>
    <row r="751" spans="27:27" x14ac:dyDescent="0.25">
      <c r="AA751" s="204"/>
    </row>
    <row r="752" spans="27:27" x14ac:dyDescent="0.25">
      <c r="AA752" s="204"/>
    </row>
    <row r="753" spans="27:27" x14ac:dyDescent="0.25">
      <c r="AA753" s="204"/>
    </row>
    <row r="754" spans="27:27" x14ac:dyDescent="0.25">
      <c r="AA754" s="204"/>
    </row>
    <row r="755" spans="27:27" x14ac:dyDescent="0.25">
      <c r="AA755" s="204"/>
    </row>
    <row r="756" spans="27:27" x14ac:dyDescent="0.25">
      <c r="AA756" s="204"/>
    </row>
    <row r="757" spans="27:27" x14ac:dyDescent="0.25">
      <c r="AA757" s="204"/>
    </row>
    <row r="758" spans="27:27" x14ac:dyDescent="0.25">
      <c r="AA758" s="204"/>
    </row>
    <row r="759" spans="27:27" x14ac:dyDescent="0.25">
      <c r="AA759" s="204"/>
    </row>
    <row r="760" spans="27:27" x14ac:dyDescent="0.25">
      <c r="AA760" s="204"/>
    </row>
    <row r="761" spans="27:27" x14ac:dyDescent="0.25">
      <c r="AA761" s="204"/>
    </row>
    <row r="762" spans="27:27" x14ac:dyDescent="0.25">
      <c r="AA762" s="204"/>
    </row>
    <row r="763" spans="27:27" x14ac:dyDescent="0.25">
      <c r="AA763" s="204"/>
    </row>
    <row r="764" spans="27:27" x14ac:dyDescent="0.25">
      <c r="AA764" s="204"/>
    </row>
    <row r="765" spans="27:27" x14ac:dyDescent="0.25">
      <c r="AA765" s="204"/>
    </row>
    <row r="766" spans="27:27" x14ac:dyDescent="0.25">
      <c r="AA766" s="204"/>
    </row>
    <row r="767" spans="27:27" x14ac:dyDescent="0.25">
      <c r="AA767" s="204"/>
    </row>
    <row r="768" spans="27:27" x14ac:dyDescent="0.25">
      <c r="AA768" s="204"/>
    </row>
    <row r="769" spans="27:27" x14ac:dyDescent="0.25">
      <c r="AA769" s="204"/>
    </row>
    <row r="770" spans="27:27" x14ac:dyDescent="0.25">
      <c r="AA770" s="204"/>
    </row>
    <row r="771" spans="27:27" x14ac:dyDescent="0.25">
      <c r="AA771" s="204"/>
    </row>
    <row r="772" spans="27:27" x14ac:dyDescent="0.25">
      <c r="AA772" s="204"/>
    </row>
    <row r="773" spans="27:27" x14ac:dyDescent="0.25">
      <c r="AA773" s="204"/>
    </row>
    <row r="774" spans="27:27" x14ac:dyDescent="0.25">
      <c r="AA774" s="204"/>
    </row>
    <row r="775" spans="27:27" x14ac:dyDescent="0.25">
      <c r="AA775" s="204"/>
    </row>
    <row r="776" spans="27:27" x14ac:dyDescent="0.25">
      <c r="AA776" s="204"/>
    </row>
    <row r="777" spans="27:27" x14ac:dyDescent="0.25">
      <c r="AA777" s="204"/>
    </row>
    <row r="778" spans="27:27" x14ac:dyDescent="0.25">
      <c r="AA778" s="204"/>
    </row>
    <row r="779" spans="27:27" x14ac:dyDescent="0.25">
      <c r="AA779" s="204"/>
    </row>
    <row r="780" spans="27:27" x14ac:dyDescent="0.25">
      <c r="AA780" s="204"/>
    </row>
    <row r="781" spans="27:27" x14ac:dyDescent="0.25">
      <c r="AA781" s="204"/>
    </row>
    <row r="782" spans="27:27" x14ac:dyDescent="0.25">
      <c r="AA782" s="204"/>
    </row>
    <row r="783" spans="27:27" x14ac:dyDescent="0.25">
      <c r="AA783" s="204"/>
    </row>
    <row r="784" spans="27:27" x14ac:dyDescent="0.25">
      <c r="AA784" s="204"/>
    </row>
    <row r="785" spans="27:27" x14ac:dyDescent="0.25">
      <c r="AA785" s="204"/>
    </row>
    <row r="786" spans="27:27" x14ac:dyDescent="0.25">
      <c r="AA786" s="204"/>
    </row>
    <row r="787" spans="27:27" x14ac:dyDescent="0.25">
      <c r="AA787" s="204"/>
    </row>
    <row r="788" spans="27:27" x14ac:dyDescent="0.25">
      <c r="AA788" s="204"/>
    </row>
    <row r="789" spans="27:27" x14ac:dyDescent="0.25">
      <c r="AA789" s="204"/>
    </row>
    <row r="790" spans="27:27" x14ac:dyDescent="0.25">
      <c r="AA790" s="204"/>
    </row>
    <row r="791" spans="27:27" x14ac:dyDescent="0.25">
      <c r="AA791" s="204"/>
    </row>
    <row r="792" spans="27:27" x14ac:dyDescent="0.25">
      <c r="AA792" s="204"/>
    </row>
    <row r="793" spans="27:27" x14ac:dyDescent="0.25">
      <c r="AA793" s="204"/>
    </row>
    <row r="794" spans="27:27" x14ac:dyDescent="0.25">
      <c r="AA794" s="204"/>
    </row>
    <row r="795" spans="27:27" x14ac:dyDescent="0.25">
      <c r="AA795" s="204"/>
    </row>
    <row r="796" spans="27:27" x14ac:dyDescent="0.25">
      <c r="AA796" s="204"/>
    </row>
    <row r="797" spans="27:27" x14ac:dyDescent="0.25">
      <c r="AA797" s="204"/>
    </row>
    <row r="798" spans="27:27" x14ac:dyDescent="0.25">
      <c r="AA798" s="204"/>
    </row>
    <row r="799" spans="27:27" x14ac:dyDescent="0.25">
      <c r="AA799" s="204"/>
    </row>
    <row r="800" spans="27:27" x14ac:dyDescent="0.25">
      <c r="AA800" s="204"/>
    </row>
    <row r="801" spans="27:27" x14ac:dyDescent="0.25">
      <c r="AA801" s="204"/>
    </row>
    <row r="802" spans="27:27" x14ac:dyDescent="0.25">
      <c r="AA802" s="204"/>
    </row>
    <row r="803" spans="27:27" x14ac:dyDescent="0.25">
      <c r="AA803" s="204"/>
    </row>
    <row r="804" spans="27:27" x14ac:dyDescent="0.25">
      <c r="AA804" s="204"/>
    </row>
    <row r="805" spans="27:27" x14ac:dyDescent="0.25">
      <c r="AA805" s="204"/>
    </row>
    <row r="806" spans="27:27" x14ac:dyDescent="0.25">
      <c r="AA806" s="204"/>
    </row>
    <row r="807" spans="27:27" x14ac:dyDescent="0.25">
      <c r="AA807" s="204"/>
    </row>
    <row r="808" spans="27:27" x14ac:dyDescent="0.25">
      <c r="AA808" s="204"/>
    </row>
    <row r="809" spans="27:27" x14ac:dyDescent="0.25">
      <c r="AA809" s="204"/>
    </row>
    <row r="810" spans="27:27" x14ac:dyDescent="0.25">
      <c r="AA810" s="204"/>
    </row>
    <row r="811" spans="27:27" x14ac:dyDescent="0.25">
      <c r="AA811" s="204"/>
    </row>
    <row r="812" spans="27:27" x14ac:dyDescent="0.25">
      <c r="AA812" s="204"/>
    </row>
    <row r="813" spans="27:27" x14ac:dyDescent="0.25">
      <c r="AA813" s="204"/>
    </row>
    <row r="814" spans="27:27" x14ac:dyDescent="0.25">
      <c r="AA814" s="204"/>
    </row>
    <row r="815" spans="27:27" x14ac:dyDescent="0.25">
      <c r="AA815" s="204"/>
    </row>
    <row r="816" spans="27:27" x14ac:dyDescent="0.25">
      <c r="AA816" s="204"/>
    </row>
    <row r="817" spans="27:27" x14ac:dyDescent="0.25">
      <c r="AA817" s="204"/>
    </row>
    <row r="818" spans="27:27" x14ac:dyDescent="0.25">
      <c r="AA818" s="204"/>
    </row>
    <row r="819" spans="27:27" x14ac:dyDescent="0.25">
      <c r="AA819" s="204"/>
    </row>
    <row r="820" spans="27:27" x14ac:dyDescent="0.25">
      <c r="AA820" s="204"/>
    </row>
    <row r="821" spans="27:27" x14ac:dyDescent="0.25">
      <c r="AA821" s="204"/>
    </row>
    <row r="822" spans="27:27" x14ac:dyDescent="0.25">
      <c r="AA822" s="204"/>
    </row>
    <row r="823" spans="27:27" x14ac:dyDescent="0.25">
      <c r="AA823" s="204"/>
    </row>
    <row r="824" spans="27:27" x14ac:dyDescent="0.25">
      <c r="AA824" s="204"/>
    </row>
    <row r="825" spans="27:27" x14ac:dyDescent="0.25">
      <c r="AA825" s="204"/>
    </row>
    <row r="826" spans="27:27" x14ac:dyDescent="0.25">
      <c r="AA826" s="204"/>
    </row>
    <row r="827" spans="27:27" x14ac:dyDescent="0.25">
      <c r="AA827" s="204"/>
    </row>
    <row r="828" spans="27:27" x14ac:dyDescent="0.25">
      <c r="AA828" s="204"/>
    </row>
    <row r="829" spans="27:27" x14ac:dyDescent="0.25">
      <c r="AA829" s="204"/>
    </row>
    <row r="830" spans="27:27" x14ac:dyDescent="0.25">
      <c r="AA830" s="204"/>
    </row>
    <row r="831" spans="27:27" x14ac:dyDescent="0.25">
      <c r="AA831" s="204"/>
    </row>
    <row r="832" spans="27:27" x14ac:dyDescent="0.25">
      <c r="AA832" s="204"/>
    </row>
    <row r="833" spans="27:27" x14ac:dyDescent="0.25">
      <c r="AA833" s="204"/>
    </row>
    <row r="834" spans="27:27" x14ac:dyDescent="0.25">
      <c r="AA834" s="204"/>
    </row>
    <row r="835" spans="27:27" x14ac:dyDescent="0.25">
      <c r="AA835" s="204"/>
    </row>
    <row r="836" spans="27:27" x14ac:dyDescent="0.25">
      <c r="AA836" s="204"/>
    </row>
    <row r="837" spans="27:27" x14ac:dyDescent="0.25">
      <c r="AA837" s="204"/>
    </row>
    <row r="838" spans="27:27" x14ac:dyDescent="0.25">
      <c r="AA838" s="204"/>
    </row>
    <row r="839" spans="27:27" x14ac:dyDescent="0.25">
      <c r="AA839" s="204"/>
    </row>
    <row r="840" spans="27:27" x14ac:dyDescent="0.25">
      <c r="AA840" s="204"/>
    </row>
    <row r="841" spans="27:27" x14ac:dyDescent="0.25">
      <c r="AA841" s="204"/>
    </row>
    <row r="842" spans="27:27" x14ac:dyDescent="0.25">
      <c r="AA842" s="204"/>
    </row>
    <row r="843" spans="27:27" x14ac:dyDescent="0.25">
      <c r="AA843" s="204"/>
    </row>
    <row r="844" spans="27:27" x14ac:dyDescent="0.25">
      <c r="AA844" s="204"/>
    </row>
    <row r="845" spans="27:27" x14ac:dyDescent="0.25">
      <c r="AA845" s="204"/>
    </row>
    <row r="846" spans="27:27" x14ac:dyDescent="0.25">
      <c r="AA846" s="204"/>
    </row>
    <row r="847" spans="27:27" x14ac:dyDescent="0.25">
      <c r="AA847" s="204"/>
    </row>
    <row r="848" spans="27:27" x14ac:dyDescent="0.25">
      <c r="AA848" s="204"/>
    </row>
    <row r="849" spans="27:27" x14ac:dyDescent="0.25">
      <c r="AA849" s="204"/>
    </row>
    <row r="850" spans="27:27" x14ac:dyDescent="0.25">
      <c r="AA850" s="204"/>
    </row>
    <row r="851" spans="27:27" x14ac:dyDescent="0.25">
      <c r="AA851" s="204"/>
    </row>
    <row r="852" spans="27:27" x14ac:dyDescent="0.25">
      <c r="AA852" s="204"/>
    </row>
    <row r="853" spans="27:27" x14ac:dyDescent="0.25">
      <c r="AA853" s="204"/>
    </row>
    <row r="854" spans="27:27" x14ac:dyDescent="0.25">
      <c r="AA854" s="204"/>
    </row>
    <row r="855" spans="27:27" x14ac:dyDescent="0.25">
      <c r="AA855" s="204"/>
    </row>
    <row r="856" spans="27:27" x14ac:dyDescent="0.25">
      <c r="AA856" s="204"/>
    </row>
    <row r="857" spans="27:27" x14ac:dyDescent="0.25">
      <c r="AA857" s="204"/>
    </row>
    <row r="858" spans="27:27" x14ac:dyDescent="0.25">
      <c r="AA858" s="204"/>
    </row>
    <row r="859" spans="27:27" x14ac:dyDescent="0.25">
      <c r="AA859" s="204"/>
    </row>
    <row r="860" spans="27:27" x14ac:dyDescent="0.25">
      <c r="AA860" s="204"/>
    </row>
    <row r="861" spans="27:27" x14ac:dyDescent="0.25">
      <c r="AA861" s="204"/>
    </row>
    <row r="862" spans="27:27" x14ac:dyDescent="0.25">
      <c r="AA862" s="204"/>
    </row>
    <row r="863" spans="27:27" x14ac:dyDescent="0.25">
      <c r="AA863" s="204"/>
    </row>
    <row r="864" spans="27:27" x14ac:dyDescent="0.25">
      <c r="AA864" s="204"/>
    </row>
    <row r="865" spans="27:27" x14ac:dyDescent="0.25">
      <c r="AA865" s="204"/>
    </row>
    <row r="866" spans="27:27" x14ac:dyDescent="0.25">
      <c r="AA866" s="204"/>
    </row>
    <row r="867" spans="27:27" x14ac:dyDescent="0.25">
      <c r="AA867" s="204"/>
    </row>
    <row r="868" spans="27:27" x14ac:dyDescent="0.25">
      <c r="AA868" s="204"/>
    </row>
    <row r="869" spans="27:27" x14ac:dyDescent="0.25">
      <c r="AA869" s="204"/>
    </row>
    <row r="870" spans="27:27" x14ac:dyDescent="0.25">
      <c r="AA870" s="204"/>
    </row>
    <row r="871" spans="27:27" x14ac:dyDescent="0.25">
      <c r="AA871" s="204"/>
    </row>
    <row r="872" spans="27:27" x14ac:dyDescent="0.25">
      <c r="AA872" s="204"/>
    </row>
    <row r="873" spans="27:27" x14ac:dyDescent="0.25">
      <c r="AA873" s="204"/>
    </row>
    <row r="874" spans="27:27" x14ac:dyDescent="0.25">
      <c r="AA874" s="204"/>
    </row>
    <row r="875" spans="27:27" x14ac:dyDescent="0.25">
      <c r="AA875" s="204"/>
    </row>
    <row r="876" spans="27:27" x14ac:dyDescent="0.25">
      <c r="AA876" s="204"/>
    </row>
    <row r="877" spans="27:27" x14ac:dyDescent="0.25">
      <c r="AA877" s="204"/>
    </row>
    <row r="878" spans="27:27" x14ac:dyDescent="0.25">
      <c r="AA878" s="204"/>
    </row>
    <row r="879" spans="27:27" x14ac:dyDescent="0.25">
      <c r="AA879" s="204"/>
    </row>
    <row r="880" spans="27:27" x14ac:dyDescent="0.25">
      <c r="AA880" s="204"/>
    </row>
    <row r="881" spans="27:27" x14ac:dyDescent="0.25">
      <c r="AA881" s="204"/>
    </row>
    <row r="882" spans="27:27" x14ac:dyDescent="0.25">
      <c r="AA882" s="204"/>
    </row>
    <row r="883" spans="27:27" x14ac:dyDescent="0.25">
      <c r="AA883" s="204"/>
    </row>
    <row r="884" spans="27:27" x14ac:dyDescent="0.25">
      <c r="AA884" s="204"/>
    </row>
    <row r="885" spans="27:27" x14ac:dyDescent="0.25">
      <c r="AA885" s="204"/>
    </row>
    <row r="886" spans="27:27" x14ac:dyDescent="0.25">
      <c r="AA886" s="204"/>
    </row>
    <row r="887" spans="27:27" x14ac:dyDescent="0.25">
      <c r="AA887" s="204"/>
    </row>
    <row r="888" spans="27:27" x14ac:dyDescent="0.25">
      <c r="AA888" s="204"/>
    </row>
    <row r="889" spans="27:27" x14ac:dyDescent="0.25">
      <c r="AA889" s="204"/>
    </row>
    <row r="890" spans="27:27" x14ac:dyDescent="0.25">
      <c r="AA890" s="204"/>
    </row>
    <row r="891" spans="27:27" x14ac:dyDescent="0.25">
      <c r="AA891" s="204"/>
    </row>
    <row r="892" spans="27:27" x14ac:dyDescent="0.25">
      <c r="AA892" s="204"/>
    </row>
    <row r="893" spans="27:27" x14ac:dyDescent="0.25">
      <c r="AA893" s="204"/>
    </row>
    <row r="894" spans="27:27" x14ac:dyDescent="0.25">
      <c r="AA894" s="204"/>
    </row>
    <row r="895" spans="27:27" x14ac:dyDescent="0.25">
      <c r="AA895" s="204"/>
    </row>
    <row r="896" spans="27:27" x14ac:dyDescent="0.25">
      <c r="AA896" s="204"/>
    </row>
    <row r="897" spans="27:27" x14ac:dyDescent="0.25">
      <c r="AA897" s="204"/>
    </row>
    <row r="898" spans="27:27" x14ac:dyDescent="0.25">
      <c r="AA898" s="204"/>
    </row>
    <row r="899" spans="27:27" x14ac:dyDescent="0.25">
      <c r="AA899" s="204"/>
    </row>
    <row r="900" spans="27:27" x14ac:dyDescent="0.25">
      <c r="AA900" s="204"/>
    </row>
    <row r="901" spans="27:27" x14ac:dyDescent="0.25">
      <c r="AA901" s="204"/>
    </row>
    <row r="902" spans="27:27" x14ac:dyDescent="0.25">
      <c r="AA902" s="204"/>
    </row>
    <row r="903" spans="27:27" x14ac:dyDescent="0.25">
      <c r="AA903" s="204"/>
    </row>
    <row r="904" spans="27:27" x14ac:dyDescent="0.25">
      <c r="AA904" s="204"/>
    </row>
    <row r="905" spans="27:27" x14ac:dyDescent="0.25">
      <c r="AA905" s="204"/>
    </row>
    <row r="906" spans="27:27" x14ac:dyDescent="0.25">
      <c r="AA906" s="204"/>
    </row>
    <row r="907" spans="27:27" x14ac:dyDescent="0.25">
      <c r="AA907" s="204"/>
    </row>
    <row r="908" spans="27:27" x14ac:dyDescent="0.25">
      <c r="AA908" s="204"/>
    </row>
    <row r="909" spans="27:27" x14ac:dyDescent="0.25">
      <c r="AA909" s="204"/>
    </row>
    <row r="910" spans="27:27" x14ac:dyDescent="0.25">
      <c r="AA910" s="204"/>
    </row>
    <row r="911" spans="27:27" x14ac:dyDescent="0.25">
      <c r="AA911" s="204"/>
    </row>
    <row r="912" spans="27:27" x14ac:dyDescent="0.25">
      <c r="AA912" s="204"/>
    </row>
    <row r="913" spans="27:27" x14ac:dyDescent="0.25">
      <c r="AA913" s="204"/>
    </row>
    <row r="914" spans="27:27" x14ac:dyDescent="0.25">
      <c r="AA914" s="204"/>
    </row>
    <row r="915" spans="27:27" x14ac:dyDescent="0.25">
      <c r="AA915" s="204"/>
    </row>
    <row r="916" spans="27:27" x14ac:dyDescent="0.25">
      <c r="AA916" s="204"/>
    </row>
    <row r="917" spans="27:27" x14ac:dyDescent="0.25">
      <c r="AA917" s="204"/>
    </row>
    <row r="918" spans="27:27" x14ac:dyDescent="0.25">
      <c r="AA918" s="204"/>
    </row>
    <row r="919" spans="27:27" x14ac:dyDescent="0.25">
      <c r="AA919" s="204"/>
    </row>
    <row r="920" spans="27:27" x14ac:dyDescent="0.25">
      <c r="AA920" s="204"/>
    </row>
    <row r="921" spans="27:27" x14ac:dyDescent="0.25">
      <c r="AA921" s="204"/>
    </row>
    <row r="922" spans="27:27" x14ac:dyDescent="0.25">
      <c r="AA922" s="204"/>
    </row>
    <row r="923" spans="27:27" x14ac:dyDescent="0.25">
      <c r="AA923" s="204"/>
    </row>
    <row r="924" spans="27:27" x14ac:dyDescent="0.25">
      <c r="AA924" s="204"/>
    </row>
    <row r="925" spans="27:27" x14ac:dyDescent="0.25">
      <c r="AA925" s="204"/>
    </row>
    <row r="926" spans="27:27" x14ac:dyDescent="0.25">
      <c r="AA926" s="204"/>
    </row>
    <row r="927" spans="27:27" x14ac:dyDescent="0.25">
      <c r="AA927" s="204"/>
    </row>
    <row r="928" spans="27:27" x14ac:dyDescent="0.25">
      <c r="AA928" s="204"/>
    </row>
    <row r="929" spans="27:27" x14ac:dyDescent="0.25">
      <c r="AA929" s="204"/>
    </row>
    <row r="930" spans="27:27" x14ac:dyDescent="0.25">
      <c r="AA930" s="204"/>
    </row>
    <row r="931" spans="27:27" x14ac:dyDescent="0.25">
      <c r="AA931" s="204"/>
    </row>
    <row r="932" spans="27:27" x14ac:dyDescent="0.25">
      <c r="AA932" s="204"/>
    </row>
    <row r="933" spans="27:27" x14ac:dyDescent="0.25">
      <c r="AA933" s="204"/>
    </row>
    <row r="934" spans="27:27" x14ac:dyDescent="0.25">
      <c r="AA934" s="204"/>
    </row>
    <row r="935" spans="27:27" x14ac:dyDescent="0.25">
      <c r="AA935" s="204"/>
    </row>
    <row r="936" spans="27:27" x14ac:dyDescent="0.25">
      <c r="AA936" s="204"/>
    </row>
    <row r="937" spans="27:27" x14ac:dyDescent="0.25">
      <c r="AA937" s="204"/>
    </row>
    <row r="938" spans="27:27" x14ac:dyDescent="0.25">
      <c r="AA938" s="204"/>
    </row>
    <row r="939" spans="27:27" x14ac:dyDescent="0.25">
      <c r="AA939" s="204"/>
    </row>
    <row r="940" spans="27:27" x14ac:dyDescent="0.25">
      <c r="AA940" s="204"/>
    </row>
    <row r="941" spans="27:27" x14ac:dyDescent="0.25">
      <c r="AA941" s="204"/>
    </row>
    <row r="942" spans="27:27" x14ac:dyDescent="0.25">
      <c r="AA942" s="204"/>
    </row>
    <row r="943" spans="27:27" x14ac:dyDescent="0.25">
      <c r="AA943" s="204"/>
    </row>
    <row r="944" spans="27:27" x14ac:dyDescent="0.25">
      <c r="AA944" s="204"/>
    </row>
    <row r="945" spans="27:27" x14ac:dyDescent="0.25">
      <c r="AA945" s="204"/>
    </row>
    <row r="946" spans="27:27" x14ac:dyDescent="0.25">
      <c r="AA946" s="204"/>
    </row>
    <row r="947" spans="27:27" x14ac:dyDescent="0.25">
      <c r="AA947" s="204"/>
    </row>
    <row r="948" spans="27:27" x14ac:dyDescent="0.25">
      <c r="AA948" s="204"/>
    </row>
    <row r="949" spans="27:27" x14ac:dyDescent="0.25">
      <c r="AA949" s="204"/>
    </row>
    <row r="950" spans="27:27" x14ac:dyDescent="0.25">
      <c r="AA950" s="204"/>
    </row>
    <row r="951" spans="27:27" x14ac:dyDescent="0.25">
      <c r="AA951" s="204"/>
    </row>
    <row r="952" spans="27:27" x14ac:dyDescent="0.25">
      <c r="AA952" s="204"/>
    </row>
    <row r="953" spans="27:27" x14ac:dyDescent="0.25">
      <c r="AA953" s="204"/>
    </row>
    <row r="954" spans="27:27" x14ac:dyDescent="0.25">
      <c r="AA954" s="204"/>
    </row>
    <row r="955" spans="27:27" x14ac:dyDescent="0.25">
      <c r="AA955" s="204"/>
    </row>
    <row r="956" spans="27:27" x14ac:dyDescent="0.25">
      <c r="AA956" s="204"/>
    </row>
    <row r="957" spans="27:27" x14ac:dyDescent="0.25">
      <c r="AA957" s="204"/>
    </row>
    <row r="958" spans="27:27" x14ac:dyDescent="0.25">
      <c r="AA958" s="204"/>
    </row>
    <row r="959" spans="27:27" x14ac:dyDescent="0.25">
      <c r="AA959" s="204"/>
    </row>
    <row r="960" spans="27:27" x14ac:dyDescent="0.25">
      <c r="AA960" s="204"/>
    </row>
    <row r="961" spans="27:27" x14ac:dyDescent="0.25">
      <c r="AA961" s="204"/>
    </row>
    <row r="962" spans="27:27" x14ac:dyDescent="0.25">
      <c r="AA962" s="204"/>
    </row>
    <row r="963" spans="27:27" x14ac:dyDescent="0.25">
      <c r="AA963" s="204"/>
    </row>
    <row r="964" spans="27:27" x14ac:dyDescent="0.25">
      <c r="AA964" s="204"/>
    </row>
    <row r="965" spans="27:27" x14ac:dyDescent="0.25">
      <c r="AA965" s="204"/>
    </row>
    <row r="966" spans="27:27" x14ac:dyDescent="0.25">
      <c r="AA966" s="204"/>
    </row>
    <row r="967" spans="27:27" x14ac:dyDescent="0.25">
      <c r="AA967" s="204"/>
    </row>
    <row r="968" spans="27:27" x14ac:dyDescent="0.25">
      <c r="AA968" s="204"/>
    </row>
    <row r="969" spans="27:27" x14ac:dyDescent="0.25">
      <c r="AA969" s="204"/>
    </row>
    <row r="970" spans="27:27" x14ac:dyDescent="0.25">
      <c r="AA970" s="204"/>
    </row>
    <row r="971" spans="27:27" x14ac:dyDescent="0.25">
      <c r="AA971" s="204"/>
    </row>
    <row r="972" spans="27:27" x14ac:dyDescent="0.25">
      <c r="AA972" s="204"/>
    </row>
    <row r="973" spans="27:27" x14ac:dyDescent="0.25">
      <c r="AA973" s="204"/>
    </row>
    <row r="974" spans="27:27" x14ac:dyDescent="0.25">
      <c r="AA974" s="204"/>
    </row>
    <row r="975" spans="27:27" x14ac:dyDescent="0.25">
      <c r="AA975" s="204"/>
    </row>
    <row r="976" spans="27:27" x14ac:dyDescent="0.25">
      <c r="AA976" s="204"/>
    </row>
    <row r="977" spans="27:27" x14ac:dyDescent="0.25">
      <c r="AA977" s="204"/>
    </row>
    <row r="978" spans="27:27" x14ac:dyDescent="0.25">
      <c r="AA978" s="204"/>
    </row>
    <row r="979" spans="27:27" x14ac:dyDescent="0.25">
      <c r="AA979" s="204"/>
    </row>
    <row r="980" spans="27:27" x14ac:dyDescent="0.25">
      <c r="AA980" s="204"/>
    </row>
    <row r="981" spans="27:27" x14ac:dyDescent="0.25">
      <c r="AA981" s="204"/>
    </row>
    <row r="982" spans="27:27" x14ac:dyDescent="0.25">
      <c r="AA982" s="204"/>
    </row>
    <row r="983" spans="27:27" x14ac:dyDescent="0.25">
      <c r="AA983" s="204"/>
    </row>
    <row r="984" spans="27:27" x14ac:dyDescent="0.25">
      <c r="AA984" s="204"/>
    </row>
    <row r="985" spans="27:27" x14ac:dyDescent="0.25">
      <c r="AA985" s="204"/>
    </row>
    <row r="986" spans="27:27" x14ac:dyDescent="0.25">
      <c r="AA986" s="204"/>
    </row>
    <row r="987" spans="27:27" x14ac:dyDescent="0.25">
      <c r="AA987" s="204"/>
    </row>
    <row r="988" spans="27:27" x14ac:dyDescent="0.25">
      <c r="AA988" s="204"/>
    </row>
    <row r="989" spans="27:27" x14ac:dyDescent="0.25">
      <c r="AA989" s="204"/>
    </row>
    <row r="990" spans="27:27" x14ac:dyDescent="0.25">
      <c r="AA990" s="204"/>
    </row>
    <row r="991" spans="27:27" x14ac:dyDescent="0.25">
      <c r="AA991" s="204"/>
    </row>
    <row r="992" spans="27:27" x14ac:dyDescent="0.25">
      <c r="AA992" s="204"/>
    </row>
    <row r="993" spans="27:27" x14ac:dyDescent="0.25">
      <c r="AA993" s="204"/>
    </row>
    <row r="994" spans="27:27" x14ac:dyDescent="0.25">
      <c r="AA994" s="204"/>
    </row>
    <row r="995" spans="27:27" x14ac:dyDescent="0.25">
      <c r="AA995" s="204"/>
    </row>
    <row r="996" spans="27:27" x14ac:dyDescent="0.25">
      <c r="AA996" s="204"/>
    </row>
    <row r="997" spans="27:27" x14ac:dyDescent="0.25">
      <c r="AA997" s="204"/>
    </row>
    <row r="998" spans="27:27" x14ac:dyDescent="0.25">
      <c r="AA998" s="204"/>
    </row>
    <row r="999" spans="27:27" x14ac:dyDescent="0.25">
      <c r="AA999" s="204"/>
    </row>
    <row r="1000" spans="27:27" x14ac:dyDescent="0.25">
      <c r="AA1000" s="204"/>
    </row>
    <row r="1001" spans="27:27" x14ac:dyDescent="0.25">
      <c r="AA1001" s="204"/>
    </row>
    <row r="1002" spans="27:27" x14ac:dyDescent="0.25">
      <c r="AA1002" s="204"/>
    </row>
    <row r="1003" spans="27:27" x14ac:dyDescent="0.25">
      <c r="AA1003" s="204"/>
    </row>
    <row r="1004" spans="27:27" x14ac:dyDescent="0.25">
      <c r="AA1004" s="204"/>
    </row>
    <row r="1005" spans="27:27" x14ac:dyDescent="0.25">
      <c r="AA1005" s="204"/>
    </row>
    <row r="1006" spans="27:27" x14ac:dyDescent="0.25">
      <c r="AA1006" s="204"/>
    </row>
    <row r="1007" spans="27:27" x14ac:dyDescent="0.25">
      <c r="AA1007" s="204"/>
    </row>
    <row r="1008" spans="27:27" x14ac:dyDescent="0.25">
      <c r="AA1008" s="204"/>
    </row>
    <row r="1009" spans="27:27" x14ac:dyDescent="0.25">
      <c r="AA1009" s="204"/>
    </row>
    <row r="1010" spans="27:27" x14ac:dyDescent="0.25">
      <c r="AA1010" s="204"/>
    </row>
    <row r="1011" spans="27:27" x14ac:dyDescent="0.25">
      <c r="AA1011" s="204"/>
    </row>
    <row r="1012" spans="27:27" x14ac:dyDescent="0.25">
      <c r="AA1012" s="204"/>
    </row>
    <row r="1013" spans="27:27" x14ac:dyDescent="0.25">
      <c r="AA1013" s="204"/>
    </row>
    <row r="1014" spans="27:27" x14ac:dyDescent="0.25">
      <c r="AA1014" s="204"/>
    </row>
    <row r="1015" spans="27:27" x14ac:dyDescent="0.25">
      <c r="AA1015" s="204"/>
    </row>
    <row r="1016" spans="27:27" x14ac:dyDescent="0.25">
      <c r="AA1016" s="204"/>
    </row>
    <row r="1017" spans="27:27" x14ac:dyDescent="0.25">
      <c r="AA1017" s="204"/>
    </row>
    <row r="1018" spans="27:27" x14ac:dyDescent="0.25">
      <c r="AA1018" s="204"/>
    </row>
    <row r="1019" spans="27:27" x14ac:dyDescent="0.25">
      <c r="AA1019" s="204"/>
    </row>
    <row r="1020" spans="27:27" x14ac:dyDescent="0.25">
      <c r="AA1020" s="204"/>
    </row>
    <row r="1021" spans="27:27" x14ac:dyDescent="0.25">
      <c r="AA1021" s="204"/>
    </row>
    <row r="1022" spans="27:27" x14ac:dyDescent="0.25">
      <c r="AA1022" s="204"/>
    </row>
    <row r="1023" spans="27:27" x14ac:dyDescent="0.25">
      <c r="AA1023" s="204"/>
    </row>
    <row r="1024" spans="27:27" x14ac:dyDescent="0.25">
      <c r="AA1024" s="204"/>
    </row>
    <row r="1025" spans="27:27" x14ac:dyDescent="0.25">
      <c r="AA1025" s="204"/>
    </row>
    <row r="1026" spans="27:27" x14ac:dyDescent="0.25">
      <c r="AA1026" s="204"/>
    </row>
    <row r="1027" spans="27:27" x14ac:dyDescent="0.25">
      <c r="AA1027" s="204"/>
    </row>
  </sheetData>
  <mergeCells count="10">
    <mergeCell ref="W19:Y19"/>
    <mergeCell ref="AA19:AC19"/>
    <mergeCell ref="C10:C16"/>
    <mergeCell ref="C1:S1"/>
    <mergeCell ref="E3:H3"/>
    <mergeCell ref="C19:E19"/>
    <mergeCell ref="G19:I19"/>
    <mergeCell ref="K19:M19"/>
    <mergeCell ref="O19:Q19"/>
    <mergeCell ref="S19:U19"/>
  </mergeCells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 Estimations</vt:lpstr>
      <vt:lpstr>FA Schedule</vt:lpstr>
      <vt:lpstr>Debt Schedule</vt:lpstr>
      <vt:lpstr>Income Statement</vt:lpstr>
      <vt:lpstr>Balance Sheet</vt:lpstr>
      <vt:lpstr>Cash Flow Statement</vt:lpstr>
      <vt:lpstr>FCFF</vt:lpstr>
      <vt:lpstr>WACC</vt:lpstr>
      <vt:lpstr>Regression Beta</vt:lpstr>
      <vt:lpstr>Bottom-Up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Panda</dc:creator>
  <cp:lastModifiedBy>Chinmay Panda</cp:lastModifiedBy>
  <cp:lastPrinted>2024-12-09T08:30:24Z</cp:lastPrinted>
  <dcterms:created xsi:type="dcterms:W3CDTF">2015-06-05T18:17:20Z</dcterms:created>
  <dcterms:modified xsi:type="dcterms:W3CDTF">2025-03-05T18:58:50Z</dcterms:modified>
</cp:coreProperties>
</file>