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Chinmay/OneDrive - UCB-O365/Fall 2018/01_Project Lab/Patil_Final_Release_Package_20181202/Patil_Test_Report_20181205/"/>
    </mc:Choice>
  </mc:AlternateContent>
  <xr:revisionPtr revIDLastSave="5" documentId="11_A65764D336A587E137375E0215E226D30F883BA3" xr6:coauthVersionLast="43" xr6:coauthVersionMax="43" xr10:uidLastSave="{8921D31E-96AF-5840-8A66-8505E288F8F6}"/>
  <bookViews>
    <workbookView xWindow="720" yWindow="460" windowWidth="28080" windowHeight="17540" activeTab="7" xr2:uid="{00000000-000D-0000-FFFF-FFFF00000000}"/>
  </bookViews>
  <sheets>
    <sheet name="Project Information" sheetId="1" r:id="rId1"/>
    <sheet name="Wiring List" sheetId="2" state="hidden" r:id="rId2"/>
    <sheet name="Corner Operation" sheetId="3" r:id="rId3"/>
    <sheet name="General Operation" sheetId="4" r:id="rId4"/>
    <sheet name="Efficiency" sheetId="5" r:id="rId5"/>
    <sheet name="No Load Operation" sheetId="6" r:id="rId6"/>
    <sheet name="Other Specifications" sheetId="7" r:id="rId7"/>
    <sheet name="Component Stress" sheetId="8" r:id="rId8"/>
    <sheet name="Safety" sheetId="9" r:id="rId9"/>
    <sheet name="Parameter Definition" sheetId="10" r:id="rId10"/>
  </sheets>
  <definedNames>
    <definedName name="Fac_50">'Parameter Definition'!$B$12</definedName>
    <definedName name="Fac_60">'Parameter Definition'!$B$13</definedName>
    <definedName name="Fac_max">'Parameter Definition'!$B$14</definedName>
    <definedName name="Fac_min">'Parameter Definition'!$B$11</definedName>
    <definedName name="Rshunt">'Parameter Definition'!$B$31</definedName>
    <definedName name="Table_AC">'Parameter Definition'!$E$4:$F$7</definedName>
    <definedName name="Table_Fac">'Parameter Definition'!$E$11:$F$14</definedName>
    <definedName name="Table_Vdim">'Parameter Definition'!$E$17:$F$19</definedName>
    <definedName name="Vac_100">'Parameter Definition'!$B$5</definedName>
    <definedName name="Vac_120">'Parameter Definition'!$B$6</definedName>
    <definedName name="Vac_230">'Parameter Definition'!$B$7</definedName>
    <definedName name="Vac_max">'Parameter Definition'!$B$8</definedName>
    <definedName name="Vac_min">'Parameter Definition'!$B$4</definedName>
    <definedName name="Vdim_00">'Parameter Definition'!$B$17</definedName>
    <definedName name="Vdim_01">'Parameter Definition'!$B$18</definedName>
    <definedName name="Vdim_02">'Parameter Definition'!$B$19</definedName>
    <definedName name="Vdim_03">'Parameter Definition'!$B$21</definedName>
    <definedName name="Vdim_04">'Parameter Definition'!$B$22</definedName>
    <definedName name="Vdim_05">'Parameter Definition'!$B$23</definedName>
    <definedName name="Vdim_06">'Parameter Definition'!$B$24</definedName>
    <definedName name="Vdim_07">'Parameter Definition'!$B$25</definedName>
    <definedName name="Vdim_08">'Parameter Definition'!$B$27</definedName>
    <definedName name="Vdim_09">'Parameter Definition'!$B$28</definedName>
    <definedName name="Vdim_10">'Parameter Definition'!$B$29</definedName>
    <definedName name="Vdim_25">'Parameter Definition'!$B$20</definedName>
    <definedName name="Vdim_75">'Parameter Definition'!$B$26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0" l="1"/>
  <c r="F18" i="10"/>
  <c r="F17" i="10"/>
  <c r="F14" i="10"/>
  <c r="F13" i="10"/>
  <c r="F12" i="10"/>
  <c r="F11" i="10"/>
  <c r="F7" i="10"/>
  <c r="F6" i="10"/>
  <c r="F5" i="10"/>
  <c r="F4" i="10"/>
  <c r="B21" i="9"/>
  <c r="B23" i="9"/>
  <c r="B10" i="9"/>
  <c r="B12" i="9"/>
  <c r="R31" i="8"/>
  <c r="S31" i="8"/>
  <c r="H31" i="8"/>
  <c r="G31" i="8"/>
  <c r="F31" i="8"/>
  <c r="R30" i="8"/>
  <c r="S30" i="8"/>
  <c r="H30" i="8"/>
  <c r="G30" i="8"/>
  <c r="F30" i="8"/>
  <c r="R29" i="8"/>
  <c r="S29" i="8"/>
  <c r="H29" i="8"/>
  <c r="G29" i="8"/>
  <c r="F29" i="8"/>
  <c r="R28" i="8"/>
  <c r="S28" i="8"/>
  <c r="H28" i="8"/>
  <c r="G28" i="8"/>
  <c r="F28" i="8"/>
  <c r="R27" i="8"/>
  <c r="S27" i="8"/>
  <c r="H27" i="8"/>
  <c r="G27" i="8"/>
  <c r="F27" i="8"/>
  <c r="R26" i="8"/>
  <c r="S26" i="8"/>
  <c r="H26" i="8"/>
  <c r="G26" i="8"/>
  <c r="F26" i="8"/>
  <c r="R25" i="8"/>
  <c r="S25" i="8"/>
  <c r="H25" i="8"/>
  <c r="G25" i="8"/>
  <c r="F25" i="8"/>
  <c r="R24" i="8"/>
  <c r="S24" i="8"/>
  <c r="H24" i="8"/>
  <c r="G24" i="8"/>
  <c r="F24" i="8"/>
  <c r="R16" i="8"/>
  <c r="S16" i="8"/>
  <c r="H16" i="8"/>
  <c r="G16" i="8"/>
  <c r="F16" i="8"/>
  <c r="R15" i="8"/>
  <c r="S15" i="8"/>
  <c r="H15" i="8"/>
  <c r="G15" i="8"/>
  <c r="F15" i="8"/>
  <c r="R14" i="8"/>
  <c r="S14" i="8"/>
  <c r="H14" i="8"/>
  <c r="G14" i="8"/>
  <c r="F14" i="8"/>
  <c r="R13" i="8"/>
  <c r="S13" i="8"/>
  <c r="H13" i="8"/>
  <c r="G13" i="8"/>
  <c r="F13" i="8"/>
  <c r="R12" i="8"/>
  <c r="S12" i="8"/>
  <c r="H12" i="8"/>
  <c r="G12" i="8"/>
  <c r="F12" i="8"/>
  <c r="R11" i="8"/>
  <c r="S11" i="8"/>
  <c r="H11" i="8"/>
  <c r="G11" i="8"/>
  <c r="F11" i="8"/>
  <c r="R10" i="8"/>
  <c r="S10" i="8"/>
  <c r="H10" i="8"/>
  <c r="G10" i="8"/>
  <c r="F10" i="8"/>
  <c r="R9" i="8"/>
  <c r="S9" i="8"/>
  <c r="H9" i="8"/>
  <c r="G9" i="8"/>
  <c r="F9" i="8"/>
  <c r="B22" i="7"/>
  <c r="B24" i="7"/>
  <c r="B10" i="7"/>
  <c r="T14" i="6"/>
  <c r="S14" i="6"/>
  <c r="H14" i="6"/>
  <c r="G14" i="6"/>
  <c r="F14" i="6"/>
  <c r="O14" i="6"/>
  <c r="T13" i="6"/>
  <c r="S13" i="6"/>
  <c r="H13" i="6"/>
  <c r="G13" i="6"/>
  <c r="F13" i="6"/>
  <c r="O13" i="6"/>
  <c r="T12" i="6"/>
  <c r="S12" i="6"/>
  <c r="F12" i="6"/>
  <c r="O12" i="6"/>
  <c r="H12" i="6"/>
  <c r="G12" i="6"/>
  <c r="T11" i="6"/>
  <c r="S11" i="6"/>
  <c r="H11" i="6"/>
  <c r="G11" i="6"/>
  <c r="F11" i="6"/>
  <c r="O11" i="6"/>
  <c r="T10" i="6"/>
  <c r="S10" i="6"/>
  <c r="H10" i="6"/>
  <c r="G10" i="6"/>
  <c r="F10" i="6"/>
  <c r="O10" i="6"/>
  <c r="T9" i="6"/>
  <c r="S9" i="6"/>
  <c r="H9" i="6"/>
  <c r="G9" i="6"/>
  <c r="F9" i="6"/>
  <c r="O9" i="6"/>
  <c r="T8" i="6"/>
  <c r="S8" i="6"/>
  <c r="H8" i="6"/>
  <c r="G8" i="6"/>
  <c r="F8" i="6"/>
  <c r="O8" i="6"/>
  <c r="T7" i="6"/>
  <c r="S7" i="6"/>
  <c r="H7" i="6"/>
  <c r="G7" i="6"/>
  <c r="F7" i="6"/>
  <c r="O7" i="6"/>
  <c r="F16" i="5"/>
  <c r="U16" i="5"/>
  <c r="P16" i="5"/>
  <c r="V16" i="5"/>
  <c r="H16" i="5"/>
  <c r="G16" i="5"/>
  <c r="P15" i="5"/>
  <c r="V15" i="5"/>
  <c r="H15" i="5"/>
  <c r="G15" i="5"/>
  <c r="F15" i="5"/>
  <c r="U15" i="5"/>
  <c r="P14" i="5"/>
  <c r="Q14" i="5"/>
  <c r="R14" i="5"/>
  <c r="W14" i="5"/>
  <c r="H14" i="5"/>
  <c r="G14" i="5"/>
  <c r="F14" i="5"/>
  <c r="U14" i="5"/>
  <c r="P13" i="5"/>
  <c r="V13" i="5"/>
  <c r="Q13" i="5"/>
  <c r="R13" i="5"/>
  <c r="W13" i="5"/>
  <c r="H13" i="5"/>
  <c r="G13" i="5"/>
  <c r="F13" i="5"/>
  <c r="U13" i="5"/>
  <c r="P12" i="5"/>
  <c r="V12" i="5"/>
  <c r="H12" i="5"/>
  <c r="G12" i="5"/>
  <c r="F12" i="5"/>
  <c r="U12" i="5"/>
  <c r="P11" i="5"/>
  <c r="V11" i="5"/>
  <c r="H11" i="5"/>
  <c r="G11" i="5"/>
  <c r="F11" i="5"/>
  <c r="U11" i="5"/>
  <c r="P10" i="5"/>
  <c r="Q10" i="5"/>
  <c r="R10" i="5"/>
  <c r="W10" i="5"/>
  <c r="H10" i="5"/>
  <c r="G10" i="5"/>
  <c r="F10" i="5"/>
  <c r="U10" i="5"/>
  <c r="P9" i="5"/>
  <c r="V9" i="5"/>
  <c r="Q9" i="5"/>
  <c r="R9" i="5"/>
  <c r="W9" i="5"/>
  <c r="H9" i="5"/>
  <c r="G9" i="5"/>
  <c r="F9" i="5"/>
  <c r="U9" i="5"/>
  <c r="P8" i="5"/>
  <c r="V8" i="5"/>
  <c r="Q8" i="5"/>
  <c r="R8" i="5"/>
  <c r="W8" i="5"/>
  <c r="H8" i="5"/>
  <c r="G8" i="5"/>
  <c r="F8" i="5"/>
  <c r="U8" i="5"/>
  <c r="F7" i="5"/>
  <c r="U7" i="5"/>
  <c r="P7" i="5"/>
  <c r="V7" i="5"/>
  <c r="H7" i="5"/>
  <c r="G7" i="5"/>
  <c r="X28" i="4"/>
  <c r="W28" i="4"/>
  <c r="Q28" i="4"/>
  <c r="U28" i="4"/>
  <c r="R28" i="4"/>
  <c r="AA28" i="4"/>
  <c r="P28" i="4"/>
  <c r="G28" i="4"/>
  <c r="F28" i="4"/>
  <c r="D28" i="4"/>
  <c r="Q27" i="4"/>
  <c r="AA27" i="4"/>
  <c r="X27" i="4"/>
  <c r="W27" i="4"/>
  <c r="U27" i="4"/>
  <c r="R27" i="4"/>
  <c r="AB27" i="4"/>
  <c r="S27" i="4"/>
  <c r="T27" i="4"/>
  <c r="P27" i="4"/>
  <c r="G27" i="4"/>
  <c r="F27" i="4"/>
  <c r="D27" i="4"/>
  <c r="X26" i="4"/>
  <c r="W26" i="4"/>
  <c r="Q26" i="4"/>
  <c r="Y26" i="4"/>
  <c r="R26" i="4"/>
  <c r="U26" i="4"/>
  <c r="P26" i="4"/>
  <c r="G26" i="4"/>
  <c r="F26" i="4"/>
  <c r="D26" i="4"/>
  <c r="X25" i="4"/>
  <c r="W25" i="4"/>
  <c r="R25" i="4"/>
  <c r="Q25" i="4"/>
  <c r="U25" i="4"/>
  <c r="P25" i="4"/>
  <c r="G25" i="4"/>
  <c r="F25" i="4"/>
  <c r="D25" i="4"/>
  <c r="Q24" i="4"/>
  <c r="W24" i="4"/>
  <c r="X24" i="4"/>
  <c r="Y24" i="4"/>
  <c r="R24" i="4"/>
  <c r="AA24" i="4"/>
  <c r="P24" i="4"/>
  <c r="G24" i="4"/>
  <c r="F24" i="4"/>
  <c r="D24" i="4"/>
  <c r="X23" i="4"/>
  <c r="W23" i="4"/>
  <c r="R23" i="4"/>
  <c r="Q23" i="4"/>
  <c r="AA23" i="4"/>
  <c r="AB23" i="4"/>
  <c r="P23" i="4"/>
  <c r="G23" i="4"/>
  <c r="F23" i="4"/>
  <c r="D23" i="4"/>
  <c r="X22" i="4"/>
  <c r="W22" i="4"/>
  <c r="Q22" i="4"/>
  <c r="S22" i="4"/>
  <c r="T22" i="4"/>
  <c r="R22" i="4"/>
  <c r="U22" i="4"/>
  <c r="P22" i="4"/>
  <c r="G22" i="4"/>
  <c r="F22" i="4"/>
  <c r="D22" i="4"/>
  <c r="X21" i="4"/>
  <c r="W21" i="4"/>
  <c r="Q21" i="4"/>
  <c r="S21" i="4"/>
  <c r="T21" i="4"/>
  <c r="R21" i="4"/>
  <c r="AA21" i="4"/>
  <c r="P21" i="4"/>
  <c r="G21" i="4"/>
  <c r="F21" i="4"/>
  <c r="D21" i="4"/>
  <c r="Q20" i="4"/>
  <c r="AA20" i="4"/>
  <c r="X20" i="4"/>
  <c r="W20" i="4"/>
  <c r="R20" i="4"/>
  <c r="P20" i="4"/>
  <c r="G20" i="4"/>
  <c r="F20" i="4"/>
  <c r="D20" i="4"/>
  <c r="X19" i="4"/>
  <c r="W19" i="4"/>
  <c r="R19" i="4"/>
  <c r="Q19" i="4"/>
  <c r="U19" i="4"/>
  <c r="P19" i="4"/>
  <c r="G19" i="4"/>
  <c r="F19" i="4"/>
  <c r="D19" i="4"/>
  <c r="Q18" i="4"/>
  <c r="W18" i="4"/>
  <c r="X18" i="4"/>
  <c r="Y18" i="4"/>
  <c r="R18" i="4"/>
  <c r="AA18" i="4"/>
  <c r="P18" i="4"/>
  <c r="G18" i="4"/>
  <c r="F18" i="4"/>
  <c r="D18" i="4"/>
  <c r="X17" i="4"/>
  <c r="W17" i="4"/>
  <c r="R17" i="4"/>
  <c r="Q17" i="4"/>
  <c r="AA17" i="4"/>
  <c r="P17" i="4"/>
  <c r="G17" i="4"/>
  <c r="F17" i="4"/>
  <c r="D17" i="4"/>
  <c r="X16" i="4"/>
  <c r="W16" i="4"/>
  <c r="Q16" i="4"/>
  <c r="Y16" i="4"/>
  <c r="R16" i="4"/>
  <c r="U16" i="4"/>
  <c r="P16" i="4"/>
  <c r="G16" i="4"/>
  <c r="F16" i="4"/>
  <c r="D16" i="4"/>
  <c r="X15" i="4"/>
  <c r="W15" i="4"/>
  <c r="Q15" i="4"/>
  <c r="Y15" i="4"/>
  <c r="R15" i="4"/>
  <c r="AA15" i="4"/>
  <c r="P15" i="4"/>
  <c r="G15" i="4"/>
  <c r="F15" i="4"/>
  <c r="D15" i="4"/>
  <c r="Q14" i="4"/>
  <c r="AA14" i="4"/>
  <c r="X14" i="4"/>
  <c r="W14" i="4"/>
  <c r="R14" i="4"/>
  <c r="P14" i="4"/>
  <c r="G14" i="4"/>
  <c r="F14" i="4"/>
  <c r="D14" i="4"/>
  <c r="X13" i="4"/>
  <c r="W13" i="4"/>
  <c r="Q13" i="4"/>
  <c r="Y13" i="4"/>
  <c r="R13" i="4"/>
  <c r="U13" i="4"/>
  <c r="P13" i="4"/>
  <c r="G13" i="4"/>
  <c r="F13" i="4"/>
  <c r="D13" i="4"/>
  <c r="X12" i="4"/>
  <c r="W12" i="4"/>
  <c r="R12" i="4"/>
  <c r="Q12" i="4"/>
  <c r="AA12" i="4"/>
  <c r="AB12" i="4"/>
  <c r="P12" i="4"/>
  <c r="G12" i="4"/>
  <c r="F12" i="4"/>
  <c r="D12" i="4"/>
  <c r="X11" i="4"/>
  <c r="W11" i="4"/>
  <c r="R11" i="4"/>
  <c r="Q11" i="4"/>
  <c r="AA11" i="4"/>
  <c r="AB11" i="4"/>
  <c r="P11" i="4"/>
  <c r="G11" i="4"/>
  <c r="F11" i="4"/>
  <c r="D11" i="4"/>
  <c r="X10" i="4"/>
  <c r="W10" i="4"/>
  <c r="Q10" i="4"/>
  <c r="U10" i="4"/>
  <c r="R10" i="4"/>
  <c r="AA10" i="4"/>
  <c r="P10" i="4"/>
  <c r="G10" i="4"/>
  <c r="F10" i="4"/>
  <c r="D10" i="4"/>
  <c r="Q9" i="4"/>
  <c r="AA9" i="4"/>
  <c r="X9" i="4"/>
  <c r="W9" i="4"/>
  <c r="Y9" i="4"/>
  <c r="R9" i="4"/>
  <c r="S9" i="4"/>
  <c r="T9" i="4"/>
  <c r="P9" i="4"/>
  <c r="G9" i="4"/>
  <c r="F9" i="4"/>
  <c r="D9" i="4"/>
  <c r="Q8" i="4"/>
  <c r="AA8" i="4"/>
  <c r="X8" i="4"/>
  <c r="W8" i="4"/>
  <c r="R8" i="4"/>
  <c r="Y8" i="4"/>
  <c r="P8" i="4"/>
  <c r="G8" i="4"/>
  <c r="F8" i="4"/>
  <c r="D8" i="4"/>
  <c r="X7" i="4"/>
  <c r="W7" i="4"/>
  <c r="R7" i="4"/>
  <c r="Q7" i="4"/>
  <c r="U7" i="4"/>
  <c r="P7" i="4"/>
  <c r="G7" i="4"/>
  <c r="F7" i="4"/>
  <c r="D7" i="4"/>
  <c r="S18" i="3"/>
  <c r="P18" i="3"/>
  <c r="Q18" i="3"/>
  <c r="R18" i="3"/>
  <c r="H18" i="3"/>
  <c r="G18" i="3"/>
  <c r="F18" i="3"/>
  <c r="S17" i="3"/>
  <c r="P17" i="3"/>
  <c r="T17" i="3"/>
  <c r="H17" i="3"/>
  <c r="G17" i="3"/>
  <c r="F17" i="3"/>
  <c r="S16" i="3"/>
  <c r="P16" i="3"/>
  <c r="T16" i="3"/>
  <c r="H16" i="3"/>
  <c r="G16" i="3"/>
  <c r="F16" i="3"/>
  <c r="S15" i="3"/>
  <c r="P15" i="3"/>
  <c r="Q15" i="3"/>
  <c r="R15" i="3"/>
  <c r="H15" i="3"/>
  <c r="G15" i="3"/>
  <c r="F15" i="3"/>
  <c r="S14" i="3"/>
  <c r="P14" i="3"/>
  <c r="T14" i="3"/>
  <c r="H14" i="3"/>
  <c r="G14" i="3"/>
  <c r="F14" i="3"/>
  <c r="S13" i="3"/>
  <c r="P13" i="3"/>
  <c r="T13" i="3"/>
  <c r="H13" i="3"/>
  <c r="G13" i="3"/>
  <c r="F13" i="3"/>
  <c r="P12" i="3"/>
  <c r="T12" i="3"/>
  <c r="S12" i="3"/>
  <c r="Q12" i="3"/>
  <c r="R12" i="3"/>
  <c r="H12" i="3"/>
  <c r="G12" i="3"/>
  <c r="F12" i="3"/>
  <c r="S11" i="3"/>
  <c r="P11" i="3"/>
  <c r="T11" i="3"/>
  <c r="H11" i="3"/>
  <c r="G11" i="3"/>
  <c r="F11" i="3"/>
  <c r="S10" i="3"/>
  <c r="P10" i="3"/>
  <c r="T10" i="3"/>
  <c r="H10" i="3"/>
  <c r="G10" i="3"/>
  <c r="F10" i="3"/>
  <c r="S9" i="3"/>
  <c r="P9" i="3"/>
  <c r="Q9" i="3"/>
  <c r="R9" i="3"/>
  <c r="H9" i="3"/>
  <c r="G9" i="3"/>
  <c r="F9" i="3"/>
  <c r="S8" i="3"/>
  <c r="P8" i="3"/>
  <c r="T8" i="3"/>
  <c r="H8" i="3"/>
  <c r="G8" i="3"/>
  <c r="F8" i="3"/>
  <c r="S7" i="3"/>
  <c r="P7" i="3"/>
  <c r="T7" i="3"/>
  <c r="H7" i="3"/>
  <c r="G7" i="3"/>
  <c r="F7" i="3"/>
  <c r="Q10" i="3"/>
  <c r="R10" i="3"/>
  <c r="Q13" i="3"/>
  <c r="R13" i="3"/>
  <c r="AA7" i="4"/>
  <c r="AB7" i="4"/>
  <c r="U9" i="4"/>
  <c r="AA13" i="4"/>
  <c r="AB13" i="4"/>
  <c r="S15" i="4"/>
  <c r="T15" i="4"/>
  <c r="AA16" i="4"/>
  <c r="Y19" i="4"/>
  <c r="AB20" i="4"/>
  <c r="Y22" i="4"/>
  <c r="S28" i="4"/>
  <c r="T28" i="4"/>
  <c r="Q7" i="3"/>
  <c r="R7" i="3"/>
  <c r="T9" i="3"/>
  <c r="AB10" i="4"/>
  <c r="AB21" i="4"/>
  <c r="AB16" i="4"/>
  <c r="Q16" i="3"/>
  <c r="R16" i="3"/>
  <c r="S10" i="4"/>
  <c r="T10" i="4"/>
  <c r="U15" i="4"/>
  <c r="AA19" i="4"/>
  <c r="AB19" i="4"/>
  <c r="AA22" i="4"/>
  <c r="AB22" i="4"/>
  <c r="Y25" i="4"/>
  <c r="AA26" i="4"/>
  <c r="AB26" i="4"/>
  <c r="Q16" i="5"/>
  <c r="R16" i="5"/>
  <c r="W16" i="5"/>
  <c r="Y10" i="4"/>
  <c r="S16" i="4"/>
  <c r="T16" i="4"/>
  <c r="U21" i="4"/>
  <c r="AA25" i="4"/>
  <c r="AB25" i="4"/>
  <c r="Q12" i="5"/>
  <c r="R12" i="5"/>
  <c r="W12" i="5"/>
  <c r="T15" i="3"/>
  <c r="Y14" i="4"/>
  <c r="AB17" i="4"/>
  <c r="AB18" i="4"/>
  <c r="Y21" i="4"/>
  <c r="Y7" i="4"/>
  <c r="AB8" i="4"/>
  <c r="AB14" i="4"/>
  <c r="Y28" i="4"/>
  <c r="T18" i="3"/>
  <c r="AB9" i="4"/>
  <c r="Y12" i="4"/>
  <c r="AB15" i="4"/>
  <c r="Y20" i="4"/>
  <c r="AB24" i="4"/>
  <c r="Y27" i="4"/>
  <c r="AB28" i="4"/>
  <c r="U11" i="4"/>
  <c r="S12" i="4"/>
  <c r="T12" i="4"/>
  <c r="U17" i="4"/>
  <c r="S18" i="4"/>
  <c r="T18" i="4"/>
  <c r="S24" i="4"/>
  <c r="T24" i="4"/>
  <c r="Q11" i="3"/>
  <c r="R11" i="3"/>
  <c r="Q14" i="3"/>
  <c r="R14" i="3"/>
  <c r="S11" i="4"/>
  <c r="T11" i="4"/>
  <c r="S17" i="4"/>
  <c r="T17" i="4"/>
  <c r="S23" i="4"/>
  <c r="T23" i="4"/>
  <c r="U23" i="4"/>
  <c r="Q11" i="5"/>
  <c r="R11" i="5"/>
  <c r="W11" i="5"/>
  <c r="S7" i="4"/>
  <c r="T7" i="4"/>
  <c r="U12" i="4"/>
  <c r="S13" i="4"/>
  <c r="T13" i="4"/>
  <c r="U18" i="4"/>
  <c r="S19" i="4"/>
  <c r="T19" i="4"/>
  <c r="U24" i="4"/>
  <c r="S25" i="4"/>
  <c r="T25" i="4"/>
  <c r="V10" i="5"/>
  <c r="V14" i="5"/>
  <c r="Q8" i="3"/>
  <c r="R8" i="3"/>
  <c r="Q17" i="3"/>
  <c r="R17" i="3"/>
  <c r="Q7" i="5"/>
  <c r="R7" i="5"/>
  <c r="W7" i="5"/>
  <c r="Y11" i="4"/>
  <c r="Y17" i="4"/>
  <c r="Y23" i="4"/>
  <c r="S8" i="4"/>
  <c r="T8" i="4"/>
  <c r="S14" i="4"/>
  <c r="T14" i="4"/>
  <c r="S20" i="4"/>
  <c r="T20" i="4"/>
  <c r="S26" i="4"/>
  <c r="T26" i="4"/>
  <c r="U8" i="4"/>
  <c r="U14" i="4"/>
  <c r="U20" i="4"/>
  <c r="Q15" i="5"/>
  <c r="R15" i="5"/>
  <c r="W15" i="5"/>
</calcChain>
</file>

<file path=xl/sharedStrings.xml><?xml version="1.0" encoding="utf-8"?>
<sst xmlns="http://schemas.openxmlformats.org/spreadsheetml/2006/main" count="900" uniqueCount="212">
  <si>
    <t>Corner Case Operation</t>
  </si>
  <si>
    <t>ECEN 5009 Power Electronics Project Lab: LED Driver Test Report</t>
  </si>
  <si>
    <t>Start</t>
  </si>
  <si>
    <t>Wire</t>
  </si>
  <si>
    <t>End</t>
  </si>
  <si>
    <t>Device</t>
  </si>
  <si>
    <t>Terminal</t>
  </si>
  <si>
    <t>Connector</t>
  </si>
  <si>
    <t>Termination</t>
  </si>
  <si>
    <t>Input Terminal Block</t>
  </si>
  <si>
    <t>L1</t>
  </si>
  <si>
    <t>?</t>
  </si>
  <si>
    <t>AWG 12, Solid, 300 Vac, 105 °C, Black</t>
  </si>
  <si>
    <t>L1_IN</t>
  </si>
  <si>
    <t>Circuit Breaker</t>
  </si>
  <si>
    <t>L2</t>
  </si>
  <si>
    <t>AWG 12, Solid, 300 Vac, 105 °C, Red</t>
  </si>
  <si>
    <t>L2_IN</t>
  </si>
  <si>
    <t>Measured Test Data</t>
  </si>
  <si>
    <t>L1 Distribution Barrier Block</t>
  </si>
  <si>
    <t>A1</t>
  </si>
  <si>
    <t>Screw Terminal</t>
  </si>
  <si>
    <t>N/A</t>
  </si>
  <si>
    <t>Barrier Strip Jumper</t>
  </si>
  <si>
    <t>N/a</t>
  </si>
  <si>
    <t>A2</t>
  </si>
  <si>
    <t>A3</t>
  </si>
  <si>
    <t>A4</t>
  </si>
  <si>
    <t>L1_OUT</t>
  </si>
  <si>
    <t>Ring Terminal</t>
  </si>
  <si>
    <t>Case Definition</t>
  </si>
  <si>
    <t>Test Conditions</t>
  </si>
  <si>
    <t>Input
Voltage</t>
  </si>
  <si>
    <t>L2 Distribution Barrier Block</t>
  </si>
  <si>
    <t>Input
Power</t>
  </si>
  <si>
    <t>Output Voltage</t>
  </si>
  <si>
    <t>Shunt Voltage, DC</t>
  </si>
  <si>
    <t>Shunt Voltage, AC</t>
  </si>
  <si>
    <t>Calculated Results</t>
  </si>
  <si>
    <t>Test
Case
Number</t>
  </si>
  <si>
    <t>AC Frequency</t>
  </si>
  <si>
    <t>Dimming Voltage</t>
  </si>
  <si>
    <t>Prepared By:</t>
  </si>
  <si>
    <t>Vac RMS</t>
  </si>
  <si>
    <t>L2_OUT</t>
  </si>
  <si>
    <t xml:space="preserve">Chinmay Patil </t>
  </si>
  <si>
    <t>B1</t>
  </si>
  <si>
    <t>L</t>
  </si>
  <si>
    <t>Power Supply 1, VA-26519</t>
  </si>
  <si>
    <t>B2</t>
  </si>
  <si>
    <t>W</t>
  </si>
  <si>
    <t>Vdc</t>
  </si>
  <si>
    <t>mVdc</t>
  </si>
  <si>
    <t>mVac</t>
  </si>
  <si>
    <t>Output
Current</t>
  </si>
  <si>
    <t>Output
Power</t>
  </si>
  <si>
    <t>Efficiency</t>
  </si>
  <si>
    <t>LED Ripple Current</t>
  </si>
  <si>
    <t>Percent Current Ripple</t>
  </si>
  <si>
    <t>N</t>
  </si>
  <si>
    <t>Hz</t>
  </si>
  <si>
    <t>VVV.V</t>
  </si>
  <si>
    <t>PP.P</t>
  </si>
  <si>
    <t>VV.VV</t>
  </si>
  <si>
    <t>MM.M</t>
  </si>
  <si>
    <t>MM.MM</t>
  </si>
  <si>
    <t>B3</t>
  </si>
  <si>
    <t>mAdc</t>
  </si>
  <si>
    <t>%</t>
  </si>
  <si>
    <t>mAac</t>
  </si>
  <si>
    <t>Power Supply 2, VA-26519</t>
  </si>
  <si>
    <t>Project:</t>
  </si>
  <si>
    <t>B4</t>
  </si>
  <si>
    <t>Min</t>
  </si>
  <si>
    <t>Power Supply 3, LS25-15</t>
  </si>
  <si>
    <t>Last Updated:</t>
  </si>
  <si>
    <t>Update:</t>
  </si>
  <si>
    <t>Initial creation</t>
  </si>
  <si>
    <t>Description:</t>
  </si>
  <si>
    <t>Power Supply 4, LS25-15</t>
  </si>
  <si>
    <t>Protective Earth Terminal 1</t>
  </si>
  <si>
    <t>PE1</t>
  </si>
  <si>
    <t>Stud, #10-24</t>
  </si>
  <si>
    <t>AWG 12, Solid, 300 Vac, 105 °C, Green/Yellow Stripe</t>
  </si>
  <si>
    <t>PE/GND</t>
  </si>
  <si>
    <t>Protective Earth Terminal 2</t>
  </si>
  <si>
    <t>PE2</t>
  </si>
  <si>
    <t>+V_1</t>
  </si>
  <si>
    <t>Mid</t>
  </si>
  <si>
    <t>AWG 12, Stranded, 600 Vac, 105 °C, Blue</t>
  </si>
  <si>
    <t>Station Power Supply Circuit Board</t>
  </si>
  <si>
    <t>+V_2</t>
  </si>
  <si>
    <t>-V_1</t>
  </si>
  <si>
    <t>AWG 12, Stranded, 600 Vac, 105 °C, Grey</t>
  </si>
  <si>
    <t>-V_2</t>
  </si>
  <si>
    <t>Max</t>
  </si>
  <si>
    <t>+V</t>
  </si>
  <si>
    <t>AWG 20, Stranded, 150 Vac, 105 °C, Orange</t>
  </si>
  <si>
    <t>-V</t>
  </si>
  <si>
    <t>AWG 20, Stranded, 150 Vac, 105 °C, Black</t>
  </si>
  <si>
    <t>D1 (Green LED)</t>
  </si>
  <si>
    <t>J1 (VCC_SEC)</t>
  </si>
  <si>
    <t>Mini Fit Jr? Socket</t>
  </si>
  <si>
    <t>AWG 20, Stranded, 150 Vac, 105 °C, Red</t>
  </si>
  <si>
    <t>Mini Fit Jr? Pin</t>
  </si>
  <si>
    <t>J2 (VCC_SEC)</t>
  </si>
  <si>
    <t>J1 (VCC_RTN)</t>
  </si>
  <si>
    <t>J2 (VCC_RTN)</t>
  </si>
  <si>
    <t>J1 (CAN_LOW)</t>
  </si>
  <si>
    <t>AWG 20, Stranded, 150 Vac, 105 °C, Blue</t>
  </si>
  <si>
    <t>J2 (CAN_LOW)</t>
  </si>
  <si>
    <t>J1 (CAN_HIGH)</t>
  </si>
  <si>
    <t>AWG 20, Stranded, 150 Vac, 105 °C, Yellow</t>
  </si>
  <si>
    <t>J2 (CAN_HIGH)</t>
  </si>
  <si>
    <t>J2 (UART Port)</t>
  </si>
  <si>
    <t>General Operation</t>
  </si>
  <si>
    <t>Dimming
Voltage</t>
  </si>
  <si>
    <t>Shunt Voltage (DC)</t>
  </si>
  <si>
    <t>Shunt Voltage (AC)</t>
  </si>
  <si>
    <t>Dimming Control Specification Limits 
And Test Result</t>
  </si>
  <si>
    <t>Output Current Ripple Specification Limits And Test Result</t>
  </si>
  <si>
    <t>Programmed Output Current</t>
  </si>
  <si>
    <t>Output
Current
(DC)</t>
  </si>
  <si>
    <t>Output
Ripple
Current
(AC)</t>
  </si>
  <si>
    <t>Output Current, Minimum</t>
  </si>
  <si>
    <t>Output Current, Maximum</t>
  </si>
  <si>
    <t>Pass/Fail</t>
  </si>
  <si>
    <t>Output Ripple Current, Maximum</t>
  </si>
  <si>
    <t>Low Nom</t>
  </si>
  <si>
    <t>Specification Limits And Test Result</t>
  </si>
  <si>
    <t>Shunt Voltage</t>
  </si>
  <si>
    <t>Output Current</t>
  </si>
  <si>
    <t>Dimming Control Voltage</t>
  </si>
  <si>
    <t>Efficiency, Minimum</t>
  </si>
  <si>
    <t>Input
Voltage
Valid</t>
  </si>
  <si>
    <t>Output Current
Valid</t>
  </si>
  <si>
    <t>No Load Operation</t>
  </si>
  <si>
    <t>High Nom</t>
  </si>
  <si>
    <t>Input
Power Maximum</t>
  </si>
  <si>
    <t>Output Voltage Maximum</t>
  </si>
  <si>
    <t>Input Power Pass/Fail</t>
  </si>
  <si>
    <t>Output Voltage Pass/Fail</t>
  </si>
  <si>
    <t>Other Specifications</t>
  </si>
  <si>
    <t>Dimming Input Resistance</t>
  </si>
  <si>
    <t xml:space="preserve">Measured Value: </t>
  </si>
  <si>
    <t>kOhms</t>
  </si>
  <si>
    <t>Minimum Value:</t>
  </si>
  <si>
    <t>Pass/Fail:</t>
  </si>
  <si>
    <t>Holdup Time</t>
  </si>
  <si>
    <t xml:space="preserve">Oscilloscope Horizontal: </t>
  </si>
  <si>
    <t>ms/div</t>
  </si>
  <si>
    <t>AC Off Time:</t>
  </si>
  <si>
    <t>Number of divisions from left edge of screen when the AC input voltage became zero</t>
  </si>
  <si>
    <t>DC Output FaultTime</t>
  </si>
  <si>
    <t>Number of divisions from the left edge of the screen when DC output has noticeably decreased in value</t>
  </si>
  <si>
    <t>Calculated Hold Up Time</t>
  </si>
  <si>
    <t>ms</t>
  </si>
  <si>
    <t>Component Stress</t>
  </si>
  <si>
    <t>MOSFET Drain-To-Source Voltage And Case Temperature</t>
  </si>
  <si>
    <t>Paste oscillogram from which the measurements were taken below:</t>
  </si>
  <si>
    <t>Peak MOSFET Drain-To-Source Voltage</t>
  </si>
  <si>
    <t>MOSFET Case Temperature</t>
  </si>
  <si>
    <t>V pk</t>
  </si>
  <si>
    <t>°C</t>
  </si>
  <si>
    <t>VVV</t>
  </si>
  <si>
    <t>CCC</t>
  </si>
  <si>
    <t>Output Diode Cathode-To-Anode Voltage And Case Temperature</t>
  </si>
  <si>
    <t>Peak Diode Cathode-To-Anode Voltage</t>
  </si>
  <si>
    <t>Diode
Case Temperature</t>
  </si>
  <si>
    <t>Safety Creepage And Cleareance</t>
  </si>
  <si>
    <t>Primary To Secondary Creepage Distance</t>
  </si>
  <si>
    <t xml:space="preserve">Side 1, Minimum Measured Value: </t>
  </si>
  <si>
    <t>mm</t>
  </si>
  <si>
    <t xml:space="preserve">Side 2, Minimum Measured Value: </t>
  </si>
  <si>
    <t>Minimum Measured Value</t>
  </si>
  <si>
    <t>Primary To Secondary Clearance Distance</t>
  </si>
  <si>
    <t>Parameter Definition</t>
  </si>
  <si>
    <t>Lookup Tables</t>
  </si>
  <si>
    <t>Parameter Name</t>
  </si>
  <si>
    <t>Value</t>
  </si>
  <si>
    <t>Units</t>
  </si>
  <si>
    <t>Notes</t>
  </si>
  <si>
    <t>Vac</t>
  </si>
  <si>
    <t>Vac, min</t>
  </si>
  <si>
    <t>VAC rms</t>
  </si>
  <si>
    <t>Vac, 100</t>
  </si>
  <si>
    <t>Vac, 120</t>
  </si>
  <si>
    <t>Vac, 230</t>
  </si>
  <si>
    <t>Vac, max</t>
  </si>
  <si>
    <t>Fac</t>
  </si>
  <si>
    <t>Fac, min</t>
  </si>
  <si>
    <t>Fac, 50</t>
  </si>
  <si>
    <t>Fac, 60</t>
  </si>
  <si>
    <t>Fac, max</t>
  </si>
  <si>
    <t>Vdim</t>
  </si>
  <si>
    <t>Vdim, 0</t>
  </si>
  <si>
    <t>Vdim, 1</t>
  </si>
  <si>
    <t>Vdim, 2</t>
  </si>
  <si>
    <t>Vdim, 2.5</t>
  </si>
  <si>
    <t>Vdim, 3</t>
  </si>
  <si>
    <t>Vdim, 4</t>
  </si>
  <si>
    <t>Vdim, 5</t>
  </si>
  <si>
    <t>Vdim, 6</t>
  </si>
  <si>
    <t>Vdim, 7</t>
  </si>
  <si>
    <t>Vdim, 7.5</t>
  </si>
  <si>
    <t>Vdim, 8</t>
  </si>
  <si>
    <t>Vdim, 9</t>
  </si>
  <si>
    <t>Vdim, 10</t>
  </si>
  <si>
    <t>Rshunt</t>
  </si>
  <si>
    <t>Ohm</t>
  </si>
  <si>
    <t xml:space="preserve">Testing Data Recorded </t>
  </si>
  <si>
    <t xml:space="preserve">Led Driver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</si>
</sst>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409]d\-mmm\-yyyy"/>
    <numFmt numFmtId="166" formatCode="0.0%"/>
    <numFmt numFmtId="167" formatCode="0.000"/>
  </numFmts>
  <fonts count="7" x14ac:knownFonts="1">
    <font>
      <sz val="11"/>
      <color rgb="FF000000"/>
      <name val="Calibri"/>
    </font>
    <font>
      <b/>
      <sz val="14"/>
      <color rgb="FF000000"/>
      <name val="Arial"/>
    </font>
    <font>
      <b/>
      <sz val="12"/>
      <color rgb="FF000000"/>
      <name val="Arial"/>
    </font>
    <font>
      <sz val="11"/>
      <color rgb="FF000000"/>
      <name val="Arial"/>
    </font>
    <font>
      <sz val="18"/>
      <color rgb="FF000000"/>
      <name val="Arial"/>
    </font>
    <font>
      <b/>
      <sz val="11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5" fillId="0" borderId="0" xfId="0" applyFont="1" applyAlignment="1">
      <alignment horizontal="center" vertical="top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wrapText="1"/>
    </xf>
    <xf numFmtId="0" fontId="6" fillId="0" borderId="0" xfId="0" applyFont="1" applyAlignment="1">
      <alignment vertical="center"/>
    </xf>
    <xf numFmtId="166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vertical="top"/>
    </xf>
    <xf numFmtId="0" fontId="3" fillId="0" borderId="0" xfId="0" applyFont="1" applyAlignment="1">
      <alignment vertical="top" wrapText="1"/>
    </xf>
    <xf numFmtId="9" fontId="3" fillId="0" borderId="0" xfId="0" applyNumberFormat="1" applyFont="1" applyAlignment="1">
      <alignment horizontal="center" vertical="top"/>
    </xf>
    <xf numFmtId="167" fontId="3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left" vertical="top"/>
    </xf>
    <xf numFmtId="48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center" vertical="top"/>
    </xf>
    <xf numFmtId="1" fontId="5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27</xdr:row>
      <xdr:rowOff>152400</xdr:rowOff>
    </xdr:from>
    <xdr:ext cx="5991225" cy="4495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5" sqref="B15"/>
    </sheetView>
  </sheetViews>
  <sheetFormatPr baseColWidth="10" defaultColWidth="14.5" defaultRowHeight="15" customHeight="1" x14ac:dyDescent="0.2"/>
  <cols>
    <col min="1" max="1" width="17.5" customWidth="1"/>
    <col min="2" max="2" width="60.6640625" customWidth="1"/>
    <col min="3" max="6" width="9.1640625" customWidth="1"/>
    <col min="7" max="26" width="8.6640625" customWidth="1"/>
  </cols>
  <sheetData>
    <row r="1" spans="1:26" ht="43" customHeight="1" x14ac:dyDescent="0.2">
      <c r="A1" s="6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8" customHeight="1" x14ac:dyDescent="0.2">
      <c r="A3" s="10" t="s">
        <v>42</v>
      </c>
      <c r="B3" s="11" t="s">
        <v>45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8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6.5" customHeight="1" x14ac:dyDescent="0.2">
      <c r="A5" s="2" t="s">
        <v>71</v>
      </c>
      <c r="B5" s="15" t="s">
        <v>211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6.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6.5" customHeight="1" x14ac:dyDescent="0.2">
      <c r="A7" s="2" t="s">
        <v>75</v>
      </c>
      <c r="B7" s="15">
        <v>43415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" customHeight="1" x14ac:dyDescent="0.2">
      <c r="A8" s="2" t="s">
        <v>76</v>
      </c>
      <c r="B8" s="16" t="s">
        <v>77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" customHeight="1" x14ac:dyDescent="0.2">
      <c r="A10" s="2" t="s">
        <v>78</v>
      </c>
      <c r="B10" s="16" t="s">
        <v>210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2">
      <c r="A13" s="2"/>
      <c r="B13" s="1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 x14ac:dyDescent="0.2">
      <c r="A14" s="20"/>
      <c r="B14" s="1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2">
      <c r="A15" s="20"/>
      <c r="B15" s="2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 x14ac:dyDescent="0.2">
      <c r="A16" s="8"/>
      <c r="B16" s="1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2">
      <c r="A19" s="8"/>
      <c r="B19" s="1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 x14ac:dyDescent="0.2">
      <c r="A20" s="8"/>
      <c r="B20" s="1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 x14ac:dyDescent="0.2">
      <c r="A22" s="8"/>
      <c r="B22" s="2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2">
      <c r="A23" s="8"/>
      <c r="B23" s="2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2">
      <c r="A24" s="8"/>
      <c r="B24" s="2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2">
      <c r="A25" s="8"/>
      <c r="B25" s="2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paperSize="3" orientation="landscape"/>
  <headerFooter>
    <oddHeader>&amp;CEvatran GM Power Supply: Vehicle Board Parts List</oddHeader>
    <oddFooter>&amp;L&amp;F &amp;A&amp;CPage &amp;P Of 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30.6640625" customWidth="1"/>
    <col min="2" max="2" width="16.6640625" customWidth="1"/>
    <col min="3" max="3" width="21.5" customWidth="1"/>
    <col min="4" max="4" width="4.6640625" customWidth="1"/>
    <col min="5" max="5" width="21.5" customWidth="1"/>
    <col min="6" max="6" width="52.5" customWidth="1"/>
    <col min="7" max="7" width="21.6640625" customWidth="1"/>
    <col min="8" max="8" width="4.6640625" customWidth="1"/>
    <col min="9" max="9" width="21.6640625" customWidth="1"/>
    <col min="10" max="10" width="16.6640625" customWidth="1"/>
    <col min="11" max="11" width="34.33203125" customWidth="1"/>
    <col min="12" max="26" width="8.6640625" customWidth="1"/>
  </cols>
  <sheetData>
    <row r="1" spans="1:26" ht="14.25" customHeight="1" x14ac:dyDescent="0.2">
      <c r="A1" s="2" t="s">
        <v>2</v>
      </c>
      <c r="B1" s="2"/>
      <c r="C1" s="2"/>
      <c r="D1" s="2"/>
      <c r="E1" s="2" t="s">
        <v>3</v>
      </c>
      <c r="F1" s="2"/>
      <c r="G1" s="2"/>
      <c r="H1" s="2"/>
      <c r="I1" s="2" t="s">
        <v>4</v>
      </c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2">
      <c r="A2" s="2" t="s">
        <v>5</v>
      </c>
      <c r="B2" s="2" t="s">
        <v>6</v>
      </c>
      <c r="C2" s="2" t="s">
        <v>7</v>
      </c>
      <c r="D2" s="2"/>
      <c r="E2" s="2" t="s">
        <v>8</v>
      </c>
      <c r="F2" s="2" t="s">
        <v>3</v>
      </c>
      <c r="G2" s="2" t="s">
        <v>8</v>
      </c>
      <c r="H2" s="2"/>
      <c r="I2" s="2" t="s">
        <v>7</v>
      </c>
      <c r="J2" s="2" t="s">
        <v>6</v>
      </c>
      <c r="K2" s="2" t="s">
        <v>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">
      <c r="A3" s="3" t="s">
        <v>9</v>
      </c>
      <c r="B3" s="3" t="s">
        <v>10</v>
      </c>
      <c r="C3" s="3" t="s">
        <v>11</v>
      </c>
      <c r="D3" s="3"/>
      <c r="E3" s="3" t="s">
        <v>11</v>
      </c>
      <c r="F3" s="3" t="s">
        <v>12</v>
      </c>
      <c r="G3" s="3" t="s">
        <v>11</v>
      </c>
      <c r="H3" s="3"/>
      <c r="I3" s="3" t="s">
        <v>11</v>
      </c>
      <c r="J3" s="3" t="s">
        <v>13</v>
      </c>
      <c r="K3" s="3" t="s">
        <v>14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">
      <c r="A4" s="3" t="s">
        <v>9</v>
      </c>
      <c r="B4" s="3" t="s">
        <v>15</v>
      </c>
      <c r="C4" s="3" t="s">
        <v>11</v>
      </c>
      <c r="D4" s="3"/>
      <c r="E4" s="3" t="s">
        <v>11</v>
      </c>
      <c r="F4" s="3" t="s">
        <v>16</v>
      </c>
      <c r="G4" s="3" t="s">
        <v>11</v>
      </c>
      <c r="H4" s="3"/>
      <c r="I4" s="3" t="s">
        <v>11</v>
      </c>
      <c r="J4" s="3" t="s">
        <v>17</v>
      </c>
      <c r="K4" s="3" t="s">
        <v>14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">
      <c r="A5" s="3" t="s">
        <v>19</v>
      </c>
      <c r="B5" s="3" t="s">
        <v>20</v>
      </c>
      <c r="C5" s="3" t="s">
        <v>21</v>
      </c>
      <c r="D5" s="3"/>
      <c r="E5" s="3" t="s">
        <v>22</v>
      </c>
      <c r="F5" s="3" t="s">
        <v>23</v>
      </c>
      <c r="G5" s="3" t="s">
        <v>24</v>
      </c>
      <c r="H5" s="3"/>
      <c r="I5" s="3" t="s">
        <v>21</v>
      </c>
      <c r="J5" s="3" t="s">
        <v>25</v>
      </c>
      <c r="K5" s="3" t="s">
        <v>19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">
      <c r="A6" s="3" t="s">
        <v>19</v>
      </c>
      <c r="B6" s="3" t="s">
        <v>26</v>
      </c>
      <c r="C6" s="3" t="s">
        <v>21</v>
      </c>
      <c r="D6" s="3"/>
      <c r="E6" s="3" t="s">
        <v>22</v>
      </c>
      <c r="F6" s="3" t="s">
        <v>23</v>
      </c>
      <c r="G6" s="3" t="s">
        <v>24</v>
      </c>
      <c r="H6" s="3"/>
      <c r="I6" s="3" t="s">
        <v>21</v>
      </c>
      <c r="J6" s="3" t="s">
        <v>27</v>
      </c>
      <c r="K6" s="3" t="s">
        <v>19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">
      <c r="A7" s="3" t="s">
        <v>19</v>
      </c>
      <c r="B7" s="3" t="s">
        <v>25</v>
      </c>
      <c r="C7" s="3" t="s">
        <v>21</v>
      </c>
      <c r="D7" s="3"/>
      <c r="E7" s="3" t="s">
        <v>22</v>
      </c>
      <c r="F7" s="3" t="s">
        <v>23</v>
      </c>
      <c r="G7" s="3" t="s">
        <v>24</v>
      </c>
      <c r="H7" s="3"/>
      <c r="I7" s="3" t="s">
        <v>21</v>
      </c>
      <c r="J7" s="3" t="s">
        <v>26</v>
      </c>
      <c r="K7" s="3" t="s">
        <v>19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">
      <c r="A8" s="3" t="s">
        <v>14</v>
      </c>
      <c r="B8" s="3" t="s">
        <v>28</v>
      </c>
      <c r="C8" s="3" t="s">
        <v>11</v>
      </c>
      <c r="D8" s="3"/>
      <c r="E8" s="3" t="s">
        <v>11</v>
      </c>
      <c r="F8" s="3" t="s">
        <v>12</v>
      </c>
      <c r="G8" s="3" t="s">
        <v>29</v>
      </c>
      <c r="H8" s="3"/>
      <c r="I8" s="3" t="s">
        <v>21</v>
      </c>
      <c r="J8" s="3">
        <v>1</v>
      </c>
      <c r="K8" s="3" t="s">
        <v>19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">
      <c r="A9" s="3" t="s">
        <v>33</v>
      </c>
      <c r="B9" s="3" t="s">
        <v>20</v>
      </c>
      <c r="C9" s="3" t="s">
        <v>21</v>
      </c>
      <c r="D9" s="3"/>
      <c r="E9" s="3" t="s">
        <v>22</v>
      </c>
      <c r="F9" s="3" t="s">
        <v>23</v>
      </c>
      <c r="G9" s="3" t="s">
        <v>24</v>
      </c>
      <c r="H9" s="3"/>
      <c r="I9" s="3" t="s">
        <v>21</v>
      </c>
      <c r="J9" s="3" t="s">
        <v>25</v>
      </c>
      <c r="K9" s="3" t="s">
        <v>33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">
      <c r="A10" s="3" t="s">
        <v>33</v>
      </c>
      <c r="B10" s="3" t="s">
        <v>26</v>
      </c>
      <c r="C10" s="3" t="s">
        <v>21</v>
      </c>
      <c r="D10" s="3"/>
      <c r="E10" s="3" t="s">
        <v>22</v>
      </c>
      <c r="F10" s="3" t="s">
        <v>23</v>
      </c>
      <c r="G10" s="3" t="s">
        <v>24</v>
      </c>
      <c r="H10" s="3"/>
      <c r="I10" s="3" t="s">
        <v>21</v>
      </c>
      <c r="J10" s="3" t="s">
        <v>27</v>
      </c>
      <c r="K10" s="3" t="s">
        <v>33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">
      <c r="A11" s="3" t="s">
        <v>33</v>
      </c>
      <c r="B11" s="3" t="s">
        <v>25</v>
      </c>
      <c r="C11" s="3" t="s">
        <v>21</v>
      </c>
      <c r="D11" s="3"/>
      <c r="E11" s="3" t="s">
        <v>22</v>
      </c>
      <c r="F11" s="3" t="s">
        <v>23</v>
      </c>
      <c r="G11" s="3" t="s">
        <v>24</v>
      </c>
      <c r="H11" s="3"/>
      <c r="I11" s="3" t="s">
        <v>21</v>
      </c>
      <c r="J11" s="3" t="s">
        <v>26</v>
      </c>
      <c r="K11" s="3" t="s">
        <v>33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">
      <c r="A12" s="3" t="s">
        <v>14</v>
      </c>
      <c r="B12" s="3" t="s">
        <v>44</v>
      </c>
      <c r="C12" s="3" t="s">
        <v>11</v>
      </c>
      <c r="D12" s="3"/>
      <c r="E12" s="3" t="s">
        <v>11</v>
      </c>
      <c r="F12" s="3" t="s">
        <v>16</v>
      </c>
      <c r="G12" s="3" t="s">
        <v>29</v>
      </c>
      <c r="H12" s="3"/>
      <c r="I12" s="3" t="s">
        <v>21</v>
      </c>
      <c r="J12" s="3">
        <v>1</v>
      </c>
      <c r="K12" s="3" t="s">
        <v>33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">
      <c r="A13" s="3" t="s">
        <v>19</v>
      </c>
      <c r="B13" s="3" t="s">
        <v>46</v>
      </c>
      <c r="C13" s="3" t="s">
        <v>21</v>
      </c>
      <c r="D13" s="3"/>
      <c r="E13" s="3" t="s">
        <v>29</v>
      </c>
      <c r="F13" s="3" t="s">
        <v>12</v>
      </c>
      <c r="G13" s="3" t="s">
        <v>29</v>
      </c>
      <c r="H13" s="3"/>
      <c r="I13" s="3" t="s">
        <v>21</v>
      </c>
      <c r="J13" s="3" t="s">
        <v>47</v>
      </c>
      <c r="K13" s="3" t="s">
        <v>48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">
      <c r="A14" s="3" t="s">
        <v>19</v>
      </c>
      <c r="B14" s="3" t="s">
        <v>49</v>
      </c>
      <c r="C14" s="3" t="s">
        <v>21</v>
      </c>
      <c r="D14" s="3"/>
      <c r="E14" s="3" t="s">
        <v>29</v>
      </c>
      <c r="F14" s="3" t="s">
        <v>16</v>
      </c>
      <c r="G14" s="3" t="s">
        <v>29</v>
      </c>
      <c r="H14" s="3"/>
      <c r="I14" s="3" t="s">
        <v>21</v>
      </c>
      <c r="J14" s="3" t="s">
        <v>59</v>
      </c>
      <c r="K14" s="3" t="s">
        <v>48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">
      <c r="A15" s="3" t="s">
        <v>19</v>
      </c>
      <c r="B15" s="3" t="s">
        <v>66</v>
      </c>
      <c r="C15" s="3" t="s">
        <v>21</v>
      </c>
      <c r="D15" s="3"/>
      <c r="E15" s="3" t="s">
        <v>29</v>
      </c>
      <c r="F15" s="3" t="s">
        <v>12</v>
      </c>
      <c r="G15" s="3" t="s">
        <v>29</v>
      </c>
      <c r="H15" s="3"/>
      <c r="I15" s="3" t="s">
        <v>21</v>
      </c>
      <c r="J15" s="3" t="s">
        <v>47</v>
      </c>
      <c r="K15" s="3" t="s">
        <v>70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">
      <c r="A16" s="3" t="s">
        <v>19</v>
      </c>
      <c r="B16" s="3" t="s">
        <v>72</v>
      </c>
      <c r="C16" s="3" t="s">
        <v>21</v>
      </c>
      <c r="D16" s="3"/>
      <c r="E16" s="3" t="s">
        <v>29</v>
      </c>
      <c r="F16" s="3" t="s">
        <v>16</v>
      </c>
      <c r="G16" s="3" t="s">
        <v>29</v>
      </c>
      <c r="H16" s="3"/>
      <c r="I16" s="3" t="s">
        <v>21</v>
      </c>
      <c r="J16" s="3" t="s">
        <v>59</v>
      </c>
      <c r="K16" s="3" t="s">
        <v>70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">
      <c r="A17" s="3" t="s">
        <v>33</v>
      </c>
      <c r="B17" s="3" t="s">
        <v>46</v>
      </c>
      <c r="C17" s="3" t="s">
        <v>21</v>
      </c>
      <c r="D17" s="3"/>
      <c r="E17" s="3" t="s">
        <v>29</v>
      </c>
      <c r="F17" s="3" t="s">
        <v>12</v>
      </c>
      <c r="G17" s="3" t="s">
        <v>29</v>
      </c>
      <c r="H17" s="3"/>
      <c r="I17" s="3" t="s">
        <v>21</v>
      </c>
      <c r="J17" s="3" t="s">
        <v>47</v>
      </c>
      <c r="K17" s="3" t="s">
        <v>74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">
      <c r="A18" s="3" t="s">
        <v>33</v>
      </c>
      <c r="B18" s="3" t="s">
        <v>49</v>
      </c>
      <c r="C18" s="3" t="s">
        <v>21</v>
      </c>
      <c r="D18" s="3"/>
      <c r="E18" s="3" t="s">
        <v>29</v>
      </c>
      <c r="F18" s="3" t="s">
        <v>16</v>
      </c>
      <c r="G18" s="3" t="s">
        <v>29</v>
      </c>
      <c r="H18" s="3"/>
      <c r="I18" s="3" t="s">
        <v>21</v>
      </c>
      <c r="J18" s="3" t="s">
        <v>59</v>
      </c>
      <c r="K18" s="3" t="s">
        <v>74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">
      <c r="A19" s="3" t="s">
        <v>33</v>
      </c>
      <c r="B19" s="3" t="s">
        <v>66</v>
      </c>
      <c r="C19" s="3" t="s">
        <v>21</v>
      </c>
      <c r="D19" s="3"/>
      <c r="E19" s="3" t="s">
        <v>29</v>
      </c>
      <c r="F19" s="3" t="s">
        <v>12</v>
      </c>
      <c r="G19" s="3" t="s">
        <v>29</v>
      </c>
      <c r="H19" s="3"/>
      <c r="I19" s="3" t="s">
        <v>21</v>
      </c>
      <c r="J19" s="3" t="s">
        <v>47</v>
      </c>
      <c r="K19" s="3" t="s">
        <v>79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">
      <c r="A20" s="3" t="s">
        <v>33</v>
      </c>
      <c r="B20" s="3" t="s">
        <v>72</v>
      </c>
      <c r="C20" s="3" t="s">
        <v>21</v>
      </c>
      <c r="D20" s="3"/>
      <c r="E20" s="3" t="s">
        <v>29</v>
      </c>
      <c r="F20" s="3" t="s">
        <v>16</v>
      </c>
      <c r="G20" s="3" t="s">
        <v>29</v>
      </c>
      <c r="H20" s="3"/>
      <c r="I20" s="3" t="s">
        <v>21</v>
      </c>
      <c r="J20" s="3" t="s">
        <v>59</v>
      </c>
      <c r="K20" s="3" t="s">
        <v>79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">
      <c r="A21" s="3" t="s">
        <v>80</v>
      </c>
      <c r="B21" s="3" t="s">
        <v>81</v>
      </c>
      <c r="C21" s="3" t="s">
        <v>82</v>
      </c>
      <c r="D21" s="3"/>
      <c r="E21" s="3" t="s">
        <v>29</v>
      </c>
      <c r="F21" s="3" t="s">
        <v>83</v>
      </c>
      <c r="G21" s="3" t="s">
        <v>29</v>
      </c>
      <c r="H21" s="3"/>
      <c r="I21" s="3" t="s">
        <v>21</v>
      </c>
      <c r="J21" s="3" t="s">
        <v>84</v>
      </c>
      <c r="K21" s="3" t="s">
        <v>48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">
      <c r="A22" s="3" t="s">
        <v>80</v>
      </c>
      <c r="B22" s="3" t="s">
        <v>81</v>
      </c>
      <c r="C22" s="3" t="s">
        <v>82</v>
      </c>
      <c r="D22" s="3"/>
      <c r="E22" s="3" t="s">
        <v>29</v>
      </c>
      <c r="F22" s="3" t="s">
        <v>83</v>
      </c>
      <c r="G22" s="3" t="s">
        <v>29</v>
      </c>
      <c r="H22" s="3"/>
      <c r="I22" s="3" t="s">
        <v>21</v>
      </c>
      <c r="J22" s="3" t="s">
        <v>84</v>
      </c>
      <c r="K22" s="3" t="s">
        <v>70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">
      <c r="A23" s="3" t="s">
        <v>85</v>
      </c>
      <c r="B23" s="3" t="s">
        <v>86</v>
      </c>
      <c r="C23" s="3" t="s">
        <v>82</v>
      </c>
      <c r="D23" s="3"/>
      <c r="E23" s="3" t="s">
        <v>29</v>
      </c>
      <c r="F23" s="3" t="s">
        <v>83</v>
      </c>
      <c r="G23" s="3" t="s">
        <v>29</v>
      </c>
      <c r="H23" s="3"/>
      <c r="I23" s="3" t="s">
        <v>21</v>
      </c>
      <c r="J23" s="3" t="s">
        <v>84</v>
      </c>
      <c r="K23" s="3" t="s">
        <v>74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">
      <c r="A24" s="3" t="s">
        <v>85</v>
      </c>
      <c r="B24" s="3" t="s">
        <v>86</v>
      </c>
      <c r="C24" s="3" t="s">
        <v>82</v>
      </c>
      <c r="D24" s="3"/>
      <c r="E24" s="3" t="s">
        <v>29</v>
      </c>
      <c r="F24" s="3" t="s">
        <v>83</v>
      </c>
      <c r="G24" s="3" t="s">
        <v>29</v>
      </c>
      <c r="H24" s="3"/>
      <c r="I24" s="3" t="s">
        <v>21</v>
      </c>
      <c r="J24" s="3" t="s">
        <v>84</v>
      </c>
      <c r="K24" s="3" t="s">
        <v>79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">
      <c r="A25" s="3" t="s">
        <v>48</v>
      </c>
      <c r="B25" s="23" t="s">
        <v>87</v>
      </c>
      <c r="C25" s="3" t="s">
        <v>21</v>
      </c>
      <c r="D25" s="4"/>
      <c r="E25" s="3" t="s">
        <v>29</v>
      </c>
      <c r="F25" s="4" t="s">
        <v>89</v>
      </c>
      <c r="G25" s="3" t="s">
        <v>11</v>
      </c>
      <c r="H25" s="4"/>
      <c r="I25" s="3" t="s">
        <v>11</v>
      </c>
      <c r="J25" s="3" t="s">
        <v>11</v>
      </c>
      <c r="K25" s="4" t="s">
        <v>90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">
      <c r="A26" s="3" t="s">
        <v>48</v>
      </c>
      <c r="B26" s="23" t="s">
        <v>91</v>
      </c>
      <c r="C26" s="3" t="s">
        <v>21</v>
      </c>
      <c r="D26" s="4"/>
      <c r="E26" s="3" t="s">
        <v>29</v>
      </c>
      <c r="F26" s="4" t="s">
        <v>89</v>
      </c>
      <c r="G26" s="3" t="s">
        <v>11</v>
      </c>
      <c r="H26" s="4"/>
      <c r="I26" s="3" t="s">
        <v>11</v>
      </c>
      <c r="J26" s="3" t="s">
        <v>11</v>
      </c>
      <c r="K26" s="4" t="s">
        <v>90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">
      <c r="A27" s="3" t="s">
        <v>48</v>
      </c>
      <c r="B27" s="23" t="s">
        <v>92</v>
      </c>
      <c r="C27" s="3" t="s">
        <v>21</v>
      </c>
      <c r="D27" s="4"/>
      <c r="E27" s="3" t="s">
        <v>29</v>
      </c>
      <c r="F27" s="4" t="s">
        <v>93</v>
      </c>
      <c r="G27" s="3" t="s">
        <v>11</v>
      </c>
      <c r="H27" s="4"/>
      <c r="I27" s="3" t="s">
        <v>11</v>
      </c>
      <c r="J27" s="3" t="s">
        <v>11</v>
      </c>
      <c r="K27" s="4" t="s">
        <v>90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">
      <c r="A28" s="3" t="s">
        <v>48</v>
      </c>
      <c r="B28" s="23" t="s">
        <v>94</v>
      </c>
      <c r="C28" s="3" t="s">
        <v>21</v>
      </c>
      <c r="D28" s="4"/>
      <c r="E28" s="3" t="s">
        <v>29</v>
      </c>
      <c r="F28" s="4" t="s">
        <v>93</v>
      </c>
      <c r="G28" s="3" t="s">
        <v>11</v>
      </c>
      <c r="H28" s="4"/>
      <c r="I28" s="3" t="s">
        <v>11</v>
      </c>
      <c r="J28" s="3" t="s">
        <v>11</v>
      </c>
      <c r="K28" s="4" t="s">
        <v>90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">
      <c r="A29" s="3" t="s">
        <v>70</v>
      </c>
      <c r="B29" s="23" t="s">
        <v>87</v>
      </c>
      <c r="C29" s="3" t="s">
        <v>21</v>
      </c>
      <c r="D29" s="4"/>
      <c r="E29" s="3" t="s">
        <v>29</v>
      </c>
      <c r="F29" s="4" t="s">
        <v>89</v>
      </c>
      <c r="G29" s="3" t="s">
        <v>11</v>
      </c>
      <c r="H29" s="4"/>
      <c r="I29" s="3" t="s">
        <v>11</v>
      </c>
      <c r="J29" s="3" t="s">
        <v>11</v>
      </c>
      <c r="K29" s="4" t="s">
        <v>90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">
      <c r="A30" s="3" t="s">
        <v>70</v>
      </c>
      <c r="B30" s="23" t="s">
        <v>91</v>
      </c>
      <c r="C30" s="3" t="s">
        <v>21</v>
      </c>
      <c r="D30" s="4"/>
      <c r="E30" s="3" t="s">
        <v>29</v>
      </c>
      <c r="F30" s="4" t="s">
        <v>89</v>
      </c>
      <c r="G30" s="3" t="s">
        <v>11</v>
      </c>
      <c r="H30" s="4"/>
      <c r="I30" s="3" t="s">
        <v>11</v>
      </c>
      <c r="J30" s="3" t="s">
        <v>11</v>
      </c>
      <c r="K30" s="4" t="s">
        <v>90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">
      <c r="A31" s="3" t="s">
        <v>70</v>
      </c>
      <c r="B31" s="23" t="s">
        <v>92</v>
      </c>
      <c r="C31" s="3" t="s">
        <v>21</v>
      </c>
      <c r="D31" s="4"/>
      <c r="E31" s="3" t="s">
        <v>29</v>
      </c>
      <c r="F31" s="4" t="s">
        <v>93</v>
      </c>
      <c r="G31" s="3" t="s">
        <v>11</v>
      </c>
      <c r="H31" s="4"/>
      <c r="I31" s="3" t="s">
        <v>11</v>
      </c>
      <c r="J31" s="3" t="s">
        <v>11</v>
      </c>
      <c r="K31" s="4" t="s">
        <v>90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">
      <c r="A32" s="3" t="s">
        <v>70</v>
      </c>
      <c r="B32" s="23" t="s">
        <v>94</v>
      </c>
      <c r="C32" s="3" t="s">
        <v>21</v>
      </c>
      <c r="D32" s="4"/>
      <c r="E32" s="3" t="s">
        <v>29</v>
      </c>
      <c r="F32" s="4" t="s">
        <v>93</v>
      </c>
      <c r="G32" s="3" t="s">
        <v>11</v>
      </c>
      <c r="H32" s="4"/>
      <c r="I32" s="3" t="s">
        <v>11</v>
      </c>
      <c r="J32" s="3" t="s">
        <v>11</v>
      </c>
      <c r="K32" s="4" t="s">
        <v>90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">
      <c r="A33" s="3" t="s">
        <v>74</v>
      </c>
      <c r="B33" s="23" t="s">
        <v>96</v>
      </c>
      <c r="C33" s="3" t="s">
        <v>21</v>
      </c>
      <c r="D33" s="4"/>
      <c r="E33" s="3" t="s">
        <v>29</v>
      </c>
      <c r="F33" s="4" t="s">
        <v>97</v>
      </c>
      <c r="G33" s="3" t="s">
        <v>11</v>
      </c>
      <c r="H33" s="4"/>
      <c r="I33" s="3" t="s">
        <v>11</v>
      </c>
      <c r="J33" s="3" t="s">
        <v>11</v>
      </c>
      <c r="K33" s="4" t="s">
        <v>90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">
      <c r="A34" s="3" t="s">
        <v>74</v>
      </c>
      <c r="B34" s="23" t="s">
        <v>98</v>
      </c>
      <c r="C34" s="3" t="s">
        <v>21</v>
      </c>
      <c r="D34" s="4"/>
      <c r="E34" s="3" t="s">
        <v>29</v>
      </c>
      <c r="F34" s="4" t="s">
        <v>99</v>
      </c>
      <c r="G34" s="3" t="s">
        <v>11</v>
      </c>
      <c r="H34" s="4"/>
      <c r="I34" s="3" t="s">
        <v>11</v>
      </c>
      <c r="J34" s="3" t="s">
        <v>11</v>
      </c>
      <c r="K34" s="4" t="s">
        <v>90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">
      <c r="A35" s="3" t="s">
        <v>79</v>
      </c>
      <c r="B35" s="23" t="s">
        <v>96</v>
      </c>
      <c r="C35" s="3" t="s">
        <v>21</v>
      </c>
      <c r="D35" s="4"/>
      <c r="E35" s="3" t="s">
        <v>29</v>
      </c>
      <c r="F35" s="4" t="s">
        <v>97</v>
      </c>
      <c r="G35" s="3" t="s">
        <v>11</v>
      </c>
      <c r="H35" s="4"/>
      <c r="I35" s="3" t="s">
        <v>11</v>
      </c>
      <c r="J35" s="3" t="s">
        <v>11</v>
      </c>
      <c r="K35" s="4" t="s">
        <v>90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">
      <c r="A36" s="3" t="s">
        <v>79</v>
      </c>
      <c r="B36" s="23" t="s">
        <v>98</v>
      </c>
      <c r="C36" s="3" t="s">
        <v>21</v>
      </c>
      <c r="D36" s="4"/>
      <c r="E36" s="3" t="s">
        <v>29</v>
      </c>
      <c r="F36" s="4" t="s">
        <v>99</v>
      </c>
      <c r="G36" s="3" t="s">
        <v>11</v>
      </c>
      <c r="H36" s="4"/>
      <c r="I36" s="3" t="s">
        <v>11</v>
      </c>
      <c r="J36" s="3" t="s">
        <v>11</v>
      </c>
      <c r="K36" s="4" t="s">
        <v>90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">
      <c r="A37" s="4" t="s">
        <v>100</v>
      </c>
      <c r="B37" s="23" t="s">
        <v>96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">
      <c r="A38" s="4" t="s">
        <v>100</v>
      </c>
      <c r="B38" s="23" t="s">
        <v>98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">
      <c r="A39" s="4" t="s">
        <v>101</v>
      </c>
      <c r="B39" s="3">
        <v>1</v>
      </c>
      <c r="C39" s="4" t="s">
        <v>102</v>
      </c>
      <c r="D39" s="4"/>
      <c r="E39" s="4" t="s">
        <v>102</v>
      </c>
      <c r="F39" s="4" t="s">
        <v>103</v>
      </c>
      <c r="G39" s="4" t="s">
        <v>104</v>
      </c>
      <c r="H39" s="4"/>
      <c r="I39" s="4" t="s">
        <v>22</v>
      </c>
      <c r="J39" s="3">
        <v>1</v>
      </c>
      <c r="K39" s="4" t="s">
        <v>105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">
      <c r="A40" s="4" t="s">
        <v>106</v>
      </c>
      <c r="B40" s="3">
        <v>2</v>
      </c>
      <c r="C40" s="4" t="s">
        <v>102</v>
      </c>
      <c r="D40" s="4"/>
      <c r="E40" s="4" t="s">
        <v>102</v>
      </c>
      <c r="F40" s="4" t="s">
        <v>99</v>
      </c>
      <c r="G40" s="4" t="s">
        <v>104</v>
      </c>
      <c r="H40" s="4"/>
      <c r="I40" s="4" t="s">
        <v>22</v>
      </c>
      <c r="J40" s="3">
        <v>2</v>
      </c>
      <c r="K40" s="4" t="s">
        <v>107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">
      <c r="A41" s="4" t="s">
        <v>108</v>
      </c>
      <c r="B41" s="3">
        <v>3</v>
      </c>
      <c r="C41" s="4" t="s">
        <v>102</v>
      </c>
      <c r="D41" s="4"/>
      <c r="E41" s="4" t="s">
        <v>102</v>
      </c>
      <c r="F41" s="4" t="s">
        <v>109</v>
      </c>
      <c r="G41" s="4" t="s">
        <v>104</v>
      </c>
      <c r="H41" s="4"/>
      <c r="I41" s="4" t="s">
        <v>22</v>
      </c>
      <c r="J41" s="3">
        <v>3</v>
      </c>
      <c r="K41" s="4" t="s">
        <v>110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">
      <c r="A42" s="4" t="s">
        <v>111</v>
      </c>
      <c r="B42" s="3">
        <v>4</v>
      </c>
      <c r="C42" s="4" t="s">
        <v>102</v>
      </c>
      <c r="D42" s="4"/>
      <c r="E42" s="4" t="s">
        <v>102</v>
      </c>
      <c r="F42" s="4" t="s">
        <v>112</v>
      </c>
      <c r="G42" s="4" t="s">
        <v>104</v>
      </c>
      <c r="H42" s="4"/>
      <c r="I42" s="4" t="s">
        <v>22</v>
      </c>
      <c r="J42" s="3">
        <v>4</v>
      </c>
      <c r="K42" s="4" t="s">
        <v>113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">
      <c r="A43" s="4" t="s">
        <v>114</v>
      </c>
      <c r="B43" s="4">
        <v>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">
      <c r="A44" s="4" t="s">
        <v>114</v>
      </c>
      <c r="B44" s="4">
        <v>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">
      <c r="A45" s="4" t="s">
        <v>114</v>
      </c>
      <c r="B45" s="4">
        <v>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">
      <c r="A46" s="4" t="s">
        <v>114</v>
      </c>
      <c r="B46" s="4">
        <v>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">
      <c r="A47" s="4" t="s">
        <v>114</v>
      </c>
      <c r="B47" s="4">
        <v>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">
      <c r="A48" s="4" t="s">
        <v>114</v>
      </c>
      <c r="B48" s="4">
        <v>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">
      <c r="A49" s="4" t="s">
        <v>114</v>
      </c>
      <c r="B49" s="4">
        <v>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">
      <c r="A50" s="4" t="s">
        <v>114</v>
      </c>
      <c r="B50" s="4">
        <v>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">
      <c r="A51" s="4" t="s">
        <v>114</v>
      </c>
      <c r="B51" s="4">
        <v>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F1" workbookViewId="0">
      <selection activeCell="D39" sqref="D39"/>
    </sheetView>
  </sheetViews>
  <sheetFormatPr baseColWidth="10" defaultColWidth="14.5" defaultRowHeight="15" customHeight="1" x14ac:dyDescent="0.2"/>
  <cols>
    <col min="1" max="4" width="14.6640625" customWidth="1"/>
    <col min="5" max="5" width="4.6640625" customWidth="1"/>
    <col min="6" max="8" width="14.6640625" customWidth="1"/>
    <col min="9" max="9" width="4.6640625" customWidth="1"/>
    <col min="10" max="14" width="14.6640625" customWidth="1"/>
    <col min="15" max="15" width="4.6640625" customWidth="1"/>
    <col min="16" max="20" width="14.6640625" customWidth="1"/>
    <col min="21" max="26" width="10.6640625" customWidth="1"/>
  </cols>
  <sheetData>
    <row r="1" spans="1:26" ht="27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3"/>
      <c r="B3" s="3"/>
      <c r="C3" s="5"/>
      <c r="D3" s="5"/>
      <c r="E3" s="5"/>
      <c r="F3" s="3"/>
      <c r="G3" s="3"/>
      <c r="H3" s="3"/>
      <c r="I3" s="3"/>
      <c r="J3" s="7" t="s">
        <v>18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">
      <c r="A4" s="7" t="s">
        <v>30</v>
      </c>
      <c r="B4" s="3"/>
      <c r="C4" s="3"/>
      <c r="D4" s="3"/>
      <c r="E4" s="3"/>
      <c r="F4" s="7" t="s">
        <v>31</v>
      </c>
      <c r="G4" s="3"/>
      <c r="H4" s="3"/>
      <c r="I4" s="3"/>
      <c r="J4" s="9" t="s">
        <v>32</v>
      </c>
      <c r="K4" s="9" t="s">
        <v>34</v>
      </c>
      <c r="L4" s="9" t="s">
        <v>35</v>
      </c>
      <c r="M4" s="9" t="s">
        <v>36</v>
      </c>
      <c r="N4" s="9" t="s">
        <v>37</v>
      </c>
      <c r="O4" s="3"/>
      <c r="P4" s="7" t="s">
        <v>38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">
      <c r="A5" s="9" t="s">
        <v>39</v>
      </c>
      <c r="B5" s="9" t="s">
        <v>32</v>
      </c>
      <c r="C5" s="9" t="s">
        <v>40</v>
      </c>
      <c r="D5" s="9" t="s">
        <v>41</v>
      </c>
      <c r="E5" s="3"/>
      <c r="F5" s="9" t="s">
        <v>32</v>
      </c>
      <c r="G5" s="9" t="s">
        <v>40</v>
      </c>
      <c r="H5" s="9" t="s">
        <v>41</v>
      </c>
      <c r="I5" s="3"/>
      <c r="J5" s="12" t="s">
        <v>43</v>
      </c>
      <c r="K5" s="12" t="s">
        <v>50</v>
      </c>
      <c r="L5" s="12" t="s">
        <v>51</v>
      </c>
      <c r="M5" s="12" t="s">
        <v>52</v>
      </c>
      <c r="N5" s="12" t="s">
        <v>53</v>
      </c>
      <c r="O5" s="3"/>
      <c r="P5" s="9" t="s">
        <v>54</v>
      </c>
      <c r="Q5" s="9" t="s">
        <v>55</v>
      </c>
      <c r="R5" s="12" t="s">
        <v>56</v>
      </c>
      <c r="S5" s="9" t="s">
        <v>57</v>
      </c>
      <c r="T5" s="9" t="s">
        <v>58</v>
      </c>
      <c r="U5" s="3"/>
      <c r="V5" s="3"/>
      <c r="W5" s="3"/>
      <c r="X5" s="3"/>
      <c r="Y5" s="3"/>
      <c r="Z5" s="3"/>
    </row>
    <row r="6" spans="1:26" ht="14.25" customHeight="1" x14ac:dyDescent="0.2">
      <c r="A6" s="3"/>
      <c r="B6" s="12" t="s">
        <v>43</v>
      </c>
      <c r="C6" s="12" t="s">
        <v>60</v>
      </c>
      <c r="D6" s="12" t="s">
        <v>51</v>
      </c>
      <c r="E6" s="3"/>
      <c r="F6" s="12" t="s">
        <v>43</v>
      </c>
      <c r="G6" s="12" t="s">
        <v>60</v>
      </c>
      <c r="H6" s="12" t="s">
        <v>51</v>
      </c>
      <c r="I6" s="3"/>
      <c r="J6" s="12" t="s">
        <v>61</v>
      </c>
      <c r="K6" s="12" t="s">
        <v>62</v>
      </c>
      <c r="L6" s="12" t="s">
        <v>63</v>
      </c>
      <c r="M6" s="12" t="s">
        <v>64</v>
      </c>
      <c r="N6" s="12" t="s">
        <v>65</v>
      </c>
      <c r="O6" s="3"/>
      <c r="P6" s="12" t="s">
        <v>67</v>
      </c>
      <c r="Q6" s="12" t="s">
        <v>50</v>
      </c>
      <c r="R6" s="12" t="s">
        <v>68</v>
      </c>
      <c r="S6" s="12" t="s">
        <v>69</v>
      </c>
      <c r="T6" s="12" t="s">
        <v>68</v>
      </c>
      <c r="U6" s="3"/>
      <c r="V6" s="3"/>
      <c r="W6" s="3"/>
      <c r="X6" s="3"/>
      <c r="Y6" s="3"/>
      <c r="Z6" s="3"/>
    </row>
    <row r="7" spans="1:26" ht="14.25" customHeight="1" x14ac:dyDescent="0.2">
      <c r="A7" s="14">
        <v>1</v>
      </c>
      <c r="B7" s="14" t="s">
        <v>73</v>
      </c>
      <c r="C7" s="14" t="s">
        <v>73</v>
      </c>
      <c r="D7" s="14" t="s">
        <v>73</v>
      </c>
      <c r="E7" s="3"/>
      <c r="F7" s="14">
        <f t="shared" ref="F7:F18" si="0">VLOOKUP(B7,Table_AC,2,0)</f>
        <v>85</v>
      </c>
      <c r="G7" s="14">
        <f t="shared" ref="G7:G18" si="1">VLOOKUP(C7,Table_Fac,2,0)</f>
        <v>45</v>
      </c>
      <c r="H7" s="14">
        <f t="shared" ref="H7:H18" si="2">VLOOKUP(D7,Table_Vdim,2,0)</f>
        <v>0</v>
      </c>
      <c r="I7" s="3"/>
      <c r="J7" s="17">
        <v>85</v>
      </c>
      <c r="K7" s="17">
        <v>0.2</v>
      </c>
      <c r="L7" s="18">
        <v>10.08</v>
      </c>
      <c r="M7" s="17">
        <v>0</v>
      </c>
      <c r="N7" s="18">
        <v>0.42</v>
      </c>
      <c r="O7" s="3"/>
      <c r="P7" s="17">
        <f t="shared" ref="P7:P18" si="3">M7/Rshunt</f>
        <v>0</v>
      </c>
      <c r="Q7" s="17">
        <f t="shared" ref="Q7:Q18" si="4">L7*P7/1000</f>
        <v>0</v>
      </c>
      <c r="R7" s="21">
        <f t="shared" ref="R7:R18" si="5">Q7/K7</f>
        <v>0</v>
      </c>
      <c r="S7" s="18">
        <f t="shared" ref="S7:S18" si="6">N7/Rshunt</f>
        <v>8.3999999999999986</v>
      </c>
      <c r="T7" s="21" t="e">
        <f t="shared" ref="T7:T18" si="7">N7/P7</f>
        <v>#DIV/0!</v>
      </c>
      <c r="U7" s="3"/>
      <c r="V7" s="3"/>
      <c r="W7" s="3"/>
      <c r="X7" s="3"/>
      <c r="Y7" s="3"/>
      <c r="Z7" s="3"/>
    </row>
    <row r="8" spans="1:26" ht="14.25" customHeight="1" x14ac:dyDescent="0.2">
      <c r="A8" s="14">
        <v>2</v>
      </c>
      <c r="B8" s="14" t="s">
        <v>73</v>
      </c>
      <c r="C8" s="14" t="s">
        <v>73</v>
      </c>
      <c r="D8" s="14" t="s">
        <v>88</v>
      </c>
      <c r="E8" s="3"/>
      <c r="F8" s="14">
        <f t="shared" si="0"/>
        <v>85</v>
      </c>
      <c r="G8" s="14">
        <f t="shared" si="1"/>
        <v>45</v>
      </c>
      <c r="H8" s="14">
        <f t="shared" si="2"/>
        <v>5</v>
      </c>
      <c r="I8" s="3"/>
      <c r="J8" s="17">
        <v>85</v>
      </c>
      <c r="K8" s="17">
        <v>14.6</v>
      </c>
      <c r="L8" s="18">
        <v>18.39</v>
      </c>
      <c r="M8" s="17">
        <v>31.07</v>
      </c>
      <c r="N8" s="18">
        <v>1.1499999999999999</v>
      </c>
      <c r="O8" s="3"/>
      <c r="P8" s="17">
        <f t="shared" si="3"/>
        <v>621.4</v>
      </c>
      <c r="Q8" s="17">
        <f t="shared" si="4"/>
        <v>11.427546</v>
      </c>
      <c r="R8" s="21">
        <f t="shared" si="5"/>
        <v>0.78270863013698633</v>
      </c>
      <c r="S8" s="18">
        <f t="shared" si="6"/>
        <v>22.999999999999996</v>
      </c>
      <c r="T8" s="21">
        <f t="shared" si="7"/>
        <v>1.8506598004505953E-3</v>
      </c>
      <c r="U8" s="3"/>
      <c r="V8" s="3"/>
      <c r="W8" s="3"/>
      <c r="X8" s="3"/>
      <c r="Y8" s="3"/>
      <c r="Z8" s="3"/>
    </row>
    <row r="9" spans="1:26" ht="14.25" customHeight="1" x14ac:dyDescent="0.2">
      <c r="A9" s="14">
        <v>3</v>
      </c>
      <c r="B9" s="14" t="s">
        <v>73</v>
      </c>
      <c r="C9" s="14" t="s">
        <v>73</v>
      </c>
      <c r="D9" s="14" t="s">
        <v>95</v>
      </c>
      <c r="E9" s="3"/>
      <c r="F9" s="14">
        <f t="shared" si="0"/>
        <v>85</v>
      </c>
      <c r="G9" s="14">
        <f t="shared" si="1"/>
        <v>45</v>
      </c>
      <c r="H9" s="14">
        <f t="shared" si="2"/>
        <v>10</v>
      </c>
      <c r="I9" s="3"/>
      <c r="J9" s="17">
        <v>85</v>
      </c>
      <c r="K9" s="17">
        <v>32</v>
      </c>
      <c r="L9" s="18">
        <v>20.18</v>
      </c>
      <c r="M9" s="17">
        <v>62.3</v>
      </c>
      <c r="N9" s="18">
        <v>1.92</v>
      </c>
      <c r="O9" s="3"/>
      <c r="P9" s="17">
        <f t="shared" si="3"/>
        <v>1245.9999999999998</v>
      </c>
      <c r="Q9" s="17">
        <f t="shared" si="4"/>
        <v>25.144279999999995</v>
      </c>
      <c r="R9" s="21">
        <f t="shared" si="5"/>
        <v>0.78575874999999984</v>
      </c>
      <c r="S9" s="18">
        <f t="shared" si="6"/>
        <v>38.4</v>
      </c>
      <c r="T9" s="21">
        <f t="shared" si="7"/>
        <v>1.5409309791332266E-3</v>
      </c>
      <c r="U9" s="3"/>
      <c r="V9" s="3"/>
      <c r="W9" s="3"/>
      <c r="X9" s="3"/>
      <c r="Y9" s="3"/>
      <c r="Z9" s="3"/>
    </row>
    <row r="10" spans="1:26" ht="14.25" customHeight="1" x14ac:dyDescent="0.2">
      <c r="A10" s="14">
        <v>4</v>
      </c>
      <c r="B10" s="14" t="s">
        <v>73</v>
      </c>
      <c r="C10" s="14" t="s">
        <v>95</v>
      </c>
      <c r="D10" s="14" t="s">
        <v>73</v>
      </c>
      <c r="E10" s="3"/>
      <c r="F10" s="14">
        <f t="shared" si="0"/>
        <v>85</v>
      </c>
      <c r="G10" s="14">
        <f t="shared" si="1"/>
        <v>65</v>
      </c>
      <c r="H10" s="14">
        <f t="shared" si="2"/>
        <v>0</v>
      </c>
      <c r="I10" s="3"/>
      <c r="J10" s="17">
        <v>85</v>
      </c>
      <c r="K10" s="17">
        <v>0.2</v>
      </c>
      <c r="L10" s="18">
        <v>10.06</v>
      </c>
      <c r="M10" s="17">
        <v>0</v>
      </c>
      <c r="N10" s="18">
        <v>0.42</v>
      </c>
      <c r="O10" s="3"/>
      <c r="P10" s="17">
        <f t="shared" si="3"/>
        <v>0</v>
      </c>
      <c r="Q10" s="17">
        <f t="shared" si="4"/>
        <v>0</v>
      </c>
      <c r="R10" s="21">
        <f t="shared" si="5"/>
        <v>0</v>
      </c>
      <c r="S10" s="18">
        <f t="shared" si="6"/>
        <v>8.3999999999999986</v>
      </c>
      <c r="T10" s="21" t="e">
        <f t="shared" si="7"/>
        <v>#DIV/0!</v>
      </c>
      <c r="U10" s="3"/>
      <c r="V10" s="3"/>
      <c r="W10" s="3"/>
      <c r="X10" s="3"/>
      <c r="Y10" s="3"/>
      <c r="Z10" s="3"/>
    </row>
    <row r="11" spans="1:26" ht="14.25" customHeight="1" x14ac:dyDescent="0.2">
      <c r="A11" s="14">
        <v>5</v>
      </c>
      <c r="B11" s="14" t="s">
        <v>73</v>
      </c>
      <c r="C11" s="14" t="s">
        <v>95</v>
      </c>
      <c r="D11" s="14" t="s">
        <v>88</v>
      </c>
      <c r="E11" s="3"/>
      <c r="F11" s="14">
        <f t="shared" si="0"/>
        <v>85</v>
      </c>
      <c r="G11" s="14">
        <f t="shared" si="1"/>
        <v>65</v>
      </c>
      <c r="H11" s="14">
        <f t="shared" si="2"/>
        <v>5</v>
      </c>
      <c r="I11" s="3"/>
      <c r="J11" s="17">
        <v>85</v>
      </c>
      <c r="K11" s="17">
        <v>14.4</v>
      </c>
      <c r="L11" s="18">
        <v>18.39</v>
      </c>
      <c r="M11" s="17">
        <v>31.29</v>
      </c>
      <c r="N11" s="18">
        <v>1.1499999999999999</v>
      </c>
      <c r="O11" s="3"/>
      <c r="P11" s="17">
        <f t="shared" si="3"/>
        <v>625.79999999999995</v>
      </c>
      <c r="Q11" s="17">
        <f t="shared" si="4"/>
        <v>11.508462</v>
      </c>
      <c r="R11" s="21">
        <f t="shared" si="5"/>
        <v>0.79919874999999996</v>
      </c>
      <c r="S11" s="18">
        <f t="shared" si="6"/>
        <v>22.999999999999996</v>
      </c>
      <c r="T11" s="21">
        <f t="shared" si="7"/>
        <v>1.8376478108021732E-3</v>
      </c>
      <c r="U11" s="3"/>
      <c r="V11" s="3"/>
      <c r="W11" s="3"/>
      <c r="X11" s="3"/>
      <c r="Y11" s="3"/>
      <c r="Z11" s="3"/>
    </row>
    <row r="12" spans="1:26" ht="14.25" customHeight="1" x14ac:dyDescent="0.2">
      <c r="A12" s="14">
        <v>6</v>
      </c>
      <c r="B12" s="14" t="s">
        <v>73</v>
      </c>
      <c r="C12" s="14" t="s">
        <v>95</v>
      </c>
      <c r="D12" s="14" t="s">
        <v>95</v>
      </c>
      <c r="E12" s="3"/>
      <c r="F12" s="14">
        <f t="shared" si="0"/>
        <v>85</v>
      </c>
      <c r="G12" s="14">
        <f t="shared" si="1"/>
        <v>65</v>
      </c>
      <c r="H12" s="14">
        <f t="shared" si="2"/>
        <v>10</v>
      </c>
      <c r="I12" s="3"/>
      <c r="J12" s="17">
        <v>85</v>
      </c>
      <c r="K12" s="17">
        <v>31.9</v>
      </c>
      <c r="L12" s="18">
        <v>20.149999999999999</v>
      </c>
      <c r="M12" s="17">
        <v>62.33</v>
      </c>
      <c r="N12" s="18">
        <v>1.9</v>
      </c>
      <c r="O12" s="3"/>
      <c r="P12" s="17">
        <f t="shared" si="3"/>
        <v>1246.5999999999999</v>
      </c>
      <c r="Q12" s="17">
        <f t="shared" si="4"/>
        <v>25.118989999999997</v>
      </c>
      <c r="R12" s="21">
        <f t="shared" si="5"/>
        <v>0.78742915360501564</v>
      </c>
      <c r="S12" s="18">
        <f t="shared" si="6"/>
        <v>37.999999999999993</v>
      </c>
      <c r="T12" s="21">
        <f t="shared" si="7"/>
        <v>1.5241456762393711E-3</v>
      </c>
      <c r="U12" s="3"/>
      <c r="V12" s="3"/>
      <c r="W12" s="3"/>
      <c r="X12" s="3"/>
      <c r="Y12" s="3"/>
      <c r="Z12" s="3"/>
    </row>
    <row r="13" spans="1:26" ht="14.25" customHeight="1" x14ac:dyDescent="0.2">
      <c r="A13" s="14">
        <v>7</v>
      </c>
      <c r="B13" s="14" t="s">
        <v>95</v>
      </c>
      <c r="C13" s="14" t="s">
        <v>73</v>
      </c>
      <c r="D13" s="14" t="s">
        <v>73</v>
      </c>
      <c r="E13" s="3"/>
      <c r="F13" s="14">
        <f t="shared" si="0"/>
        <v>264</v>
      </c>
      <c r="G13" s="14">
        <f t="shared" si="1"/>
        <v>45</v>
      </c>
      <c r="H13" s="14">
        <f t="shared" si="2"/>
        <v>0</v>
      </c>
      <c r="I13" s="3"/>
      <c r="J13" s="17">
        <v>264</v>
      </c>
      <c r="K13" s="17">
        <v>1.1000000000000001</v>
      </c>
      <c r="L13" s="18">
        <v>10.06</v>
      </c>
      <c r="M13" s="17">
        <v>0</v>
      </c>
      <c r="N13" s="18">
        <v>0.41</v>
      </c>
      <c r="O13" s="3"/>
      <c r="P13" s="17">
        <f t="shared" si="3"/>
        <v>0</v>
      </c>
      <c r="Q13" s="17">
        <f t="shared" si="4"/>
        <v>0</v>
      </c>
      <c r="R13" s="21">
        <f t="shared" si="5"/>
        <v>0</v>
      </c>
      <c r="S13" s="18">
        <f t="shared" si="6"/>
        <v>8.1999999999999993</v>
      </c>
      <c r="T13" s="21" t="e">
        <f t="shared" si="7"/>
        <v>#DIV/0!</v>
      </c>
      <c r="U13" s="3"/>
      <c r="V13" s="3"/>
      <c r="W13" s="3"/>
      <c r="X13" s="3"/>
      <c r="Y13" s="3"/>
      <c r="Z13" s="3"/>
    </row>
    <row r="14" spans="1:26" ht="14.25" customHeight="1" x14ac:dyDescent="0.2">
      <c r="A14" s="14">
        <v>8</v>
      </c>
      <c r="B14" s="14" t="s">
        <v>95</v>
      </c>
      <c r="C14" s="14" t="s">
        <v>73</v>
      </c>
      <c r="D14" s="14" t="s">
        <v>88</v>
      </c>
      <c r="E14" s="3"/>
      <c r="F14" s="14">
        <f t="shared" si="0"/>
        <v>264</v>
      </c>
      <c r="G14" s="14">
        <f t="shared" si="1"/>
        <v>45</v>
      </c>
      <c r="H14" s="14">
        <f t="shared" si="2"/>
        <v>5</v>
      </c>
      <c r="I14" s="3"/>
      <c r="J14" s="17">
        <v>264</v>
      </c>
      <c r="K14" s="17">
        <v>15.2</v>
      </c>
      <c r="L14" s="18">
        <v>18.420000000000002</v>
      </c>
      <c r="M14" s="17">
        <v>32.08</v>
      </c>
      <c r="N14" s="18">
        <v>1.37</v>
      </c>
      <c r="O14" s="3"/>
      <c r="P14" s="17">
        <f t="shared" si="3"/>
        <v>641.59999999999991</v>
      </c>
      <c r="Q14" s="17">
        <f t="shared" si="4"/>
        <v>11.818271999999999</v>
      </c>
      <c r="R14" s="21">
        <f t="shared" si="5"/>
        <v>0.77751789473684207</v>
      </c>
      <c r="S14" s="18">
        <f t="shared" si="6"/>
        <v>27.400000000000002</v>
      </c>
      <c r="T14" s="21">
        <f t="shared" si="7"/>
        <v>2.1352867830423945E-3</v>
      </c>
      <c r="U14" s="3"/>
      <c r="V14" s="3"/>
      <c r="W14" s="3"/>
      <c r="X14" s="3"/>
      <c r="Y14" s="3"/>
      <c r="Z14" s="3"/>
    </row>
    <row r="15" spans="1:26" ht="14.25" customHeight="1" x14ac:dyDescent="0.2">
      <c r="A15" s="14">
        <v>9</v>
      </c>
      <c r="B15" s="14" t="s">
        <v>95</v>
      </c>
      <c r="C15" s="14" t="s">
        <v>73</v>
      </c>
      <c r="D15" s="14" t="s">
        <v>95</v>
      </c>
      <c r="E15" s="3"/>
      <c r="F15" s="14">
        <f t="shared" si="0"/>
        <v>264</v>
      </c>
      <c r="G15" s="14">
        <f t="shared" si="1"/>
        <v>45</v>
      </c>
      <c r="H15" s="14">
        <f t="shared" si="2"/>
        <v>10</v>
      </c>
      <c r="I15" s="3"/>
      <c r="J15" s="17">
        <v>264</v>
      </c>
      <c r="K15" s="17">
        <v>30</v>
      </c>
      <c r="L15" s="18">
        <v>20.03</v>
      </c>
      <c r="M15" s="17">
        <v>60.22</v>
      </c>
      <c r="N15" s="18">
        <v>3.19</v>
      </c>
      <c r="O15" s="3"/>
      <c r="P15" s="17">
        <f t="shared" si="3"/>
        <v>1204.3999999999999</v>
      </c>
      <c r="Q15" s="17">
        <f t="shared" si="4"/>
        <v>24.124131999999999</v>
      </c>
      <c r="R15" s="21">
        <f t="shared" si="5"/>
        <v>0.80413773333333327</v>
      </c>
      <c r="S15" s="18">
        <f t="shared" si="6"/>
        <v>63.8</v>
      </c>
      <c r="T15" s="21">
        <f t="shared" si="7"/>
        <v>2.6486217203586849E-3</v>
      </c>
      <c r="U15" s="3"/>
      <c r="V15" s="3"/>
      <c r="W15" s="3"/>
      <c r="X15" s="3"/>
      <c r="Y15" s="3"/>
      <c r="Z15" s="3"/>
    </row>
    <row r="16" spans="1:26" ht="14.25" customHeight="1" x14ac:dyDescent="0.2">
      <c r="A16" s="14">
        <v>10</v>
      </c>
      <c r="B16" s="14" t="s">
        <v>95</v>
      </c>
      <c r="C16" s="14" t="s">
        <v>95</v>
      </c>
      <c r="D16" s="14" t="s">
        <v>73</v>
      </c>
      <c r="E16" s="3"/>
      <c r="F16" s="14">
        <f t="shared" si="0"/>
        <v>264</v>
      </c>
      <c r="G16" s="14">
        <f t="shared" si="1"/>
        <v>65</v>
      </c>
      <c r="H16" s="14">
        <f t="shared" si="2"/>
        <v>0</v>
      </c>
      <c r="I16" s="3"/>
      <c r="J16" s="17">
        <v>264</v>
      </c>
      <c r="K16" s="17">
        <v>1.1000000000000001</v>
      </c>
      <c r="L16" s="18">
        <v>10.07</v>
      </c>
      <c r="M16" s="17">
        <v>0</v>
      </c>
      <c r="N16" s="18">
        <v>0.41</v>
      </c>
      <c r="O16" s="3"/>
      <c r="P16" s="17">
        <f t="shared" si="3"/>
        <v>0</v>
      </c>
      <c r="Q16" s="17">
        <f t="shared" si="4"/>
        <v>0</v>
      </c>
      <c r="R16" s="21">
        <f t="shared" si="5"/>
        <v>0</v>
      </c>
      <c r="S16" s="18">
        <f t="shared" si="6"/>
        <v>8.1999999999999993</v>
      </c>
      <c r="T16" s="21" t="e">
        <f t="shared" si="7"/>
        <v>#DIV/0!</v>
      </c>
      <c r="U16" s="3"/>
      <c r="V16" s="3"/>
      <c r="W16" s="3"/>
      <c r="X16" s="3"/>
      <c r="Y16" s="3"/>
      <c r="Z16" s="3"/>
    </row>
    <row r="17" spans="1:26" ht="14.25" customHeight="1" x14ac:dyDescent="0.2">
      <c r="A17" s="14">
        <v>11</v>
      </c>
      <c r="B17" s="14" t="s">
        <v>95</v>
      </c>
      <c r="C17" s="14" t="s">
        <v>95</v>
      </c>
      <c r="D17" s="14" t="s">
        <v>88</v>
      </c>
      <c r="E17" s="3"/>
      <c r="F17" s="14">
        <f t="shared" si="0"/>
        <v>264</v>
      </c>
      <c r="G17" s="14">
        <f t="shared" si="1"/>
        <v>65</v>
      </c>
      <c r="H17" s="14">
        <f t="shared" si="2"/>
        <v>5</v>
      </c>
      <c r="I17" s="3"/>
      <c r="J17" s="17">
        <v>264</v>
      </c>
      <c r="K17" s="17">
        <v>15</v>
      </c>
      <c r="L17" s="18">
        <v>18.39</v>
      </c>
      <c r="M17" s="17">
        <v>31.68</v>
      </c>
      <c r="N17" s="18">
        <v>1.37</v>
      </c>
      <c r="O17" s="3"/>
      <c r="P17" s="17">
        <f t="shared" si="3"/>
        <v>633.59999999999991</v>
      </c>
      <c r="Q17" s="17">
        <f t="shared" si="4"/>
        <v>11.651903999999998</v>
      </c>
      <c r="R17" s="21">
        <f t="shared" si="5"/>
        <v>0.77679359999999986</v>
      </c>
      <c r="S17" s="18">
        <f t="shared" si="6"/>
        <v>27.400000000000002</v>
      </c>
      <c r="T17" s="21">
        <f t="shared" si="7"/>
        <v>2.1622474747474752E-3</v>
      </c>
      <c r="U17" s="3"/>
      <c r="V17" s="3"/>
      <c r="W17" s="3"/>
      <c r="X17" s="3"/>
      <c r="Y17" s="3"/>
      <c r="Z17" s="3"/>
    </row>
    <row r="18" spans="1:26" ht="14.25" customHeight="1" x14ac:dyDescent="0.2">
      <c r="A18" s="14">
        <v>12</v>
      </c>
      <c r="B18" s="14" t="s">
        <v>95</v>
      </c>
      <c r="C18" s="14" t="s">
        <v>95</v>
      </c>
      <c r="D18" s="14" t="s">
        <v>95</v>
      </c>
      <c r="E18" s="3"/>
      <c r="F18" s="14">
        <f t="shared" si="0"/>
        <v>264</v>
      </c>
      <c r="G18" s="14">
        <f t="shared" si="1"/>
        <v>65</v>
      </c>
      <c r="H18" s="14">
        <f t="shared" si="2"/>
        <v>10</v>
      </c>
      <c r="I18" s="3"/>
      <c r="J18" s="17">
        <v>264</v>
      </c>
      <c r="K18" s="17">
        <v>30</v>
      </c>
      <c r="L18" s="18">
        <v>20.03</v>
      </c>
      <c r="M18" s="17">
        <v>60.38</v>
      </c>
      <c r="N18" s="18">
        <v>3.22</v>
      </c>
      <c r="O18" s="3"/>
      <c r="P18" s="17">
        <f t="shared" si="3"/>
        <v>1207.5999999999999</v>
      </c>
      <c r="Q18" s="17">
        <f t="shared" si="4"/>
        <v>24.188227999999999</v>
      </c>
      <c r="R18" s="21">
        <f t="shared" si="5"/>
        <v>0.80627426666666657</v>
      </c>
      <c r="S18" s="18">
        <f t="shared" si="6"/>
        <v>64.400000000000006</v>
      </c>
      <c r="T18" s="21">
        <f t="shared" si="7"/>
        <v>2.6664458429943695E-3</v>
      </c>
      <c r="U18" s="3"/>
      <c r="V18" s="3"/>
      <c r="W18" s="3"/>
      <c r="X18" s="3"/>
      <c r="Y18" s="3"/>
      <c r="Z18" s="3"/>
    </row>
    <row r="19" spans="1:26" ht="14.25" customHeight="1" x14ac:dyDescent="0.2">
      <c r="A19" s="14"/>
      <c r="B19" s="14"/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14"/>
      <c r="B20" s="14"/>
      <c r="C20" s="1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14"/>
      <c r="B21" s="14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14"/>
      <c r="B22" s="14"/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14"/>
      <c r="B23" s="14"/>
      <c r="C23" s="1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topLeftCell="F1" workbookViewId="0"/>
  </sheetViews>
  <sheetFormatPr baseColWidth="10" defaultColWidth="14.5" defaultRowHeight="15" customHeight="1" x14ac:dyDescent="0.2"/>
  <cols>
    <col min="1" max="4" width="14.6640625" customWidth="1"/>
    <col min="5" max="5" width="4.6640625" customWidth="1"/>
    <col min="6" max="7" width="14.6640625" customWidth="1"/>
    <col min="8" max="8" width="4.6640625" customWidth="1"/>
    <col min="9" max="14" width="14.6640625" customWidth="1"/>
    <col min="15" max="15" width="4.6640625" customWidth="1"/>
    <col min="16" max="21" width="14.6640625" customWidth="1"/>
    <col min="22" max="22" width="4.6640625" customWidth="1"/>
    <col min="23" max="25" width="14.6640625" customWidth="1"/>
    <col min="26" max="26" width="4.6640625" customWidth="1"/>
    <col min="27" max="28" width="14.6640625" customWidth="1"/>
    <col min="29" max="29" width="10.6640625" customWidth="1"/>
  </cols>
  <sheetData>
    <row r="1" spans="1:29" ht="29" customHeight="1" x14ac:dyDescent="0.2">
      <c r="A1" s="1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4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25" customHeight="1" x14ac:dyDescent="0.2">
      <c r="A3" s="3"/>
      <c r="B3" s="3"/>
      <c r="C3" s="5"/>
      <c r="D3" s="5"/>
      <c r="E3" s="5"/>
      <c r="F3" s="3"/>
      <c r="G3" s="3"/>
      <c r="H3" s="3"/>
      <c r="I3" s="7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45" customHeight="1" x14ac:dyDescent="0.2">
      <c r="A4" s="7" t="s">
        <v>30</v>
      </c>
      <c r="B4" s="3"/>
      <c r="C4" s="3"/>
      <c r="D4" s="3"/>
      <c r="E4" s="3"/>
      <c r="F4" s="7" t="s">
        <v>31</v>
      </c>
      <c r="G4" s="3"/>
      <c r="H4" s="3"/>
      <c r="I4" s="9" t="s">
        <v>32</v>
      </c>
      <c r="J4" s="9" t="s">
        <v>34</v>
      </c>
      <c r="K4" s="9" t="s">
        <v>35</v>
      </c>
      <c r="L4" s="9" t="s">
        <v>116</v>
      </c>
      <c r="M4" s="9" t="s">
        <v>117</v>
      </c>
      <c r="N4" s="9" t="s">
        <v>118</v>
      </c>
      <c r="O4" s="3"/>
      <c r="P4" s="7" t="s">
        <v>38</v>
      </c>
      <c r="Q4" s="3"/>
      <c r="R4" s="3"/>
      <c r="S4" s="3"/>
      <c r="T4" s="3"/>
      <c r="U4" s="3"/>
      <c r="V4" s="3"/>
      <c r="W4" s="33" t="s">
        <v>119</v>
      </c>
      <c r="X4" s="34"/>
      <c r="Y4" s="34"/>
      <c r="Z4" s="3"/>
      <c r="AA4" s="33" t="s">
        <v>120</v>
      </c>
      <c r="AB4" s="34"/>
      <c r="AC4" s="34"/>
    </row>
    <row r="5" spans="1:29" ht="14.25" customHeight="1" x14ac:dyDescent="0.2">
      <c r="A5" s="9" t="s">
        <v>39</v>
      </c>
      <c r="B5" s="9" t="s">
        <v>32</v>
      </c>
      <c r="C5" s="9" t="s">
        <v>40</v>
      </c>
      <c r="D5" s="9" t="s">
        <v>41</v>
      </c>
      <c r="E5" s="3"/>
      <c r="F5" s="9" t="s">
        <v>32</v>
      </c>
      <c r="G5" s="9" t="s">
        <v>40</v>
      </c>
      <c r="H5" s="3"/>
      <c r="I5" s="12" t="s">
        <v>43</v>
      </c>
      <c r="J5" s="12" t="s">
        <v>50</v>
      </c>
      <c r="K5" s="12" t="s">
        <v>51</v>
      </c>
      <c r="L5" s="12" t="s">
        <v>51</v>
      </c>
      <c r="M5" s="12" t="s">
        <v>52</v>
      </c>
      <c r="N5" s="12" t="s">
        <v>53</v>
      </c>
      <c r="O5" s="3"/>
      <c r="P5" s="9" t="s">
        <v>121</v>
      </c>
      <c r="Q5" s="9" t="s">
        <v>122</v>
      </c>
      <c r="R5" s="9" t="s">
        <v>123</v>
      </c>
      <c r="S5" s="9" t="s">
        <v>55</v>
      </c>
      <c r="T5" s="12" t="s">
        <v>56</v>
      </c>
      <c r="U5" s="9" t="s">
        <v>58</v>
      </c>
      <c r="V5" s="3"/>
      <c r="W5" s="9" t="s">
        <v>124</v>
      </c>
      <c r="X5" s="9" t="s">
        <v>125</v>
      </c>
      <c r="Y5" s="9" t="s">
        <v>126</v>
      </c>
      <c r="Z5" s="3"/>
      <c r="AA5" s="9" t="s">
        <v>127</v>
      </c>
      <c r="AB5" s="9" t="s">
        <v>126</v>
      </c>
      <c r="AC5" s="3"/>
    </row>
    <row r="6" spans="1:29" ht="14.25" customHeight="1" x14ac:dyDescent="0.2">
      <c r="A6" s="3"/>
      <c r="B6" s="12" t="s">
        <v>43</v>
      </c>
      <c r="C6" s="12" t="s">
        <v>60</v>
      </c>
      <c r="D6" s="12" t="s">
        <v>51</v>
      </c>
      <c r="E6" s="3"/>
      <c r="F6" s="12" t="s">
        <v>43</v>
      </c>
      <c r="G6" s="12" t="s">
        <v>60</v>
      </c>
      <c r="H6" s="3"/>
      <c r="I6" s="12" t="s">
        <v>61</v>
      </c>
      <c r="J6" s="12" t="s">
        <v>62</v>
      </c>
      <c r="K6" s="12" t="s">
        <v>63</v>
      </c>
      <c r="L6" s="12" t="s">
        <v>63</v>
      </c>
      <c r="M6" s="12" t="s">
        <v>64</v>
      </c>
      <c r="N6" s="12" t="s">
        <v>64</v>
      </c>
      <c r="O6" s="3"/>
      <c r="P6" s="12" t="s">
        <v>67</v>
      </c>
      <c r="Q6" s="12" t="s">
        <v>67</v>
      </c>
      <c r="R6" s="12" t="s">
        <v>69</v>
      </c>
      <c r="S6" s="12" t="s">
        <v>50</v>
      </c>
      <c r="T6" s="12" t="s">
        <v>68</v>
      </c>
      <c r="U6" s="12" t="s">
        <v>68</v>
      </c>
      <c r="V6" s="3"/>
      <c r="W6" s="12" t="s">
        <v>67</v>
      </c>
      <c r="X6" s="12" t="s">
        <v>67</v>
      </c>
      <c r="Y6" s="3"/>
      <c r="Z6" s="3"/>
      <c r="AA6" s="12" t="s">
        <v>67</v>
      </c>
      <c r="AB6" s="3"/>
      <c r="AC6" s="3"/>
    </row>
    <row r="7" spans="1:29" ht="14.25" customHeight="1" x14ac:dyDescent="0.2">
      <c r="A7" s="14">
        <v>1</v>
      </c>
      <c r="B7" s="14" t="s">
        <v>128</v>
      </c>
      <c r="C7" s="14" t="s">
        <v>128</v>
      </c>
      <c r="D7" s="14">
        <f>Vdim_00</f>
        <v>0</v>
      </c>
      <c r="E7" s="3"/>
      <c r="F7" s="14">
        <f t="shared" ref="F7:F28" si="0">VLOOKUP(B7,Table_AC,2,0)</f>
        <v>120</v>
      </c>
      <c r="G7" s="14">
        <f t="shared" ref="G7:G28" si="1">VLOOKUP(C7,Table_Fac,2,0)</f>
        <v>60</v>
      </c>
      <c r="H7" s="3"/>
      <c r="I7" s="17">
        <v>119.96</v>
      </c>
      <c r="J7" s="17">
        <v>0.3</v>
      </c>
      <c r="K7" s="18">
        <v>10.08</v>
      </c>
      <c r="L7" s="18">
        <v>0</v>
      </c>
      <c r="M7" s="17">
        <v>0</v>
      </c>
      <c r="N7" s="17">
        <v>0.41</v>
      </c>
      <c r="O7" s="3"/>
      <c r="P7" s="14">
        <f t="shared" ref="P7:P28" si="2">120*L7</f>
        <v>0</v>
      </c>
      <c r="Q7" s="17">
        <f t="shared" ref="Q7:Q28" si="3">M7/Rshunt</f>
        <v>0</v>
      </c>
      <c r="R7" s="17">
        <f t="shared" ref="R7:R28" si="4">N7/(Rshunt*1000)</f>
        <v>8.199999999999999E-3</v>
      </c>
      <c r="S7" s="17">
        <f t="shared" ref="S7:S28" si="5">K7*Q7/1000</f>
        <v>0</v>
      </c>
      <c r="T7" s="21">
        <f t="shared" ref="T7:T28" si="6">S7/J7</f>
        <v>0</v>
      </c>
      <c r="U7" s="21" t="e">
        <f t="shared" ref="U7:U28" si="7">N7/Q7</f>
        <v>#DIV/0!</v>
      </c>
      <c r="V7" s="3"/>
      <c r="W7" s="14">
        <f t="shared" ref="W7:W28" si="8">MAX(0,0.95*120*L7-20)</f>
        <v>0</v>
      </c>
      <c r="X7" s="14">
        <f t="shared" ref="X7:X28" si="9">1.05*120*L7</f>
        <v>0</v>
      </c>
      <c r="Y7" s="14" t="str">
        <f t="shared" ref="Y7:Y28" si="10">IF(AND(Q7&gt;=W7,Q7&lt;=X7),"Pass","Fail")</f>
        <v>Pass</v>
      </c>
      <c r="Z7" s="3"/>
      <c r="AA7" s="17">
        <f t="shared" ref="AA7:AA28" si="11">IF(Q7&lt;=100,0.01*Q7,1)</f>
        <v>0</v>
      </c>
      <c r="AB7" s="14" t="str">
        <f t="shared" ref="AB7:AB28" si="12">IF(R7&lt;=AA7,"Pass","Fail")</f>
        <v>Fail</v>
      </c>
      <c r="AC7" s="3"/>
    </row>
    <row r="8" spans="1:29" ht="14.25" customHeight="1" x14ac:dyDescent="0.2">
      <c r="A8" s="14">
        <v>2</v>
      </c>
      <c r="B8" s="14" t="s">
        <v>128</v>
      </c>
      <c r="C8" s="14" t="s">
        <v>128</v>
      </c>
      <c r="D8" s="14">
        <f>Vdim_01</f>
        <v>1</v>
      </c>
      <c r="E8" s="3"/>
      <c r="F8" s="14">
        <f t="shared" si="0"/>
        <v>120</v>
      </c>
      <c r="G8" s="14">
        <f t="shared" si="1"/>
        <v>60</v>
      </c>
      <c r="H8" s="3"/>
      <c r="I8" s="17">
        <v>119.96</v>
      </c>
      <c r="J8" s="17">
        <v>3.1</v>
      </c>
      <c r="K8" s="18">
        <v>16.46</v>
      </c>
      <c r="L8" s="18">
        <v>1</v>
      </c>
      <c r="M8" s="17">
        <v>6.72</v>
      </c>
      <c r="N8" s="17">
        <v>0.91</v>
      </c>
      <c r="O8" s="3"/>
      <c r="P8" s="14">
        <f t="shared" si="2"/>
        <v>120</v>
      </c>
      <c r="Q8" s="17">
        <f t="shared" si="3"/>
        <v>134.39999999999998</v>
      </c>
      <c r="R8" s="17">
        <f t="shared" si="4"/>
        <v>1.8200000000000001E-2</v>
      </c>
      <c r="S8" s="17">
        <f t="shared" si="5"/>
        <v>2.2122239999999995</v>
      </c>
      <c r="T8" s="21">
        <f t="shared" si="6"/>
        <v>0.7136206451612902</v>
      </c>
      <c r="U8" s="21">
        <f t="shared" si="7"/>
        <v>6.7708333333333344E-3</v>
      </c>
      <c r="V8" s="3"/>
      <c r="W8" s="14">
        <f t="shared" si="8"/>
        <v>94</v>
      </c>
      <c r="X8" s="14">
        <f t="shared" si="9"/>
        <v>126</v>
      </c>
      <c r="Y8" s="14" t="str">
        <f t="shared" si="10"/>
        <v>Fail</v>
      </c>
      <c r="Z8" s="3"/>
      <c r="AA8" s="17">
        <f t="shared" si="11"/>
        <v>1</v>
      </c>
      <c r="AB8" s="14" t="str">
        <f t="shared" si="12"/>
        <v>Pass</v>
      </c>
      <c r="AC8" s="3"/>
    </row>
    <row r="9" spans="1:29" ht="14.25" customHeight="1" x14ac:dyDescent="0.2">
      <c r="A9" s="14">
        <v>3</v>
      </c>
      <c r="B9" s="14" t="s">
        <v>128</v>
      </c>
      <c r="C9" s="14" t="s">
        <v>128</v>
      </c>
      <c r="D9" s="14">
        <f>Vdim_02</f>
        <v>2</v>
      </c>
      <c r="E9" s="3"/>
      <c r="F9" s="14">
        <f t="shared" si="0"/>
        <v>120</v>
      </c>
      <c r="G9" s="14">
        <f t="shared" si="1"/>
        <v>60</v>
      </c>
      <c r="H9" s="3"/>
      <c r="I9" s="17">
        <v>119.96</v>
      </c>
      <c r="J9" s="17">
        <v>5.6</v>
      </c>
      <c r="K9" s="18">
        <v>17.04</v>
      </c>
      <c r="L9" s="18">
        <v>2</v>
      </c>
      <c r="M9" s="17">
        <v>12.79</v>
      </c>
      <c r="N9" s="17">
        <v>0.99</v>
      </c>
      <c r="O9" s="3"/>
      <c r="P9" s="14">
        <f t="shared" si="2"/>
        <v>240</v>
      </c>
      <c r="Q9" s="17">
        <f t="shared" si="3"/>
        <v>255.79999999999998</v>
      </c>
      <c r="R9" s="17">
        <f t="shared" si="4"/>
        <v>1.9799999999999998E-2</v>
      </c>
      <c r="S9" s="17">
        <f t="shared" si="5"/>
        <v>4.3588319999999996</v>
      </c>
      <c r="T9" s="21">
        <f t="shared" si="6"/>
        <v>0.77836285714285713</v>
      </c>
      <c r="U9" s="21">
        <f t="shared" si="7"/>
        <v>3.8702111024237688E-3</v>
      </c>
      <c r="V9" s="3"/>
      <c r="W9" s="14">
        <f t="shared" si="8"/>
        <v>208</v>
      </c>
      <c r="X9" s="14">
        <f t="shared" si="9"/>
        <v>252</v>
      </c>
      <c r="Y9" s="14" t="str">
        <f t="shared" si="10"/>
        <v>Fail</v>
      </c>
      <c r="Z9" s="3"/>
      <c r="AA9" s="17">
        <f t="shared" si="11"/>
        <v>1</v>
      </c>
      <c r="AB9" s="14" t="str">
        <f t="shared" si="12"/>
        <v>Pass</v>
      </c>
      <c r="AC9" s="3"/>
    </row>
    <row r="10" spans="1:29" ht="14.25" customHeight="1" x14ac:dyDescent="0.2">
      <c r="A10" s="14">
        <v>4</v>
      </c>
      <c r="B10" s="14" t="s">
        <v>128</v>
      </c>
      <c r="C10" s="14" t="s">
        <v>128</v>
      </c>
      <c r="D10" s="14">
        <f>Vdim_03</f>
        <v>3</v>
      </c>
      <c r="E10" s="3"/>
      <c r="F10" s="14">
        <f t="shared" si="0"/>
        <v>120</v>
      </c>
      <c r="G10" s="14">
        <f t="shared" si="1"/>
        <v>60</v>
      </c>
      <c r="H10" s="3"/>
      <c r="I10" s="17">
        <v>119.96</v>
      </c>
      <c r="J10" s="17">
        <v>8.5</v>
      </c>
      <c r="K10" s="18">
        <v>17.54</v>
      </c>
      <c r="L10" s="18">
        <v>3</v>
      </c>
      <c r="M10" s="17">
        <v>19.05</v>
      </c>
      <c r="N10" s="17">
        <v>1.05</v>
      </c>
      <c r="O10" s="3"/>
      <c r="P10" s="14">
        <f t="shared" si="2"/>
        <v>360</v>
      </c>
      <c r="Q10" s="17">
        <f t="shared" si="3"/>
        <v>381</v>
      </c>
      <c r="R10" s="17">
        <f t="shared" si="4"/>
        <v>2.1000000000000001E-2</v>
      </c>
      <c r="S10" s="17">
        <f t="shared" si="5"/>
        <v>6.6827399999999999</v>
      </c>
      <c r="T10" s="21">
        <f t="shared" si="6"/>
        <v>0.78620470588235292</v>
      </c>
      <c r="U10" s="21">
        <f t="shared" si="7"/>
        <v>2.7559055118110236E-3</v>
      </c>
      <c r="V10" s="3"/>
      <c r="W10" s="14">
        <f t="shared" si="8"/>
        <v>322</v>
      </c>
      <c r="X10" s="14">
        <f t="shared" si="9"/>
        <v>378</v>
      </c>
      <c r="Y10" s="14" t="str">
        <f t="shared" si="10"/>
        <v>Fail</v>
      </c>
      <c r="Z10" s="3"/>
      <c r="AA10" s="17">
        <f t="shared" si="11"/>
        <v>1</v>
      </c>
      <c r="AB10" s="14" t="str">
        <f t="shared" si="12"/>
        <v>Pass</v>
      </c>
      <c r="AC10" s="3"/>
    </row>
    <row r="11" spans="1:29" ht="14.25" customHeight="1" x14ac:dyDescent="0.2">
      <c r="A11" s="14">
        <v>5</v>
      </c>
      <c r="B11" s="14" t="s">
        <v>128</v>
      </c>
      <c r="C11" s="14" t="s">
        <v>128</v>
      </c>
      <c r="D11" s="14">
        <f>Vdim_04</f>
        <v>4</v>
      </c>
      <c r="E11" s="3"/>
      <c r="F11" s="14">
        <f t="shared" si="0"/>
        <v>120</v>
      </c>
      <c r="G11" s="14">
        <f t="shared" si="1"/>
        <v>60</v>
      </c>
      <c r="H11" s="3"/>
      <c r="I11" s="17">
        <v>119.96</v>
      </c>
      <c r="J11" s="17">
        <v>11.4</v>
      </c>
      <c r="K11" s="18">
        <v>17.98</v>
      </c>
      <c r="L11" s="18">
        <v>4</v>
      </c>
      <c r="M11" s="17">
        <v>25.24</v>
      </c>
      <c r="N11" s="17">
        <v>1.05</v>
      </c>
      <c r="O11" s="3"/>
      <c r="P11" s="14">
        <f t="shared" si="2"/>
        <v>480</v>
      </c>
      <c r="Q11" s="17">
        <f t="shared" si="3"/>
        <v>504.79999999999995</v>
      </c>
      <c r="R11" s="17">
        <f t="shared" si="4"/>
        <v>2.1000000000000001E-2</v>
      </c>
      <c r="S11" s="17">
        <f t="shared" si="5"/>
        <v>9.0763040000000004</v>
      </c>
      <c r="T11" s="21">
        <f t="shared" si="6"/>
        <v>0.79616701754385966</v>
      </c>
      <c r="U11" s="21">
        <f t="shared" si="7"/>
        <v>2.080031695721078E-3</v>
      </c>
      <c r="V11" s="3"/>
      <c r="W11" s="14">
        <f t="shared" si="8"/>
        <v>436</v>
      </c>
      <c r="X11" s="14">
        <f t="shared" si="9"/>
        <v>504</v>
      </c>
      <c r="Y11" s="14" t="str">
        <f t="shared" si="10"/>
        <v>Fail</v>
      </c>
      <c r="Z11" s="3"/>
      <c r="AA11" s="17">
        <f t="shared" si="11"/>
        <v>1</v>
      </c>
      <c r="AB11" s="14" t="str">
        <f t="shared" si="12"/>
        <v>Pass</v>
      </c>
      <c r="AC11" s="3"/>
    </row>
    <row r="12" spans="1:29" ht="14.25" customHeight="1" x14ac:dyDescent="0.2">
      <c r="A12" s="14">
        <v>6</v>
      </c>
      <c r="B12" s="14" t="s">
        <v>128</v>
      </c>
      <c r="C12" s="14" t="s">
        <v>128</v>
      </c>
      <c r="D12" s="14">
        <f>Vdim_05</f>
        <v>5</v>
      </c>
      <c r="E12" s="3"/>
      <c r="F12" s="14">
        <f t="shared" si="0"/>
        <v>120</v>
      </c>
      <c r="G12" s="14">
        <f t="shared" si="1"/>
        <v>60</v>
      </c>
      <c r="H12" s="3"/>
      <c r="I12" s="17">
        <v>119.96</v>
      </c>
      <c r="J12" s="17">
        <v>14.1</v>
      </c>
      <c r="K12" s="18">
        <v>18.36</v>
      </c>
      <c r="L12" s="18">
        <v>5</v>
      </c>
      <c r="M12" s="17">
        <v>31.03</v>
      </c>
      <c r="N12" s="17">
        <v>1.1399999999999999</v>
      </c>
      <c r="O12" s="3"/>
      <c r="P12" s="14">
        <f t="shared" si="2"/>
        <v>600</v>
      </c>
      <c r="Q12" s="17">
        <f t="shared" si="3"/>
        <v>620.6</v>
      </c>
      <c r="R12" s="17">
        <f t="shared" si="4"/>
        <v>2.2799999999999997E-2</v>
      </c>
      <c r="S12" s="17">
        <f t="shared" si="5"/>
        <v>11.394216</v>
      </c>
      <c r="T12" s="21">
        <f t="shared" si="6"/>
        <v>0.80810042553191497</v>
      </c>
      <c r="U12" s="21">
        <f t="shared" si="7"/>
        <v>1.8369320012890749E-3</v>
      </c>
      <c r="V12" s="3"/>
      <c r="W12" s="14">
        <f t="shared" si="8"/>
        <v>550</v>
      </c>
      <c r="X12" s="14">
        <f t="shared" si="9"/>
        <v>630</v>
      </c>
      <c r="Y12" s="14" t="str">
        <f t="shared" si="10"/>
        <v>Pass</v>
      </c>
      <c r="Z12" s="3"/>
      <c r="AA12" s="17">
        <f t="shared" si="11"/>
        <v>1</v>
      </c>
      <c r="AB12" s="14" t="str">
        <f t="shared" si="12"/>
        <v>Pass</v>
      </c>
      <c r="AC12" s="3"/>
    </row>
    <row r="13" spans="1:29" ht="14.25" customHeight="1" x14ac:dyDescent="0.2">
      <c r="A13" s="14">
        <v>7</v>
      </c>
      <c r="B13" s="14" t="s">
        <v>128</v>
      </c>
      <c r="C13" s="14" t="s">
        <v>128</v>
      </c>
      <c r="D13" s="14">
        <f>Vdim_06</f>
        <v>6</v>
      </c>
      <c r="E13" s="3"/>
      <c r="F13" s="14">
        <f t="shared" si="0"/>
        <v>120</v>
      </c>
      <c r="G13" s="14">
        <f t="shared" si="1"/>
        <v>60</v>
      </c>
      <c r="H13" s="3"/>
      <c r="I13" s="17">
        <v>119.96</v>
      </c>
      <c r="J13" s="17">
        <v>17.100000000000001</v>
      </c>
      <c r="K13" s="18">
        <v>18.73</v>
      </c>
      <c r="L13" s="18">
        <v>6</v>
      </c>
      <c r="M13" s="17">
        <v>37.1</v>
      </c>
      <c r="N13" s="17">
        <v>1.27</v>
      </c>
      <c r="O13" s="3"/>
      <c r="P13" s="14">
        <f t="shared" si="2"/>
        <v>720</v>
      </c>
      <c r="Q13" s="17">
        <f t="shared" si="3"/>
        <v>742</v>
      </c>
      <c r="R13" s="17">
        <f t="shared" si="4"/>
        <v>2.5399999999999999E-2</v>
      </c>
      <c r="S13" s="17">
        <f t="shared" si="5"/>
        <v>13.89766</v>
      </c>
      <c r="T13" s="21">
        <f t="shared" si="6"/>
        <v>0.81272865497076019</v>
      </c>
      <c r="U13" s="21">
        <f t="shared" si="7"/>
        <v>1.7115902964959569E-3</v>
      </c>
      <c r="V13" s="3"/>
      <c r="W13" s="14">
        <f t="shared" si="8"/>
        <v>664</v>
      </c>
      <c r="X13" s="14">
        <f t="shared" si="9"/>
        <v>756</v>
      </c>
      <c r="Y13" s="14" t="str">
        <f t="shared" si="10"/>
        <v>Pass</v>
      </c>
      <c r="Z13" s="3"/>
      <c r="AA13" s="17">
        <f t="shared" si="11"/>
        <v>1</v>
      </c>
      <c r="AB13" s="14" t="str">
        <f t="shared" si="12"/>
        <v>Pass</v>
      </c>
      <c r="AC13" s="3"/>
    </row>
    <row r="14" spans="1:29" ht="14.25" customHeight="1" x14ac:dyDescent="0.2">
      <c r="A14" s="14">
        <v>8</v>
      </c>
      <c r="B14" s="14" t="s">
        <v>128</v>
      </c>
      <c r="C14" s="14" t="s">
        <v>128</v>
      </c>
      <c r="D14" s="14">
        <f>Vdim_07</f>
        <v>7</v>
      </c>
      <c r="E14" s="3"/>
      <c r="F14" s="14">
        <f t="shared" si="0"/>
        <v>120</v>
      </c>
      <c r="G14" s="14">
        <f t="shared" si="1"/>
        <v>60</v>
      </c>
      <c r="H14" s="3"/>
      <c r="I14" s="17">
        <v>119.96</v>
      </c>
      <c r="J14" s="17">
        <v>20.2</v>
      </c>
      <c r="K14" s="18">
        <v>19.09</v>
      </c>
      <c r="L14" s="18">
        <v>7</v>
      </c>
      <c r="M14" s="17">
        <v>43.24</v>
      </c>
      <c r="N14" s="17">
        <v>1.47</v>
      </c>
      <c r="O14" s="3"/>
      <c r="P14" s="14">
        <f t="shared" si="2"/>
        <v>840</v>
      </c>
      <c r="Q14" s="17">
        <f t="shared" si="3"/>
        <v>864.8</v>
      </c>
      <c r="R14" s="17">
        <f t="shared" si="4"/>
        <v>2.9399999999999999E-2</v>
      </c>
      <c r="S14" s="17">
        <f t="shared" si="5"/>
        <v>16.509031999999998</v>
      </c>
      <c r="T14" s="21">
        <f t="shared" si="6"/>
        <v>0.81727881188118801</v>
      </c>
      <c r="U14" s="21">
        <f t="shared" si="7"/>
        <v>1.6998149861239594E-3</v>
      </c>
      <c r="V14" s="3"/>
      <c r="W14" s="14">
        <f t="shared" si="8"/>
        <v>778</v>
      </c>
      <c r="X14" s="14">
        <f t="shared" si="9"/>
        <v>882</v>
      </c>
      <c r="Y14" s="14" t="str">
        <f t="shared" si="10"/>
        <v>Pass</v>
      </c>
      <c r="Z14" s="3"/>
      <c r="AA14" s="17">
        <f t="shared" si="11"/>
        <v>1</v>
      </c>
      <c r="AB14" s="14" t="str">
        <f t="shared" si="12"/>
        <v>Pass</v>
      </c>
      <c r="AC14" s="3"/>
    </row>
    <row r="15" spans="1:29" ht="14.25" customHeight="1" x14ac:dyDescent="0.2">
      <c r="A15" s="14">
        <v>9</v>
      </c>
      <c r="B15" s="14" t="s">
        <v>128</v>
      </c>
      <c r="C15" s="14" t="s">
        <v>128</v>
      </c>
      <c r="D15" s="14">
        <f>Vdim_08</f>
        <v>8</v>
      </c>
      <c r="E15" s="3"/>
      <c r="F15" s="14">
        <f t="shared" si="0"/>
        <v>120</v>
      </c>
      <c r="G15" s="14">
        <f t="shared" si="1"/>
        <v>60</v>
      </c>
      <c r="H15" s="3"/>
      <c r="I15" s="17">
        <v>119.96</v>
      </c>
      <c r="J15" s="17">
        <v>23.1</v>
      </c>
      <c r="K15" s="18">
        <v>19.399999999999999</v>
      </c>
      <c r="L15" s="18">
        <v>8</v>
      </c>
      <c r="M15" s="17">
        <v>48.81</v>
      </c>
      <c r="N15" s="17">
        <v>1.74</v>
      </c>
      <c r="O15" s="3"/>
      <c r="P15" s="14">
        <f t="shared" si="2"/>
        <v>960</v>
      </c>
      <c r="Q15" s="17">
        <f t="shared" si="3"/>
        <v>976.2</v>
      </c>
      <c r="R15" s="17">
        <f t="shared" si="4"/>
        <v>3.4799999999999998E-2</v>
      </c>
      <c r="S15" s="17">
        <f t="shared" si="5"/>
        <v>18.938279999999999</v>
      </c>
      <c r="T15" s="21">
        <f t="shared" si="6"/>
        <v>0.81983896103896092</v>
      </c>
      <c r="U15" s="21">
        <f t="shared" si="7"/>
        <v>1.7824216349108788E-3</v>
      </c>
      <c r="V15" s="3"/>
      <c r="W15" s="14">
        <f t="shared" si="8"/>
        <v>892</v>
      </c>
      <c r="X15" s="14">
        <f t="shared" si="9"/>
        <v>1008</v>
      </c>
      <c r="Y15" s="14" t="str">
        <f t="shared" si="10"/>
        <v>Pass</v>
      </c>
      <c r="Z15" s="3"/>
      <c r="AA15" s="17">
        <f t="shared" si="11"/>
        <v>1</v>
      </c>
      <c r="AB15" s="14" t="str">
        <f t="shared" si="12"/>
        <v>Pass</v>
      </c>
      <c r="AC15" s="3"/>
    </row>
    <row r="16" spans="1:29" ht="14.25" customHeight="1" x14ac:dyDescent="0.2">
      <c r="A16" s="14">
        <v>10</v>
      </c>
      <c r="B16" s="14" t="s">
        <v>128</v>
      </c>
      <c r="C16" s="14" t="s">
        <v>128</v>
      </c>
      <c r="D16" s="14">
        <f>Vdim_09</f>
        <v>9</v>
      </c>
      <c r="E16" s="3"/>
      <c r="F16" s="14">
        <f t="shared" si="0"/>
        <v>120</v>
      </c>
      <c r="G16" s="14">
        <f t="shared" si="1"/>
        <v>60</v>
      </c>
      <c r="H16" s="3"/>
      <c r="I16" s="17">
        <v>119.96</v>
      </c>
      <c r="J16" s="17">
        <v>26.1</v>
      </c>
      <c r="K16" s="18">
        <v>19.7</v>
      </c>
      <c r="L16" s="18">
        <v>9</v>
      </c>
      <c r="M16" s="17">
        <v>54.28</v>
      </c>
      <c r="N16" s="17">
        <v>2.0499999999999998</v>
      </c>
      <c r="O16" s="3"/>
      <c r="P16" s="14">
        <f t="shared" si="2"/>
        <v>1080</v>
      </c>
      <c r="Q16" s="17">
        <f t="shared" si="3"/>
        <v>1085.5999999999999</v>
      </c>
      <c r="R16" s="17">
        <f t="shared" si="4"/>
        <v>4.0999999999999995E-2</v>
      </c>
      <c r="S16" s="17">
        <f t="shared" si="5"/>
        <v>21.386319999999998</v>
      </c>
      <c r="T16" s="21">
        <f t="shared" si="6"/>
        <v>0.81939923371647494</v>
      </c>
      <c r="U16" s="21">
        <f t="shared" si="7"/>
        <v>1.8883566691230657E-3</v>
      </c>
      <c r="V16" s="3"/>
      <c r="W16" s="14">
        <f t="shared" si="8"/>
        <v>1006</v>
      </c>
      <c r="X16" s="14">
        <f t="shared" si="9"/>
        <v>1134</v>
      </c>
      <c r="Y16" s="14" t="str">
        <f t="shared" si="10"/>
        <v>Pass</v>
      </c>
      <c r="Z16" s="3"/>
      <c r="AA16" s="17">
        <f t="shared" si="11"/>
        <v>1</v>
      </c>
      <c r="AB16" s="14" t="str">
        <f t="shared" si="12"/>
        <v>Pass</v>
      </c>
      <c r="AC16" s="3"/>
    </row>
    <row r="17" spans="1:29" ht="14.25" customHeight="1" x14ac:dyDescent="0.2">
      <c r="A17" s="14">
        <v>11</v>
      </c>
      <c r="B17" s="14" t="s">
        <v>128</v>
      </c>
      <c r="C17" s="14" t="s">
        <v>128</v>
      </c>
      <c r="D17" s="14">
        <f>Vdim_10</f>
        <v>10</v>
      </c>
      <c r="E17" s="3"/>
      <c r="F17" s="14">
        <f t="shared" si="0"/>
        <v>120</v>
      </c>
      <c r="G17" s="14">
        <f t="shared" si="1"/>
        <v>60</v>
      </c>
      <c r="H17" s="3"/>
      <c r="I17" s="17">
        <v>119.96</v>
      </c>
      <c r="J17" s="17">
        <v>28.9</v>
      </c>
      <c r="K17" s="18">
        <v>19.98</v>
      </c>
      <c r="L17" s="18">
        <v>10</v>
      </c>
      <c r="M17" s="17">
        <v>59.5</v>
      </c>
      <c r="N17" s="17">
        <v>2.37</v>
      </c>
      <c r="O17" s="3"/>
      <c r="P17" s="14">
        <f t="shared" si="2"/>
        <v>1200</v>
      </c>
      <c r="Q17" s="17">
        <f t="shared" si="3"/>
        <v>1190</v>
      </c>
      <c r="R17" s="17">
        <f t="shared" si="4"/>
        <v>4.7400000000000005E-2</v>
      </c>
      <c r="S17" s="17">
        <f t="shared" si="5"/>
        <v>23.776199999999999</v>
      </c>
      <c r="T17" s="21">
        <f t="shared" si="6"/>
        <v>0.82270588235294118</v>
      </c>
      <c r="U17" s="21">
        <f t="shared" si="7"/>
        <v>1.9915966386554623E-3</v>
      </c>
      <c r="V17" s="3"/>
      <c r="W17" s="14">
        <f t="shared" si="8"/>
        <v>1120</v>
      </c>
      <c r="X17" s="14">
        <f t="shared" si="9"/>
        <v>1260</v>
      </c>
      <c r="Y17" s="14" t="str">
        <f t="shared" si="10"/>
        <v>Pass</v>
      </c>
      <c r="Z17" s="3"/>
      <c r="AA17" s="17">
        <f t="shared" si="11"/>
        <v>1</v>
      </c>
      <c r="AB17" s="14" t="str">
        <f t="shared" si="12"/>
        <v>Pass</v>
      </c>
      <c r="AC17" s="3"/>
    </row>
    <row r="18" spans="1:29" ht="14.25" customHeight="1" x14ac:dyDescent="0.2">
      <c r="A18" s="14">
        <v>12</v>
      </c>
      <c r="B18" s="14" t="s">
        <v>137</v>
      </c>
      <c r="C18" s="14" t="s">
        <v>137</v>
      </c>
      <c r="D18" s="14">
        <f>Vdim_00</f>
        <v>0</v>
      </c>
      <c r="E18" s="3"/>
      <c r="F18" s="14">
        <f t="shared" si="0"/>
        <v>230</v>
      </c>
      <c r="G18" s="14">
        <f t="shared" si="1"/>
        <v>50</v>
      </c>
      <c r="H18" s="3"/>
      <c r="I18" s="17">
        <v>229.92</v>
      </c>
      <c r="J18" s="17">
        <v>0.8</v>
      </c>
      <c r="K18" s="18">
        <v>10.07</v>
      </c>
      <c r="L18" s="18">
        <v>0</v>
      </c>
      <c r="M18" s="17">
        <v>0</v>
      </c>
      <c r="N18" s="14">
        <v>0.39</v>
      </c>
      <c r="O18" s="3"/>
      <c r="P18" s="14">
        <f t="shared" si="2"/>
        <v>0</v>
      </c>
      <c r="Q18" s="17">
        <f t="shared" si="3"/>
        <v>0</v>
      </c>
      <c r="R18" s="17">
        <f t="shared" si="4"/>
        <v>7.8000000000000005E-3</v>
      </c>
      <c r="S18" s="17">
        <f t="shared" si="5"/>
        <v>0</v>
      </c>
      <c r="T18" s="21">
        <f t="shared" si="6"/>
        <v>0</v>
      </c>
      <c r="U18" s="21" t="e">
        <f t="shared" si="7"/>
        <v>#DIV/0!</v>
      </c>
      <c r="V18" s="3"/>
      <c r="W18" s="14">
        <f t="shared" si="8"/>
        <v>0</v>
      </c>
      <c r="X18" s="14">
        <f t="shared" si="9"/>
        <v>0</v>
      </c>
      <c r="Y18" s="14" t="str">
        <f t="shared" si="10"/>
        <v>Pass</v>
      </c>
      <c r="Z18" s="3"/>
      <c r="AA18" s="17">
        <f t="shared" si="11"/>
        <v>0</v>
      </c>
      <c r="AB18" s="14" t="str">
        <f t="shared" si="12"/>
        <v>Fail</v>
      </c>
      <c r="AC18" s="3"/>
    </row>
    <row r="19" spans="1:29" ht="14.25" customHeight="1" x14ac:dyDescent="0.2">
      <c r="A19" s="14">
        <v>13</v>
      </c>
      <c r="B19" s="14" t="s">
        <v>137</v>
      </c>
      <c r="C19" s="14" t="s">
        <v>137</v>
      </c>
      <c r="D19" s="14">
        <f>Vdim_01</f>
        <v>1</v>
      </c>
      <c r="E19" s="3"/>
      <c r="F19" s="14">
        <f t="shared" si="0"/>
        <v>230</v>
      </c>
      <c r="G19" s="14">
        <f t="shared" si="1"/>
        <v>50</v>
      </c>
      <c r="H19" s="3"/>
      <c r="I19" s="17">
        <v>229.92</v>
      </c>
      <c r="J19" s="17">
        <v>3.6</v>
      </c>
      <c r="K19" s="18">
        <v>16.45</v>
      </c>
      <c r="L19" s="18">
        <v>1</v>
      </c>
      <c r="M19" s="17">
        <v>6.81</v>
      </c>
      <c r="N19" s="14">
        <v>1</v>
      </c>
      <c r="O19" s="3"/>
      <c r="P19" s="14">
        <f t="shared" si="2"/>
        <v>120</v>
      </c>
      <c r="Q19" s="17">
        <f t="shared" si="3"/>
        <v>136.19999999999999</v>
      </c>
      <c r="R19" s="17">
        <f t="shared" si="4"/>
        <v>0.02</v>
      </c>
      <c r="S19" s="17">
        <f t="shared" si="5"/>
        <v>2.2404899999999999</v>
      </c>
      <c r="T19" s="21">
        <f t="shared" si="6"/>
        <v>0.62235833333333324</v>
      </c>
      <c r="U19" s="21">
        <f t="shared" si="7"/>
        <v>7.3421439060205587E-3</v>
      </c>
      <c r="V19" s="3"/>
      <c r="W19" s="14">
        <f t="shared" si="8"/>
        <v>94</v>
      </c>
      <c r="X19" s="14">
        <f t="shared" si="9"/>
        <v>126</v>
      </c>
      <c r="Y19" s="14" t="str">
        <f t="shared" si="10"/>
        <v>Fail</v>
      </c>
      <c r="Z19" s="3"/>
      <c r="AA19" s="17">
        <f t="shared" si="11"/>
        <v>1</v>
      </c>
      <c r="AB19" s="14" t="str">
        <f t="shared" si="12"/>
        <v>Pass</v>
      </c>
      <c r="AC19" s="3"/>
    </row>
    <row r="20" spans="1:29" ht="14.25" customHeight="1" x14ac:dyDescent="0.2">
      <c r="A20" s="14">
        <v>14</v>
      </c>
      <c r="B20" s="14" t="s">
        <v>137</v>
      </c>
      <c r="C20" s="14" t="s">
        <v>137</v>
      </c>
      <c r="D20" s="14">
        <f>Vdim_02</f>
        <v>2</v>
      </c>
      <c r="E20" s="3"/>
      <c r="F20" s="14">
        <f t="shared" si="0"/>
        <v>230</v>
      </c>
      <c r="G20" s="14">
        <f t="shared" si="1"/>
        <v>50</v>
      </c>
      <c r="H20" s="3"/>
      <c r="I20" s="17">
        <v>229.92</v>
      </c>
      <c r="J20" s="17">
        <v>6.2</v>
      </c>
      <c r="K20" s="18">
        <v>17.05</v>
      </c>
      <c r="L20" s="18">
        <v>2</v>
      </c>
      <c r="M20" s="17">
        <v>13.17</v>
      </c>
      <c r="N20" s="14">
        <v>1.1200000000000001</v>
      </c>
      <c r="O20" s="3"/>
      <c r="P20" s="14">
        <f t="shared" si="2"/>
        <v>240</v>
      </c>
      <c r="Q20" s="17">
        <f t="shared" si="3"/>
        <v>263.39999999999998</v>
      </c>
      <c r="R20" s="17">
        <f t="shared" si="4"/>
        <v>2.2400000000000003E-2</v>
      </c>
      <c r="S20" s="17">
        <f t="shared" si="5"/>
        <v>4.490969999999999</v>
      </c>
      <c r="T20" s="21">
        <f t="shared" si="6"/>
        <v>0.72434999999999983</v>
      </c>
      <c r="U20" s="21">
        <f t="shared" si="7"/>
        <v>4.2520880789673511E-3</v>
      </c>
      <c r="V20" s="3"/>
      <c r="W20" s="14">
        <f t="shared" si="8"/>
        <v>208</v>
      </c>
      <c r="X20" s="14">
        <f t="shared" si="9"/>
        <v>252</v>
      </c>
      <c r="Y20" s="14" t="str">
        <f t="shared" si="10"/>
        <v>Fail</v>
      </c>
      <c r="Z20" s="3"/>
      <c r="AA20" s="17">
        <f t="shared" si="11"/>
        <v>1</v>
      </c>
      <c r="AB20" s="14" t="str">
        <f t="shared" si="12"/>
        <v>Pass</v>
      </c>
      <c r="AC20" s="3"/>
    </row>
    <row r="21" spans="1:29" ht="14.25" customHeight="1" x14ac:dyDescent="0.2">
      <c r="A21" s="14">
        <v>15</v>
      </c>
      <c r="B21" s="14" t="s">
        <v>137</v>
      </c>
      <c r="C21" s="14" t="s">
        <v>137</v>
      </c>
      <c r="D21" s="14">
        <f>Vdim_03</f>
        <v>3</v>
      </c>
      <c r="E21" s="3"/>
      <c r="F21" s="14">
        <f t="shared" si="0"/>
        <v>230</v>
      </c>
      <c r="G21" s="14">
        <f t="shared" si="1"/>
        <v>50</v>
      </c>
      <c r="H21" s="3"/>
      <c r="I21" s="17">
        <v>229.92</v>
      </c>
      <c r="J21" s="17">
        <v>9.1</v>
      </c>
      <c r="K21" s="18">
        <v>17.559999999999999</v>
      </c>
      <c r="L21" s="18">
        <v>3</v>
      </c>
      <c r="M21" s="17">
        <v>19.68</v>
      </c>
      <c r="N21" s="14">
        <v>1.19</v>
      </c>
      <c r="O21" s="3"/>
      <c r="P21" s="14">
        <f t="shared" si="2"/>
        <v>360</v>
      </c>
      <c r="Q21" s="17">
        <f t="shared" si="3"/>
        <v>393.59999999999997</v>
      </c>
      <c r="R21" s="17">
        <f t="shared" si="4"/>
        <v>2.3799999999999998E-2</v>
      </c>
      <c r="S21" s="17">
        <f t="shared" si="5"/>
        <v>6.9116159999999986</v>
      </c>
      <c r="T21" s="21">
        <f t="shared" si="6"/>
        <v>0.75951824175824167</v>
      </c>
      <c r="U21" s="21">
        <f t="shared" si="7"/>
        <v>3.0233739837398376E-3</v>
      </c>
      <c r="V21" s="3"/>
      <c r="W21" s="14">
        <f t="shared" si="8"/>
        <v>322</v>
      </c>
      <c r="X21" s="14">
        <f t="shared" si="9"/>
        <v>378</v>
      </c>
      <c r="Y21" s="14" t="str">
        <f t="shared" si="10"/>
        <v>Fail</v>
      </c>
      <c r="Z21" s="3"/>
      <c r="AA21" s="17">
        <f t="shared" si="11"/>
        <v>1</v>
      </c>
      <c r="AB21" s="14" t="str">
        <f t="shared" si="12"/>
        <v>Pass</v>
      </c>
      <c r="AC21" s="3"/>
    </row>
    <row r="22" spans="1:29" ht="14.25" customHeight="1" x14ac:dyDescent="0.2">
      <c r="A22" s="14">
        <v>16</v>
      </c>
      <c r="B22" s="14" t="s">
        <v>137</v>
      </c>
      <c r="C22" s="14" t="s">
        <v>137</v>
      </c>
      <c r="D22" s="14">
        <f>Vdim_04</f>
        <v>4</v>
      </c>
      <c r="E22" s="3"/>
      <c r="F22" s="14">
        <f t="shared" si="0"/>
        <v>230</v>
      </c>
      <c r="G22" s="14">
        <f t="shared" si="1"/>
        <v>50</v>
      </c>
      <c r="H22" s="3"/>
      <c r="I22" s="17">
        <v>229.92</v>
      </c>
      <c r="J22" s="17">
        <v>11.9</v>
      </c>
      <c r="K22" s="18">
        <v>17.989999999999998</v>
      </c>
      <c r="L22" s="18">
        <v>4</v>
      </c>
      <c r="M22" s="17">
        <v>25.74</v>
      </c>
      <c r="N22" s="14">
        <v>1.19</v>
      </c>
      <c r="O22" s="3"/>
      <c r="P22" s="14">
        <f t="shared" si="2"/>
        <v>480</v>
      </c>
      <c r="Q22" s="17">
        <f t="shared" si="3"/>
        <v>514.79999999999995</v>
      </c>
      <c r="R22" s="17">
        <f t="shared" si="4"/>
        <v>2.3799999999999998E-2</v>
      </c>
      <c r="S22" s="17">
        <f t="shared" si="5"/>
        <v>9.2612519999999989</v>
      </c>
      <c r="T22" s="21">
        <f t="shared" si="6"/>
        <v>0.77825647058823522</v>
      </c>
      <c r="U22" s="21">
        <f t="shared" si="7"/>
        <v>2.3115773115773117E-3</v>
      </c>
      <c r="V22" s="3"/>
      <c r="W22" s="14">
        <f t="shared" si="8"/>
        <v>436</v>
      </c>
      <c r="X22" s="14">
        <f t="shared" si="9"/>
        <v>504</v>
      </c>
      <c r="Y22" s="14" t="str">
        <f t="shared" si="10"/>
        <v>Fail</v>
      </c>
      <c r="Z22" s="3"/>
      <c r="AA22" s="17">
        <f t="shared" si="11"/>
        <v>1</v>
      </c>
      <c r="AB22" s="14" t="str">
        <f t="shared" si="12"/>
        <v>Pass</v>
      </c>
      <c r="AC22" s="3"/>
    </row>
    <row r="23" spans="1:29" ht="14.25" customHeight="1" x14ac:dyDescent="0.2">
      <c r="A23" s="14">
        <v>17</v>
      </c>
      <c r="B23" s="14" t="s">
        <v>137</v>
      </c>
      <c r="C23" s="14" t="s">
        <v>137</v>
      </c>
      <c r="D23" s="14">
        <f>Vdim_05</f>
        <v>5</v>
      </c>
      <c r="E23" s="3"/>
      <c r="F23" s="14">
        <f t="shared" si="0"/>
        <v>230</v>
      </c>
      <c r="G23" s="14">
        <f t="shared" si="1"/>
        <v>50</v>
      </c>
      <c r="H23" s="3"/>
      <c r="I23" s="17">
        <v>229.92</v>
      </c>
      <c r="J23" s="17">
        <v>14.7</v>
      </c>
      <c r="K23" s="18">
        <v>18.37</v>
      </c>
      <c r="L23" s="18">
        <v>5</v>
      </c>
      <c r="M23" s="17">
        <v>31.69</v>
      </c>
      <c r="N23" s="14">
        <v>1.25</v>
      </c>
      <c r="O23" s="3"/>
      <c r="P23" s="14">
        <f t="shared" si="2"/>
        <v>600</v>
      </c>
      <c r="Q23" s="17">
        <f t="shared" si="3"/>
        <v>633.79999999999995</v>
      </c>
      <c r="R23" s="17">
        <f t="shared" si="4"/>
        <v>2.5000000000000001E-2</v>
      </c>
      <c r="S23" s="17">
        <f t="shared" si="5"/>
        <v>11.642905999999998</v>
      </c>
      <c r="T23" s="21">
        <f t="shared" si="6"/>
        <v>0.79203442176870742</v>
      </c>
      <c r="U23" s="21">
        <f t="shared" si="7"/>
        <v>1.9722309876932789E-3</v>
      </c>
      <c r="V23" s="3"/>
      <c r="W23" s="14">
        <f t="shared" si="8"/>
        <v>550</v>
      </c>
      <c r="X23" s="14">
        <f t="shared" si="9"/>
        <v>630</v>
      </c>
      <c r="Y23" s="14" t="str">
        <f t="shared" si="10"/>
        <v>Fail</v>
      </c>
      <c r="Z23" s="3"/>
      <c r="AA23" s="17">
        <f t="shared" si="11"/>
        <v>1</v>
      </c>
      <c r="AB23" s="14" t="str">
        <f t="shared" si="12"/>
        <v>Pass</v>
      </c>
      <c r="AC23" s="3"/>
    </row>
    <row r="24" spans="1:29" ht="14.25" customHeight="1" x14ac:dyDescent="0.2">
      <c r="A24" s="14">
        <v>18</v>
      </c>
      <c r="B24" s="14" t="s">
        <v>137</v>
      </c>
      <c r="C24" s="14" t="s">
        <v>137</v>
      </c>
      <c r="D24" s="14">
        <f>Vdim_06</f>
        <v>6</v>
      </c>
      <c r="E24" s="3"/>
      <c r="F24" s="14">
        <f t="shared" si="0"/>
        <v>230</v>
      </c>
      <c r="G24" s="14">
        <f t="shared" si="1"/>
        <v>50</v>
      </c>
      <c r="H24" s="3"/>
      <c r="I24" s="17">
        <v>229.92</v>
      </c>
      <c r="J24" s="17">
        <v>17.600000000000001</v>
      </c>
      <c r="K24" s="18">
        <v>18.73</v>
      </c>
      <c r="L24" s="18">
        <v>6</v>
      </c>
      <c r="M24" s="17">
        <v>37.450000000000003</v>
      </c>
      <c r="N24" s="14">
        <v>1.4</v>
      </c>
      <c r="O24" s="3"/>
      <c r="P24" s="14">
        <f t="shared" si="2"/>
        <v>720</v>
      </c>
      <c r="Q24" s="17">
        <f t="shared" si="3"/>
        <v>749</v>
      </c>
      <c r="R24" s="17">
        <f t="shared" si="4"/>
        <v>2.7999999999999997E-2</v>
      </c>
      <c r="S24" s="17">
        <f t="shared" si="5"/>
        <v>14.02877</v>
      </c>
      <c r="T24" s="21">
        <f t="shared" si="6"/>
        <v>0.79708920454545451</v>
      </c>
      <c r="U24" s="21">
        <f t="shared" si="7"/>
        <v>1.8691588785046728E-3</v>
      </c>
      <c r="V24" s="3"/>
      <c r="W24" s="14">
        <f t="shared" si="8"/>
        <v>664</v>
      </c>
      <c r="X24" s="14">
        <f t="shared" si="9"/>
        <v>756</v>
      </c>
      <c r="Y24" s="14" t="str">
        <f t="shared" si="10"/>
        <v>Pass</v>
      </c>
      <c r="Z24" s="3"/>
      <c r="AA24" s="17">
        <f t="shared" si="11"/>
        <v>1</v>
      </c>
      <c r="AB24" s="14" t="str">
        <f t="shared" si="12"/>
        <v>Pass</v>
      </c>
      <c r="AC24" s="3"/>
    </row>
    <row r="25" spans="1:29" ht="14.25" customHeight="1" x14ac:dyDescent="0.2">
      <c r="A25" s="14">
        <v>19</v>
      </c>
      <c r="B25" s="14" t="s">
        <v>137</v>
      </c>
      <c r="C25" s="14" t="s">
        <v>137</v>
      </c>
      <c r="D25" s="14">
        <f>Vdim_07</f>
        <v>7</v>
      </c>
      <c r="E25" s="3"/>
      <c r="F25" s="14">
        <f t="shared" si="0"/>
        <v>230</v>
      </c>
      <c r="G25" s="14">
        <f t="shared" si="1"/>
        <v>50</v>
      </c>
      <c r="H25" s="3"/>
      <c r="I25" s="17">
        <v>229.92</v>
      </c>
      <c r="J25" s="17">
        <v>20.9</v>
      </c>
      <c r="K25" s="18">
        <v>19.11</v>
      </c>
      <c r="L25" s="18">
        <v>7</v>
      </c>
      <c r="M25" s="17">
        <v>43.93</v>
      </c>
      <c r="N25" s="14">
        <v>1.63</v>
      </c>
      <c r="O25" s="3"/>
      <c r="P25" s="14">
        <f t="shared" si="2"/>
        <v>840</v>
      </c>
      <c r="Q25" s="17">
        <f t="shared" si="3"/>
        <v>878.59999999999991</v>
      </c>
      <c r="R25" s="17">
        <f t="shared" si="4"/>
        <v>3.2599999999999997E-2</v>
      </c>
      <c r="S25" s="17">
        <f t="shared" si="5"/>
        <v>16.790045999999997</v>
      </c>
      <c r="T25" s="21">
        <f t="shared" si="6"/>
        <v>0.80335148325358841</v>
      </c>
      <c r="U25" s="21">
        <f t="shared" si="7"/>
        <v>1.8552242203505578E-3</v>
      </c>
      <c r="V25" s="3"/>
      <c r="W25" s="14">
        <f t="shared" si="8"/>
        <v>778</v>
      </c>
      <c r="X25" s="14">
        <f t="shared" si="9"/>
        <v>882</v>
      </c>
      <c r="Y25" s="14" t="str">
        <f t="shared" si="10"/>
        <v>Pass</v>
      </c>
      <c r="Z25" s="3"/>
      <c r="AA25" s="17">
        <f t="shared" si="11"/>
        <v>1</v>
      </c>
      <c r="AB25" s="14" t="str">
        <f t="shared" si="12"/>
        <v>Pass</v>
      </c>
      <c r="AC25" s="3"/>
    </row>
    <row r="26" spans="1:29" ht="14.25" customHeight="1" x14ac:dyDescent="0.2">
      <c r="A26" s="14">
        <v>20</v>
      </c>
      <c r="B26" s="14" t="s">
        <v>137</v>
      </c>
      <c r="C26" s="14" t="s">
        <v>137</v>
      </c>
      <c r="D26" s="14">
        <f>Vdim_08</f>
        <v>8</v>
      </c>
      <c r="E26" s="3"/>
      <c r="F26" s="14">
        <f t="shared" si="0"/>
        <v>230</v>
      </c>
      <c r="G26" s="14">
        <f t="shared" si="1"/>
        <v>50</v>
      </c>
      <c r="H26" s="3"/>
      <c r="I26" s="17">
        <v>229.92</v>
      </c>
      <c r="J26" s="17">
        <v>23.8</v>
      </c>
      <c r="K26" s="18">
        <v>19.440000000000001</v>
      </c>
      <c r="L26" s="18">
        <v>8</v>
      </c>
      <c r="M26" s="17">
        <v>49.76</v>
      </c>
      <c r="N26" s="14">
        <v>1.93</v>
      </c>
      <c r="O26" s="3"/>
      <c r="P26" s="14">
        <f t="shared" si="2"/>
        <v>960</v>
      </c>
      <c r="Q26" s="17">
        <f t="shared" si="3"/>
        <v>995.19999999999993</v>
      </c>
      <c r="R26" s="17">
        <f t="shared" si="4"/>
        <v>3.8599999999999995E-2</v>
      </c>
      <c r="S26" s="17">
        <f t="shared" si="5"/>
        <v>19.346687999999997</v>
      </c>
      <c r="T26" s="21">
        <f t="shared" si="6"/>
        <v>0.81288605042016793</v>
      </c>
      <c r="U26" s="21">
        <f t="shared" si="7"/>
        <v>1.9393086816720257E-3</v>
      </c>
      <c r="V26" s="3"/>
      <c r="W26" s="14">
        <f t="shared" si="8"/>
        <v>892</v>
      </c>
      <c r="X26" s="14">
        <f t="shared" si="9"/>
        <v>1008</v>
      </c>
      <c r="Y26" s="14" t="str">
        <f t="shared" si="10"/>
        <v>Pass</v>
      </c>
      <c r="Z26" s="3"/>
      <c r="AA26" s="17">
        <f t="shared" si="11"/>
        <v>1</v>
      </c>
      <c r="AB26" s="14" t="str">
        <f t="shared" si="12"/>
        <v>Pass</v>
      </c>
      <c r="AC26" s="3"/>
    </row>
    <row r="27" spans="1:29" ht="14.25" customHeight="1" x14ac:dyDescent="0.2">
      <c r="A27" s="14">
        <v>21</v>
      </c>
      <c r="B27" s="14" t="s">
        <v>137</v>
      </c>
      <c r="C27" s="14" t="s">
        <v>137</v>
      </c>
      <c r="D27" s="14">
        <f>Vdim_09</f>
        <v>9</v>
      </c>
      <c r="E27" s="3"/>
      <c r="F27" s="14">
        <f t="shared" si="0"/>
        <v>230</v>
      </c>
      <c r="G27" s="14">
        <f t="shared" si="1"/>
        <v>50</v>
      </c>
      <c r="H27" s="3"/>
      <c r="I27" s="17">
        <v>229.92</v>
      </c>
      <c r="J27" s="17">
        <v>26.6</v>
      </c>
      <c r="K27" s="18">
        <v>19.73</v>
      </c>
      <c r="L27" s="18">
        <v>9</v>
      </c>
      <c r="M27" s="17">
        <v>55.04</v>
      </c>
      <c r="N27" s="14">
        <v>2.2799999999999998</v>
      </c>
      <c r="O27" s="3"/>
      <c r="P27" s="14">
        <f t="shared" si="2"/>
        <v>1080</v>
      </c>
      <c r="Q27" s="17">
        <f t="shared" si="3"/>
        <v>1100.8</v>
      </c>
      <c r="R27" s="17">
        <f t="shared" si="4"/>
        <v>4.5599999999999995E-2</v>
      </c>
      <c r="S27" s="17">
        <f t="shared" si="5"/>
        <v>21.718783999999999</v>
      </c>
      <c r="T27" s="21">
        <f t="shared" si="6"/>
        <v>0.81649563909774425</v>
      </c>
      <c r="U27" s="21">
        <f t="shared" si="7"/>
        <v>2.071220930232558E-3</v>
      </c>
      <c r="V27" s="3"/>
      <c r="W27" s="14">
        <f t="shared" si="8"/>
        <v>1006</v>
      </c>
      <c r="X27" s="14">
        <f t="shared" si="9"/>
        <v>1134</v>
      </c>
      <c r="Y27" s="14" t="str">
        <f t="shared" si="10"/>
        <v>Pass</v>
      </c>
      <c r="Z27" s="3"/>
      <c r="AA27" s="17">
        <f t="shared" si="11"/>
        <v>1</v>
      </c>
      <c r="AB27" s="14" t="str">
        <f t="shared" si="12"/>
        <v>Pass</v>
      </c>
      <c r="AC27" s="3"/>
    </row>
    <row r="28" spans="1:29" ht="14.25" customHeight="1" x14ac:dyDescent="0.2">
      <c r="A28" s="14">
        <v>22</v>
      </c>
      <c r="B28" s="14" t="s">
        <v>137</v>
      </c>
      <c r="C28" s="14" t="s">
        <v>137</v>
      </c>
      <c r="D28" s="14">
        <f>Vdim_10</f>
        <v>10</v>
      </c>
      <c r="E28" s="3"/>
      <c r="F28" s="14">
        <f t="shared" si="0"/>
        <v>230</v>
      </c>
      <c r="G28" s="14">
        <f t="shared" si="1"/>
        <v>50</v>
      </c>
      <c r="H28" s="3"/>
      <c r="I28" s="17">
        <v>229.92</v>
      </c>
      <c r="J28" s="17">
        <v>29.7</v>
      </c>
      <c r="K28" s="18">
        <v>20</v>
      </c>
      <c r="L28" s="18">
        <v>10</v>
      </c>
      <c r="M28" s="17">
        <v>60.13</v>
      </c>
      <c r="N28" s="14">
        <v>2.97</v>
      </c>
      <c r="O28" s="3"/>
      <c r="P28" s="14">
        <f t="shared" si="2"/>
        <v>1200</v>
      </c>
      <c r="Q28" s="17">
        <f t="shared" si="3"/>
        <v>1202.5999999999999</v>
      </c>
      <c r="R28" s="17">
        <f t="shared" si="4"/>
        <v>5.9400000000000001E-2</v>
      </c>
      <c r="S28" s="17">
        <f t="shared" si="5"/>
        <v>24.052</v>
      </c>
      <c r="T28" s="21">
        <f t="shared" si="6"/>
        <v>0.80983164983164979</v>
      </c>
      <c r="U28" s="21">
        <f t="shared" si="7"/>
        <v>2.4696490936304675E-3</v>
      </c>
      <c r="V28" s="3"/>
      <c r="W28" s="14">
        <f t="shared" si="8"/>
        <v>1120</v>
      </c>
      <c r="X28" s="14">
        <f t="shared" si="9"/>
        <v>1260</v>
      </c>
      <c r="Y28" s="14" t="str">
        <f t="shared" si="10"/>
        <v>Pass</v>
      </c>
      <c r="Z28" s="3"/>
      <c r="AA28" s="17">
        <f t="shared" si="11"/>
        <v>1</v>
      </c>
      <c r="AB28" s="14" t="str">
        <f t="shared" si="12"/>
        <v>Pass</v>
      </c>
      <c r="AC28" s="3"/>
    </row>
    <row r="29" spans="1:29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2">
    <mergeCell ref="W4:Y4"/>
    <mergeCell ref="AA4:AC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G1" workbookViewId="0">
      <selection activeCell="M22" sqref="M22"/>
    </sheetView>
  </sheetViews>
  <sheetFormatPr baseColWidth="10" defaultColWidth="14.5" defaultRowHeight="15" customHeight="1" x14ac:dyDescent="0.2"/>
  <cols>
    <col min="1" max="4" width="14.6640625" customWidth="1"/>
    <col min="5" max="5" width="4.6640625" customWidth="1"/>
    <col min="6" max="8" width="14.6640625" customWidth="1"/>
    <col min="9" max="9" width="4.6640625" customWidth="1"/>
    <col min="10" max="14" width="14.6640625" customWidth="1"/>
    <col min="15" max="15" width="4.6640625" customWidth="1"/>
    <col min="16" max="18" width="14.6640625" customWidth="1"/>
    <col min="19" max="19" width="4.6640625" customWidth="1"/>
    <col min="20" max="23" width="14.6640625" customWidth="1"/>
    <col min="24" max="26" width="10.6640625" customWidth="1"/>
  </cols>
  <sheetData>
    <row r="1" spans="1:26" ht="26" customHeight="1" x14ac:dyDescent="0.2">
      <c r="A1" s="1" t="s">
        <v>56</v>
      </c>
      <c r="B1" s="3"/>
      <c r="C1" s="3"/>
      <c r="D1" s="3"/>
      <c r="E1" s="3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3"/>
      <c r="B3" s="3"/>
      <c r="C3" s="5"/>
      <c r="D3" s="5"/>
      <c r="E3" s="5"/>
      <c r="F3" s="3"/>
      <c r="G3" s="3"/>
      <c r="H3" s="3"/>
      <c r="I3" s="3"/>
      <c r="J3" s="7" t="s">
        <v>18</v>
      </c>
      <c r="K3" s="3"/>
      <c r="L3" s="3"/>
      <c r="M3" s="3"/>
      <c r="N3" s="3"/>
      <c r="O3" s="3"/>
      <c r="P3" s="7" t="s">
        <v>38</v>
      </c>
      <c r="Q3" s="3"/>
      <c r="R3" s="3"/>
      <c r="S3" s="3"/>
      <c r="T3" s="7" t="s">
        <v>129</v>
      </c>
      <c r="U3" s="3"/>
      <c r="V3" s="3"/>
      <c r="W3" s="3"/>
      <c r="X3" s="3"/>
      <c r="Y3" s="3"/>
      <c r="Z3" s="3"/>
    </row>
    <row r="4" spans="1:26" ht="14.25" customHeight="1" x14ac:dyDescent="0.2">
      <c r="A4" s="7" t="s">
        <v>30</v>
      </c>
      <c r="B4" s="3"/>
      <c r="C4" s="3"/>
      <c r="D4" s="3"/>
      <c r="E4" s="3"/>
      <c r="F4" s="7" t="s">
        <v>31</v>
      </c>
      <c r="G4" s="3"/>
      <c r="H4" s="3"/>
      <c r="I4" s="3"/>
      <c r="J4" s="9" t="s">
        <v>32</v>
      </c>
      <c r="K4" s="9" t="s">
        <v>34</v>
      </c>
      <c r="L4" s="9" t="s">
        <v>35</v>
      </c>
      <c r="M4" s="9" t="s">
        <v>116</v>
      </c>
      <c r="N4" s="9" t="s">
        <v>130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">
      <c r="A5" s="9" t="s">
        <v>39</v>
      </c>
      <c r="B5" s="9" t="s">
        <v>32</v>
      </c>
      <c r="C5" s="9" t="s">
        <v>40</v>
      </c>
      <c r="D5" s="9" t="s">
        <v>131</v>
      </c>
      <c r="E5" s="3"/>
      <c r="F5" s="9" t="s">
        <v>32</v>
      </c>
      <c r="G5" s="9" t="s">
        <v>40</v>
      </c>
      <c r="H5" s="9" t="s">
        <v>132</v>
      </c>
      <c r="I5" s="3"/>
      <c r="J5" s="12" t="s">
        <v>43</v>
      </c>
      <c r="K5" s="12" t="s">
        <v>50</v>
      </c>
      <c r="L5" s="12" t="s">
        <v>51</v>
      </c>
      <c r="M5" s="12" t="s">
        <v>51</v>
      </c>
      <c r="N5" s="12" t="s">
        <v>52</v>
      </c>
      <c r="O5" s="3"/>
      <c r="P5" s="9" t="s">
        <v>54</v>
      </c>
      <c r="Q5" s="9" t="s">
        <v>55</v>
      </c>
      <c r="R5" s="12" t="s">
        <v>56</v>
      </c>
      <c r="S5" s="3"/>
      <c r="T5" s="9" t="s">
        <v>133</v>
      </c>
      <c r="U5" s="9" t="s">
        <v>134</v>
      </c>
      <c r="V5" s="9" t="s">
        <v>135</v>
      </c>
      <c r="W5" s="9" t="s">
        <v>126</v>
      </c>
      <c r="X5" s="3"/>
      <c r="Y5" s="3"/>
      <c r="Z5" s="3"/>
    </row>
    <row r="6" spans="1:26" ht="14.25" customHeight="1" x14ac:dyDescent="0.2">
      <c r="A6" s="3"/>
      <c r="B6" s="12" t="s">
        <v>43</v>
      </c>
      <c r="C6" s="12" t="s">
        <v>60</v>
      </c>
      <c r="D6" s="12" t="s">
        <v>67</v>
      </c>
      <c r="E6" s="3"/>
      <c r="F6" s="12" t="s">
        <v>43</v>
      </c>
      <c r="G6" s="12" t="s">
        <v>60</v>
      </c>
      <c r="H6" s="12" t="s">
        <v>51</v>
      </c>
      <c r="I6" s="3"/>
      <c r="J6" s="12" t="s">
        <v>61</v>
      </c>
      <c r="K6" s="12" t="s">
        <v>62</v>
      </c>
      <c r="L6" s="12" t="s">
        <v>63</v>
      </c>
      <c r="M6" s="12" t="s">
        <v>63</v>
      </c>
      <c r="N6" s="12" t="s">
        <v>64</v>
      </c>
      <c r="O6" s="3"/>
      <c r="P6" s="12" t="s">
        <v>67</v>
      </c>
      <c r="Q6" s="12" t="s">
        <v>50</v>
      </c>
      <c r="R6" s="12" t="s">
        <v>68</v>
      </c>
      <c r="S6" s="3"/>
      <c r="T6" s="12" t="s">
        <v>68</v>
      </c>
      <c r="U6" s="3"/>
      <c r="V6" s="3"/>
      <c r="W6" s="3"/>
      <c r="X6" s="3"/>
      <c r="Y6" s="3"/>
      <c r="Z6" s="3"/>
    </row>
    <row r="7" spans="1:26" ht="14.25" customHeight="1" x14ac:dyDescent="0.2">
      <c r="A7" s="14">
        <v>1</v>
      </c>
      <c r="B7" s="14" t="s">
        <v>128</v>
      </c>
      <c r="C7" s="14" t="s">
        <v>128</v>
      </c>
      <c r="D7" s="14">
        <v>120</v>
      </c>
      <c r="E7" s="3"/>
      <c r="F7" s="14">
        <f t="shared" ref="F7:F16" si="0">VLOOKUP(B7,Table_AC,2,0)</f>
        <v>120</v>
      </c>
      <c r="G7" s="14">
        <f t="shared" ref="G7:G16" si="1">VLOOKUP(C7,Table_Fac,2,0)</f>
        <v>60</v>
      </c>
      <c r="H7" s="17">
        <f>Vdim_01</f>
        <v>1</v>
      </c>
      <c r="I7" s="3"/>
      <c r="J7" s="17">
        <v>120</v>
      </c>
      <c r="K7" s="17">
        <v>3.1</v>
      </c>
      <c r="L7" s="18">
        <v>16.45</v>
      </c>
      <c r="M7" s="18">
        <v>1</v>
      </c>
      <c r="N7" s="17">
        <v>6.93</v>
      </c>
      <c r="O7" s="3"/>
      <c r="P7" s="17">
        <f t="shared" ref="P7:P16" si="2">N7/Rshunt</f>
        <v>138.6</v>
      </c>
      <c r="Q7" s="17">
        <f t="shared" ref="Q7:Q16" si="3">L7*P7/1000</f>
        <v>2.2799699999999996</v>
      </c>
      <c r="R7" s="21">
        <f t="shared" ref="R7:R16" si="4">Q7/K7</f>
        <v>0.73547419354838695</v>
      </c>
      <c r="S7" s="3"/>
      <c r="T7" s="25">
        <v>0.6</v>
      </c>
      <c r="U7" s="14" t="str">
        <f t="shared" ref="U7:U16" si="5">IF(AND((J7&lt;=F7+2),(J7&gt;=F7-2)),"Valid","Invalid")</f>
        <v>Valid</v>
      </c>
      <c r="V7" s="14" t="str">
        <f t="shared" ref="V7:V16" si="6">IF(AND((P7&lt;=1.05*D7),(P7&gt;=0.95*D7)),"Valid","Invalid")</f>
        <v>Invalid</v>
      </c>
      <c r="W7" s="14" t="str">
        <f t="shared" ref="W7:W16" si="7">IF(R7&gt;=T7,"Pass","Fail")</f>
        <v>Pass</v>
      </c>
      <c r="X7" s="3"/>
      <c r="Y7" s="26"/>
      <c r="Z7" s="26"/>
    </row>
    <row r="8" spans="1:26" ht="14.25" customHeight="1" x14ac:dyDescent="0.2">
      <c r="A8" s="14">
        <v>2</v>
      </c>
      <c r="B8" s="14" t="s">
        <v>128</v>
      </c>
      <c r="C8" s="14" t="s">
        <v>128</v>
      </c>
      <c r="D8" s="14">
        <v>300</v>
      </c>
      <c r="E8" s="3"/>
      <c r="F8" s="14">
        <f t="shared" si="0"/>
        <v>120</v>
      </c>
      <c r="G8" s="14">
        <f t="shared" si="1"/>
        <v>60</v>
      </c>
      <c r="H8" s="17">
        <f>Vdim_25</f>
        <v>2.5</v>
      </c>
      <c r="I8" s="3"/>
      <c r="J8" s="17">
        <v>120</v>
      </c>
      <c r="K8" s="17">
        <v>7</v>
      </c>
      <c r="L8" s="18">
        <v>17.27</v>
      </c>
      <c r="M8" s="18">
        <v>2.5</v>
      </c>
      <c r="N8" s="17">
        <v>16.04</v>
      </c>
      <c r="O8" s="3"/>
      <c r="P8" s="17">
        <f t="shared" si="2"/>
        <v>320.79999999999995</v>
      </c>
      <c r="Q8" s="17">
        <f t="shared" si="3"/>
        <v>5.5402159999999991</v>
      </c>
      <c r="R8" s="21">
        <f t="shared" si="4"/>
        <v>0.79145942857142848</v>
      </c>
      <c r="S8" s="3"/>
      <c r="T8" s="25">
        <v>0.65</v>
      </c>
      <c r="U8" s="14" t="str">
        <f t="shared" si="5"/>
        <v>Valid</v>
      </c>
      <c r="V8" s="14" t="str">
        <f t="shared" si="6"/>
        <v>Invalid</v>
      </c>
      <c r="W8" s="14" t="str">
        <f t="shared" si="7"/>
        <v>Pass</v>
      </c>
      <c r="X8" s="3"/>
      <c r="Y8" s="3"/>
      <c r="Z8" s="3"/>
    </row>
    <row r="9" spans="1:26" ht="14.25" customHeight="1" x14ac:dyDescent="0.2">
      <c r="A9" s="14">
        <v>3</v>
      </c>
      <c r="B9" s="14" t="s">
        <v>128</v>
      </c>
      <c r="C9" s="14" t="s">
        <v>128</v>
      </c>
      <c r="D9" s="14">
        <v>600</v>
      </c>
      <c r="E9" s="3"/>
      <c r="F9" s="14">
        <f t="shared" si="0"/>
        <v>120</v>
      </c>
      <c r="G9" s="14">
        <f t="shared" si="1"/>
        <v>60</v>
      </c>
      <c r="H9" s="17">
        <f>Vdim_05</f>
        <v>5</v>
      </c>
      <c r="I9" s="3"/>
      <c r="J9" s="17">
        <v>120</v>
      </c>
      <c r="K9" s="17">
        <v>14.1</v>
      </c>
      <c r="L9" s="18">
        <v>18.32</v>
      </c>
      <c r="M9" s="18">
        <v>5</v>
      </c>
      <c r="N9" s="17">
        <v>31</v>
      </c>
      <c r="O9" s="3"/>
      <c r="P9" s="17">
        <f t="shared" si="2"/>
        <v>620</v>
      </c>
      <c r="Q9" s="17">
        <f t="shared" si="3"/>
        <v>11.3584</v>
      </c>
      <c r="R9" s="21">
        <f t="shared" si="4"/>
        <v>0.8055602836879433</v>
      </c>
      <c r="S9" s="3"/>
      <c r="T9" s="25">
        <v>0.75</v>
      </c>
      <c r="U9" s="14" t="str">
        <f t="shared" si="5"/>
        <v>Valid</v>
      </c>
      <c r="V9" s="14" t="str">
        <f t="shared" si="6"/>
        <v>Valid</v>
      </c>
      <c r="W9" s="14" t="str">
        <f t="shared" si="7"/>
        <v>Pass</v>
      </c>
      <c r="X9" s="3"/>
      <c r="Y9" s="3"/>
      <c r="Z9" s="3"/>
    </row>
    <row r="10" spans="1:26" ht="14.25" customHeight="1" x14ac:dyDescent="0.2">
      <c r="A10" s="14">
        <v>4</v>
      </c>
      <c r="B10" s="14" t="s">
        <v>128</v>
      </c>
      <c r="C10" s="14" t="s">
        <v>128</v>
      </c>
      <c r="D10" s="14">
        <v>900</v>
      </c>
      <c r="E10" s="3"/>
      <c r="F10" s="14">
        <f t="shared" si="0"/>
        <v>120</v>
      </c>
      <c r="G10" s="14">
        <f t="shared" si="1"/>
        <v>60</v>
      </c>
      <c r="H10" s="17">
        <f>Vdim_75</f>
        <v>7.5</v>
      </c>
      <c r="I10" s="3"/>
      <c r="J10" s="17">
        <v>120</v>
      </c>
      <c r="K10" s="17">
        <v>21.6</v>
      </c>
      <c r="L10" s="18">
        <v>19.2</v>
      </c>
      <c r="M10" s="18">
        <v>7.5</v>
      </c>
      <c r="N10" s="17">
        <v>45.72</v>
      </c>
      <c r="O10" s="3"/>
      <c r="P10" s="17">
        <f t="shared" si="2"/>
        <v>914.4</v>
      </c>
      <c r="Q10" s="17">
        <f t="shared" si="3"/>
        <v>17.556480000000001</v>
      </c>
      <c r="R10" s="21">
        <f t="shared" si="4"/>
        <v>0.81279999999999997</v>
      </c>
      <c r="S10" s="3"/>
      <c r="T10" s="25">
        <v>0.8</v>
      </c>
      <c r="U10" s="14" t="str">
        <f t="shared" si="5"/>
        <v>Valid</v>
      </c>
      <c r="V10" s="14" t="str">
        <f t="shared" si="6"/>
        <v>Valid</v>
      </c>
      <c r="W10" s="14" t="str">
        <f t="shared" si="7"/>
        <v>Pass</v>
      </c>
      <c r="X10" s="3"/>
      <c r="Y10" s="3"/>
      <c r="Z10" s="3"/>
    </row>
    <row r="11" spans="1:26" ht="14.25" customHeight="1" x14ac:dyDescent="0.2">
      <c r="A11" s="14">
        <v>5</v>
      </c>
      <c r="B11" s="14" t="s">
        <v>128</v>
      </c>
      <c r="C11" s="14" t="s">
        <v>128</v>
      </c>
      <c r="D11" s="14">
        <v>1200</v>
      </c>
      <c r="E11" s="3"/>
      <c r="F11" s="14">
        <f t="shared" si="0"/>
        <v>120</v>
      </c>
      <c r="G11" s="14">
        <f t="shared" si="1"/>
        <v>60</v>
      </c>
      <c r="H11" s="17">
        <f>Vdim_10</f>
        <v>10</v>
      </c>
      <c r="I11" s="3"/>
      <c r="J11" s="17">
        <v>120</v>
      </c>
      <c r="K11" s="17">
        <v>29.5</v>
      </c>
      <c r="L11" s="18">
        <v>20.010000000000002</v>
      </c>
      <c r="M11" s="18">
        <v>10</v>
      </c>
      <c r="N11" s="17">
        <v>60.37</v>
      </c>
      <c r="O11" s="3"/>
      <c r="P11" s="17">
        <f t="shared" si="2"/>
        <v>1207.3999999999999</v>
      </c>
      <c r="Q11" s="17">
        <f t="shared" si="3"/>
        <v>24.160074000000002</v>
      </c>
      <c r="R11" s="21">
        <f t="shared" si="4"/>
        <v>0.81898555932203398</v>
      </c>
      <c r="S11" s="3"/>
      <c r="T11" s="25">
        <v>0.8</v>
      </c>
      <c r="U11" s="14" t="str">
        <f t="shared" si="5"/>
        <v>Valid</v>
      </c>
      <c r="V11" s="14" t="str">
        <f t="shared" si="6"/>
        <v>Valid</v>
      </c>
      <c r="W11" s="14" t="str">
        <f t="shared" si="7"/>
        <v>Pass</v>
      </c>
      <c r="X11" s="3"/>
      <c r="Y11" s="3"/>
      <c r="Z11" s="3"/>
    </row>
    <row r="12" spans="1:26" ht="14.25" customHeight="1" x14ac:dyDescent="0.2">
      <c r="A12" s="14">
        <v>6</v>
      </c>
      <c r="B12" s="14" t="s">
        <v>137</v>
      </c>
      <c r="C12" s="14" t="s">
        <v>137</v>
      </c>
      <c r="D12" s="14">
        <v>120</v>
      </c>
      <c r="E12" s="3"/>
      <c r="F12" s="14">
        <f t="shared" si="0"/>
        <v>230</v>
      </c>
      <c r="G12" s="14">
        <f t="shared" si="1"/>
        <v>50</v>
      </c>
      <c r="H12" s="17">
        <f>Vdim_01</f>
        <v>1</v>
      </c>
      <c r="I12" s="3"/>
      <c r="J12" s="17">
        <v>229.92</v>
      </c>
      <c r="K12" s="17">
        <v>3.7</v>
      </c>
      <c r="L12" s="18">
        <v>16.45</v>
      </c>
      <c r="M12" s="18">
        <v>1</v>
      </c>
      <c r="N12" s="17">
        <v>6.99</v>
      </c>
      <c r="O12" s="3"/>
      <c r="P12" s="17">
        <f t="shared" si="2"/>
        <v>139.79999999999998</v>
      </c>
      <c r="Q12" s="17">
        <f t="shared" si="3"/>
        <v>2.2997099999999997</v>
      </c>
      <c r="R12" s="21">
        <f t="shared" si="4"/>
        <v>0.62154324324324317</v>
      </c>
      <c r="S12" s="3"/>
      <c r="T12" s="25">
        <v>0.6</v>
      </c>
      <c r="U12" s="14" t="str">
        <f t="shared" si="5"/>
        <v>Valid</v>
      </c>
      <c r="V12" s="14" t="str">
        <f t="shared" si="6"/>
        <v>Invalid</v>
      </c>
      <c r="W12" s="14" t="str">
        <f t="shared" si="7"/>
        <v>Pass</v>
      </c>
      <c r="X12" s="3"/>
      <c r="Y12" s="3"/>
      <c r="Z12" s="3"/>
    </row>
    <row r="13" spans="1:26" ht="14.25" customHeight="1" x14ac:dyDescent="0.2">
      <c r="A13" s="14">
        <v>7</v>
      </c>
      <c r="B13" s="14" t="s">
        <v>137</v>
      </c>
      <c r="C13" s="14" t="s">
        <v>137</v>
      </c>
      <c r="D13" s="14">
        <v>300</v>
      </c>
      <c r="E13" s="3"/>
      <c r="F13" s="14">
        <f t="shared" si="0"/>
        <v>230</v>
      </c>
      <c r="G13" s="14">
        <f t="shared" si="1"/>
        <v>50</v>
      </c>
      <c r="H13" s="17">
        <f>Vdim_25</f>
        <v>2.5</v>
      </c>
      <c r="I13" s="3"/>
      <c r="J13" s="17">
        <v>229.92</v>
      </c>
      <c r="K13" s="17">
        <v>7.5</v>
      </c>
      <c r="L13" s="18">
        <v>17.28</v>
      </c>
      <c r="M13" s="18">
        <v>2.5</v>
      </c>
      <c r="N13" s="17">
        <v>16.260000000000002</v>
      </c>
      <c r="O13" s="3"/>
      <c r="P13" s="17">
        <f t="shared" si="2"/>
        <v>325.2</v>
      </c>
      <c r="Q13" s="17">
        <f t="shared" si="3"/>
        <v>5.6194560000000005</v>
      </c>
      <c r="R13" s="21">
        <f t="shared" si="4"/>
        <v>0.74926080000000006</v>
      </c>
      <c r="S13" s="3"/>
      <c r="T13" s="25">
        <v>0.65</v>
      </c>
      <c r="U13" s="14" t="str">
        <f t="shared" si="5"/>
        <v>Valid</v>
      </c>
      <c r="V13" s="14" t="str">
        <f t="shared" si="6"/>
        <v>Invalid</v>
      </c>
      <c r="W13" s="14" t="str">
        <f t="shared" si="7"/>
        <v>Pass</v>
      </c>
      <c r="X13" s="3"/>
      <c r="Y13" s="3"/>
      <c r="Z13" s="3"/>
    </row>
    <row r="14" spans="1:26" ht="14.25" customHeight="1" x14ac:dyDescent="0.2">
      <c r="A14" s="14">
        <v>8</v>
      </c>
      <c r="B14" s="14" t="s">
        <v>137</v>
      </c>
      <c r="C14" s="14" t="s">
        <v>137</v>
      </c>
      <c r="D14" s="14">
        <v>600</v>
      </c>
      <c r="E14" s="3"/>
      <c r="F14" s="14">
        <f t="shared" si="0"/>
        <v>230</v>
      </c>
      <c r="G14" s="14">
        <f t="shared" si="1"/>
        <v>50</v>
      </c>
      <c r="H14" s="17">
        <f>Vdim_05</f>
        <v>5</v>
      </c>
      <c r="I14" s="3"/>
      <c r="J14" s="17">
        <v>229.92</v>
      </c>
      <c r="K14" s="17">
        <v>14.6</v>
      </c>
      <c r="L14" s="18">
        <v>18.34</v>
      </c>
      <c r="M14" s="18">
        <v>5</v>
      </c>
      <c r="N14" s="17">
        <v>31.48</v>
      </c>
      <c r="O14" s="3"/>
      <c r="P14" s="17">
        <f t="shared" si="2"/>
        <v>629.6</v>
      </c>
      <c r="Q14" s="17">
        <f t="shared" si="3"/>
        <v>11.546863999999999</v>
      </c>
      <c r="R14" s="21">
        <f t="shared" si="4"/>
        <v>0.79088109589041089</v>
      </c>
      <c r="S14" s="3"/>
      <c r="T14" s="25">
        <v>0.75</v>
      </c>
      <c r="U14" s="14" t="str">
        <f t="shared" si="5"/>
        <v>Valid</v>
      </c>
      <c r="V14" s="14" t="str">
        <f t="shared" si="6"/>
        <v>Valid</v>
      </c>
      <c r="W14" s="14" t="str">
        <f t="shared" si="7"/>
        <v>Pass</v>
      </c>
      <c r="X14" s="3"/>
      <c r="Y14" s="3"/>
      <c r="Z14" s="3"/>
    </row>
    <row r="15" spans="1:26" ht="14.25" customHeight="1" x14ac:dyDescent="0.2">
      <c r="A15" s="14">
        <v>9</v>
      </c>
      <c r="B15" s="14" t="s">
        <v>137</v>
      </c>
      <c r="C15" s="14" t="s">
        <v>137</v>
      </c>
      <c r="D15" s="14">
        <v>900</v>
      </c>
      <c r="E15" s="3"/>
      <c r="F15" s="14">
        <f t="shared" si="0"/>
        <v>230</v>
      </c>
      <c r="G15" s="14">
        <f t="shared" si="1"/>
        <v>50</v>
      </c>
      <c r="H15" s="17">
        <f>Vdim_75</f>
        <v>7.5</v>
      </c>
      <c r="I15" s="3"/>
      <c r="J15" s="17">
        <v>229.92</v>
      </c>
      <c r="K15" s="17">
        <v>22.3</v>
      </c>
      <c r="L15" s="18">
        <v>19.260000000000002</v>
      </c>
      <c r="M15" s="18">
        <v>7.5</v>
      </c>
      <c r="N15" s="17">
        <v>46.77</v>
      </c>
      <c r="O15" s="3"/>
      <c r="P15" s="17">
        <f t="shared" si="2"/>
        <v>935.4</v>
      </c>
      <c r="Q15" s="17">
        <f t="shared" si="3"/>
        <v>18.015803999999999</v>
      </c>
      <c r="R15" s="21">
        <f t="shared" si="4"/>
        <v>0.80788358744394617</v>
      </c>
      <c r="S15" s="3"/>
      <c r="T15" s="25">
        <v>0.8</v>
      </c>
      <c r="U15" s="14" t="str">
        <f t="shared" si="5"/>
        <v>Valid</v>
      </c>
      <c r="V15" s="14" t="str">
        <f t="shared" si="6"/>
        <v>Valid</v>
      </c>
      <c r="W15" s="14" t="str">
        <f t="shared" si="7"/>
        <v>Pass</v>
      </c>
      <c r="X15" s="3"/>
      <c r="Y15" s="3"/>
      <c r="Z15" s="3"/>
    </row>
    <row r="16" spans="1:26" ht="14.25" customHeight="1" x14ac:dyDescent="0.2">
      <c r="A16" s="14">
        <v>10</v>
      </c>
      <c r="B16" s="14" t="s">
        <v>137</v>
      </c>
      <c r="C16" s="14" t="s">
        <v>137</v>
      </c>
      <c r="D16" s="14">
        <v>1200</v>
      </c>
      <c r="E16" s="3"/>
      <c r="F16" s="14">
        <f t="shared" si="0"/>
        <v>230</v>
      </c>
      <c r="G16" s="14">
        <f t="shared" si="1"/>
        <v>50</v>
      </c>
      <c r="H16" s="17">
        <f>Vdim_10</f>
        <v>10</v>
      </c>
      <c r="I16" s="3"/>
      <c r="J16" s="17">
        <v>229.92</v>
      </c>
      <c r="K16" s="17">
        <v>29.7</v>
      </c>
      <c r="L16" s="18">
        <v>20.010000000000002</v>
      </c>
      <c r="M16" s="18">
        <v>10</v>
      </c>
      <c r="N16" s="17">
        <v>60.45</v>
      </c>
      <c r="O16" s="3"/>
      <c r="P16" s="17">
        <f t="shared" si="2"/>
        <v>1209</v>
      </c>
      <c r="Q16" s="17">
        <f t="shared" si="3"/>
        <v>24.19209</v>
      </c>
      <c r="R16" s="21">
        <f t="shared" si="4"/>
        <v>0.81454848484848486</v>
      </c>
      <c r="S16" s="3"/>
      <c r="T16" s="25">
        <v>0.8</v>
      </c>
      <c r="U16" s="14" t="str">
        <f t="shared" si="5"/>
        <v>Valid</v>
      </c>
      <c r="V16" s="14" t="str">
        <f t="shared" si="6"/>
        <v>Valid</v>
      </c>
      <c r="W16" s="14" t="str">
        <f t="shared" si="7"/>
        <v>Pass</v>
      </c>
      <c r="X16" s="3"/>
      <c r="Y16" s="3"/>
      <c r="Z16" s="3"/>
    </row>
    <row r="17" spans="1:26" ht="14.25" customHeight="1" x14ac:dyDescent="0.2">
      <c r="A17" s="14"/>
      <c r="B17" s="14"/>
      <c r="C17" s="14"/>
      <c r="D17" s="14"/>
      <c r="E17" s="3"/>
      <c r="F17" s="14"/>
      <c r="G17" s="14"/>
      <c r="H17" s="14"/>
      <c r="I17" s="3"/>
      <c r="J17" s="3"/>
      <c r="K17" s="3"/>
      <c r="L17" s="3"/>
      <c r="M17" s="3"/>
      <c r="N17" s="3"/>
      <c r="O17" s="3"/>
      <c r="P17" s="17"/>
      <c r="Q17" s="21"/>
      <c r="R17" s="21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">
      <c r="A18" s="14"/>
      <c r="B18" s="14"/>
      <c r="C18" s="1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14"/>
      <c r="B19" s="14"/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14"/>
      <c r="B20" s="14"/>
      <c r="C20" s="1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14"/>
      <c r="B21" s="14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14"/>
      <c r="B22" s="14"/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G1" workbookViewId="0"/>
  </sheetViews>
  <sheetFormatPr baseColWidth="10" defaultColWidth="14.5" defaultRowHeight="15" customHeight="1" x14ac:dyDescent="0.2"/>
  <cols>
    <col min="1" max="4" width="14.6640625" customWidth="1"/>
    <col min="5" max="5" width="4.6640625" customWidth="1"/>
    <col min="6" max="8" width="14.6640625" customWidth="1"/>
    <col min="9" max="9" width="4.6640625" customWidth="1"/>
    <col min="10" max="13" width="14.6640625" customWidth="1"/>
    <col min="14" max="14" width="4.6640625" customWidth="1"/>
    <col min="15" max="17" width="14.6640625" customWidth="1"/>
    <col min="18" max="18" width="4.6640625" customWidth="1"/>
    <col min="19" max="20" width="14.6640625" customWidth="1"/>
    <col min="21" max="26" width="10.6640625" customWidth="1"/>
  </cols>
  <sheetData>
    <row r="1" spans="1:26" ht="29" customHeight="1" x14ac:dyDescent="0.2">
      <c r="A1" s="1" t="s">
        <v>136</v>
      </c>
      <c r="B1" s="3"/>
      <c r="C1" s="3"/>
      <c r="D1" s="3"/>
      <c r="E1" s="3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3"/>
      <c r="B3" s="3"/>
      <c r="C3" s="5"/>
      <c r="D3" s="5"/>
      <c r="E3" s="5"/>
      <c r="F3" s="3"/>
      <c r="G3" s="3"/>
      <c r="H3" s="3"/>
      <c r="I3" s="3"/>
      <c r="J3" s="7" t="s">
        <v>18</v>
      </c>
      <c r="K3" s="3"/>
      <c r="L3" s="3"/>
      <c r="M3" s="3"/>
      <c r="N3" s="3"/>
      <c r="O3" s="7" t="s">
        <v>129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">
      <c r="A4" s="7" t="s">
        <v>30</v>
      </c>
      <c r="B4" s="3"/>
      <c r="C4" s="3"/>
      <c r="D4" s="3"/>
      <c r="E4" s="3"/>
      <c r="F4" s="7" t="s">
        <v>31</v>
      </c>
      <c r="G4" s="3"/>
      <c r="H4" s="3"/>
      <c r="I4" s="3"/>
      <c r="J4" s="9" t="s">
        <v>32</v>
      </c>
      <c r="K4" s="9" t="s">
        <v>34</v>
      </c>
      <c r="L4" s="9" t="s">
        <v>35</v>
      </c>
      <c r="M4" s="9" t="s">
        <v>116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">
      <c r="A5" s="9" t="s">
        <v>39</v>
      </c>
      <c r="B5" s="9" t="s">
        <v>32</v>
      </c>
      <c r="C5" s="9" t="s">
        <v>40</v>
      </c>
      <c r="D5" s="9" t="s">
        <v>131</v>
      </c>
      <c r="E5" s="3"/>
      <c r="F5" s="9" t="s">
        <v>32</v>
      </c>
      <c r="G5" s="9" t="s">
        <v>40</v>
      </c>
      <c r="H5" s="9" t="s">
        <v>132</v>
      </c>
      <c r="I5" s="3"/>
      <c r="J5" s="12" t="s">
        <v>43</v>
      </c>
      <c r="K5" s="12" t="s">
        <v>50</v>
      </c>
      <c r="L5" s="12" t="s">
        <v>51</v>
      </c>
      <c r="M5" s="12" t="s">
        <v>51</v>
      </c>
      <c r="N5" s="3"/>
      <c r="O5" s="9" t="s">
        <v>134</v>
      </c>
      <c r="P5" s="9" t="s">
        <v>138</v>
      </c>
      <c r="Q5" s="9" t="s">
        <v>139</v>
      </c>
      <c r="R5" s="3"/>
      <c r="S5" s="9" t="s">
        <v>140</v>
      </c>
      <c r="T5" s="9" t="s">
        <v>141</v>
      </c>
      <c r="U5" s="9"/>
      <c r="V5" s="3"/>
      <c r="W5" s="3"/>
      <c r="X5" s="3"/>
      <c r="Y5" s="3"/>
      <c r="Z5" s="3"/>
    </row>
    <row r="6" spans="1:26" ht="14.25" customHeight="1" x14ac:dyDescent="0.2">
      <c r="A6" s="3"/>
      <c r="B6" s="12" t="s">
        <v>43</v>
      </c>
      <c r="C6" s="12" t="s">
        <v>60</v>
      </c>
      <c r="D6" s="12" t="s">
        <v>67</v>
      </c>
      <c r="E6" s="3"/>
      <c r="F6" s="12" t="s">
        <v>43</v>
      </c>
      <c r="G6" s="12" t="s">
        <v>60</v>
      </c>
      <c r="H6" s="12" t="s">
        <v>51</v>
      </c>
      <c r="I6" s="3"/>
      <c r="J6" s="12" t="s">
        <v>61</v>
      </c>
      <c r="K6" s="12" t="s">
        <v>62</v>
      </c>
      <c r="L6" s="12" t="s">
        <v>63</v>
      </c>
      <c r="M6" s="12" t="s">
        <v>63</v>
      </c>
      <c r="N6" s="3"/>
      <c r="O6" s="3"/>
      <c r="P6" s="12" t="s">
        <v>50</v>
      </c>
      <c r="Q6" s="12" t="s">
        <v>51</v>
      </c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">
      <c r="A7" s="14">
        <v>1</v>
      </c>
      <c r="B7" s="14" t="s">
        <v>73</v>
      </c>
      <c r="C7" s="14" t="s">
        <v>128</v>
      </c>
      <c r="D7" s="14">
        <v>0</v>
      </c>
      <c r="E7" s="3"/>
      <c r="F7" s="14">
        <f t="shared" ref="F7:F14" si="0">VLOOKUP(B7,Table_AC,2,0)</f>
        <v>85</v>
      </c>
      <c r="G7" s="14">
        <f t="shared" ref="G7:G14" si="1">VLOOKUP(C7,Table_Fac,2,0)</f>
        <v>60</v>
      </c>
      <c r="H7" s="17">
        <f>Vdim_00</f>
        <v>0</v>
      </c>
      <c r="I7" s="3"/>
      <c r="J7" s="17">
        <v>85</v>
      </c>
      <c r="K7" s="17">
        <v>0.2</v>
      </c>
      <c r="L7" s="18">
        <v>10.07</v>
      </c>
      <c r="M7" s="18">
        <v>0</v>
      </c>
      <c r="N7" s="3"/>
      <c r="O7" s="14" t="str">
        <f t="shared" ref="O7:O14" si="2">IF(AND((J7&lt;=F7+2),(J7&gt;=F7-2)),"Valid","Invalid")</f>
        <v>Valid</v>
      </c>
      <c r="P7" s="17">
        <v>1</v>
      </c>
      <c r="Q7" s="17">
        <v>29</v>
      </c>
      <c r="R7" s="3"/>
      <c r="S7" s="14" t="str">
        <f t="shared" ref="S7:T7" si="3">IF(K7&lt;=P7,"Pass","Fail")</f>
        <v>Pass</v>
      </c>
      <c r="T7" s="14" t="str">
        <f t="shared" si="3"/>
        <v>Pass</v>
      </c>
      <c r="U7" s="14"/>
      <c r="V7" s="3"/>
      <c r="W7" s="26"/>
      <c r="X7" s="26"/>
      <c r="Y7" s="3"/>
      <c r="Z7" s="3"/>
    </row>
    <row r="8" spans="1:26" ht="14.25" customHeight="1" x14ac:dyDescent="0.2">
      <c r="A8" s="14">
        <v>2</v>
      </c>
      <c r="B8" s="14" t="s">
        <v>73</v>
      </c>
      <c r="C8" s="14" t="s">
        <v>128</v>
      </c>
      <c r="D8" s="14">
        <v>0</v>
      </c>
      <c r="E8" s="3"/>
      <c r="F8" s="14">
        <f t="shared" si="0"/>
        <v>85</v>
      </c>
      <c r="G8" s="14">
        <f t="shared" si="1"/>
        <v>60</v>
      </c>
      <c r="H8" s="17">
        <f>Vdim_10</f>
        <v>10</v>
      </c>
      <c r="I8" s="3"/>
      <c r="J8" s="17">
        <v>85</v>
      </c>
      <c r="K8" s="17">
        <v>0.4</v>
      </c>
      <c r="L8" s="18">
        <v>21.02</v>
      </c>
      <c r="M8" s="18">
        <v>10</v>
      </c>
      <c r="N8" s="3"/>
      <c r="O8" s="14" t="str">
        <f t="shared" si="2"/>
        <v>Valid</v>
      </c>
      <c r="P8" s="17">
        <v>1</v>
      </c>
      <c r="Q8" s="17">
        <v>29</v>
      </c>
      <c r="R8" s="3"/>
      <c r="S8" s="14" t="str">
        <f t="shared" ref="S8:T8" si="4">IF(K8&lt;=P8,"Pass","Fail")</f>
        <v>Pass</v>
      </c>
      <c r="T8" s="14" t="str">
        <f t="shared" si="4"/>
        <v>Pass</v>
      </c>
      <c r="U8" s="14"/>
      <c r="V8" s="3"/>
      <c r="W8" s="3"/>
      <c r="X8" s="3"/>
      <c r="Y8" s="3"/>
      <c r="Z8" s="3"/>
    </row>
    <row r="9" spans="1:26" ht="14.25" customHeight="1" x14ac:dyDescent="0.2">
      <c r="A9" s="14">
        <v>3</v>
      </c>
      <c r="B9" s="14" t="s">
        <v>128</v>
      </c>
      <c r="C9" s="14" t="s">
        <v>128</v>
      </c>
      <c r="D9" s="14">
        <v>0</v>
      </c>
      <c r="E9" s="3"/>
      <c r="F9" s="14">
        <f t="shared" si="0"/>
        <v>120</v>
      </c>
      <c r="G9" s="14">
        <f t="shared" si="1"/>
        <v>60</v>
      </c>
      <c r="H9" s="17">
        <f>Vdim_00</f>
        <v>0</v>
      </c>
      <c r="I9" s="3"/>
      <c r="J9" s="17">
        <v>120</v>
      </c>
      <c r="K9" s="17">
        <v>0.3</v>
      </c>
      <c r="L9" s="18">
        <v>10.06</v>
      </c>
      <c r="M9" s="18">
        <v>0</v>
      </c>
      <c r="N9" s="3"/>
      <c r="O9" s="14" t="str">
        <f t="shared" si="2"/>
        <v>Valid</v>
      </c>
      <c r="P9" s="17">
        <v>1</v>
      </c>
      <c r="Q9" s="17">
        <v>29</v>
      </c>
      <c r="R9" s="3"/>
      <c r="S9" s="14" t="str">
        <f t="shared" ref="S9:T9" si="5">IF(K9&lt;=P9,"Pass","Fail")</f>
        <v>Pass</v>
      </c>
      <c r="T9" s="14" t="str">
        <f t="shared" si="5"/>
        <v>Pass</v>
      </c>
      <c r="U9" s="14"/>
      <c r="V9" s="3"/>
      <c r="W9" s="3"/>
      <c r="X9" s="3"/>
      <c r="Y9" s="3"/>
      <c r="Z9" s="3"/>
    </row>
    <row r="10" spans="1:26" ht="14.25" customHeight="1" x14ac:dyDescent="0.2">
      <c r="A10" s="14">
        <v>4</v>
      </c>
      <c r="B10" s="14" t="s">
        <v>128</v>
      </c>
      <c r="C10" s="14" t="s">
        <v>128</v>
      </c>
      <c r="D10" s="14">
        <v>0</v>
      </c>
      <c r="E10" s="3"/>
      <c r="F10" s="14">
        <f t="shared" si="0"/>
        <v>120</v>
      </c>
      <c r="G10" s="14">
        <f t="shared" si="1"/>
        <v>60</v>
      </c>
      <c r="H10" s="17">
        <f>Vdim_10</f>
        <v>10</v>
      </c>
      <c r="I10" s="3"/>
      <c r="J10" s="17">
        <v>120</v>
      </c>
      <c r="K10" s="17">
        <v>0.5</v>
      </c>
      <c r="L10" s="18">
        <v>21.02</v>
      </c>
      <c r="M10" s="18">
        <v>10</v>
      </c>
      <c r="N10" s="3"/>
      <c r="O10" s="14" t="str">
        <f t="shared" si="2"/>
        <v>Valid</v>
      </c>
      <c r="P10" s="17">
        <v>1</v>
      </c>
      <c r="Q10" s="17">
        <v>29</v>
      </c>
      <c r="R10" s="3"/>
      <c r="S10" s="14" t="str">
        <f t="shared" ref="S10:T10" si="6">IF(K10&lt;=P10,"Pass","Fail")</f>
        <v>Pass</v>
      </c>
      <c r="T10" s="14" t="str">
        <f t="shared" si="6"/>
        <v>Pass</v>
      </c>
      <c r="U10" s="14"/>
      <c r="V10" s="3"/>
      <c r="W10" s="3"/>
      <c r="X10" s="3"/>
      <c r="Y10" s="3"/>
      <c r="Z10" s="3"/>
    </row>
    <row r="11" spans="1:26" ht="14.25" customHeight="1" x14ac:dyDescent="0.2">
      <c r="A11" s="14">
        <v>5</v>
      </c>
      <c r="B11" s="14" t="s">
        <v>137</v>
      </c>
      <c r="C11" s="14" t="s">
        <v>137</v>
      </c>
      <c r="D11" s="14">
        <v>0</v>
      </c>
      <c r="E11" s="3"/>
      <c r="F11" s="14">
        <f t="shared" si="0"/>
        <v>230</v>
      </c>
      <c r="G11" s="14">
        <f t="shared" si="1"/>
        <v>50</v>
      </c>
      <c r="H11" s="17">
        <f>Vdim_00</f>
        <v>0</v>
      </c>
      <c r="I11" s="3"/>
      <c r="J11" s="17">
        <v>229.92</v>
      </c>
      <c r="K11" s="17">
        <v>0.8</v>
      </c>
      <c r="L11" s="18">
        <v>10.06</v>
      </c>
      <c r="M11" s="18">
        <v>0</v>
      </c>
      <c r="N11" s="3"/>
      <c r="O11" s="14" t="str">
        <f t="shared" si="2"/>
        <v>Valid</v>
      </c>
      <c r="P11" s="17">
        <v>1</v>
      </c>
      <c r="Q11" s="17">
        <v>29</v>
      </c>
      <c r="R11" s="3"/>
      <c r="S11" s="14" t="str">
        <f t="shared" ref="S11:T11" si="7">IF(K11&lt;=P11,"Pass","Fail")</f>
        <v>Pass</v>
      </c>
      <c r="T11" s="14" t="str">
        <f t="shared" si="7"/>
        <v>Pass</v>
      </c>
      <c r="U11" s="14"/>
      <c r="V11" s="3"/>
      <c r="W11" s="3"/>
      <c r="X11" s="3"/>
      <c r="Y11" s="3"/>
      <c r="Z11" s="3"/>
    </row>
    <row r="12" spans="1:26" ht="14.25" customHeight="1" x14ac:dyDescent="0.2">
      <c r="A12" s="14">
        <v>6</v>
      </c>
      <c r="B12" s="14" t="s">
        <v>137</v>
      </c>
      <c r="C12" s="14" t="s">
        <v>137</v>
      </c>
      <c r="D12" s="14">
        <v>0</v>
      </c>
      <c r="E12" s="3"/>
      <c r="F12" s="14">
        <f t="shared" si="0"/>
        <v>230</v>
      </c>
      <c r="G12" s="14">
        <f t="shared" si="1"/>
        <v>50</v>
      </c>
      <c r="H12" s="17">
        <f>Vdim_10</f>
        <v>10</v>
      </c>
      <c r="I12" s="3"/>
      <c r="J12" s="17">
        <v>229.92</v>
      </c>
      <c r="K12" s="17">
        <v>1</v>
      </c>
      <c r="L12" s="18">
        <v>21.02</v>
      </c>
      <c r="M12" s="18">
        <v>10</v>
      </c>
      <c r="N12" s="3"/>
      <c r="O12" s="14" t="str">
        <f t="shared" si="2"/>
        <v>Valid</v>
      </c>
      <c r="P12" s="17">
        <v>1</v>
      </c>
      <c r="Q12" s="17">
        <v>29</v>
      </c>
      <c r="R12" s="3"/>
      <c r="S12" s="14" t="str">
        <f t="shared" ref="S12:T12" si="8">IF(K12&lt;=P12,"Pass","Fail")</f>
        <v>Pass</v>
      </c>
      <c r="T12" s="14" t="str">
        <f t="shared" si="8"/>
        <v>Pass</v>
      </c>
      <c r="U12" s="14"/>
      <c r="V12" s="3"/>
      <c r="W12" s="3"/>
      <c r="X12" s="3"/>
      <c r="Y12" s="3"/>
      <c r="Z12" s="3"/>
    </row>
    <row r="13" spans="1:26" ht="14.25" customHeight="1" x14ac:dyDescent="0.2">
      <c r="A13" s="14">
        <v>7</v>
      </c>
      <c r="B13" s="14" t="s">
        <v>95</v>
      </c>
      <c r="C13" s="14" t="s">
        <v>137</v>
      </c>
      <c r="D13" s="14">
        <v>0</v>
      </c>
      <c r="E13" s="3"/>
      <c r="F13" s="14">
        <f t="shared" si="0"/>
        <v>264</v>
      </c>
      <c r="G13" s="14">
        <f t="shared" si="1"/>
        <v>50</v>
      </c>
      <c r="H13" s="17">
        <f>Vdim_00</f>
        <v>0</v>
      </c>
      <c r="I13" s="3"/>
      <c r="J13" s="17">
        <v>263.85000000000002</v>
      </c>
      <c r="K13" s="17">
        <v>1.1000000000000001</v>
      </c>
      <c r="L13" s="18">
        <v>10.07</v>
      </c>
      <c r="M13" s="18">
        <v>0</v>
      </c>
      <c r="N13" s="3"/>
      <c r="O13" s="14" t="str">
        <f t="shared" si="2"/>
        <v>Valid</v>
      </c>
      <c r="P13" s="17">
        <v>1</v>
      </c>
      <c r="Q13" s="17">
        <v>29</v>
      </c>
      <c r="R13" s="3"/>
      <c r="S13" s="14" t="str">
        <f t="shared" ref="S13:T13" si="9">IF(K13&lt;=P13,"Pass","Fail")</f>
        <v>Fail</v>
      </c>
      <c r="T13" s="14" t="str">
        <f t="shared" si="9"/>
        <v>Pass</v>
      </c>
      <c r="U13" s="14"/>
      <c r="V13" s="3"/>
      <c r="W13" s="3"/>
      <c r="X13" s="3"/>
      <c r="Y13" s="3"/>
      <c r="Z13" s="3"/>
    </row>
    <row r="14" spans="1:26" ht="14.25" customHeight="1" x14ac:dyDescent="0.2">
      <c r="A14" s="14">
        <v>8</v>
      </c>
      <c r="B14" s="14" t="s">
        <v>95</v>
      </c>
      <c r="C14" s="14" t="s">
        <v>137</v>
      </c>
      <c r="D14" s="14">
        <v>0</v>
      </c>
      <c r="E14" s="3"/>
      <c r="F14" s="14">
        <f t="shared" si="0"/>
        <v>264</v>
      </c>
      <c r="G14" s="14">
        <f t="shared" si="1"/>
        <v>50</v>
      </c>
      <c r="H14" s="17">
        <f>Vdim_10</f>
        <v>10</v>
      </c>
      <c r="I14" s="3"/>
      <c r="J14" s="17">
        <v>263.85000000000002</v>
      </c>
      <c r="K14" s="17">
        <v>1.2</v>
      </c>
      <c r="L14" s="18">
        <v>21.02</v>
      </c>
      <c r="M14" s="18">
        <v>10</v>
      </c>
      <c r="N14" s="3"/>
      <c r="O14" s="14" t="str">
        <f t="shared" si="2"/>
        <v>Valid</v>
      </c>
      <c r="P14" s="17">
        <v>1</v>
      </c>
      <c r="Q14" s="17">
        <v>29</v>
      </c>
      <c r="R14" s="3"/>
      <c r="S14" s="14" t="str">
        <f t="shared" ref="S14:T14" si="10">IF(K14&lt;=P14,"Pass","Fail")</f>
        <v>Fail</v>
      </c>
      <c r="T14" s="14" t="str">
        <f t="shared" si="10"/>
        <v>Pass</v>
      </c>
      <c r="U14" s="14"/>
      <c r="V14" s="3"/>
      <c r="W14" s="3"/>
      <c r="X14" s="3"/>
      <c r="Y14" s="3"/>
      <c r="Z14" s="3"/>
    </row>
    <row r="15" spans="1:26" ht="14.25" customHeight="1" x14ac:dyDescent="0.2">
      <c r="A15" s="14"/>
      <c r="B15" s="14"/>
      <c r="C15" s="14"/>
      <c r="D15" s="14"/>
      <c r="E15" s="3"/>
      <c r="F15" s="14"/>
      <c r="G15" s="14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">
      <c r="A16" s="14"/>
      <c r="B16" s="14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">
      <c r="A17" s="14"/>
      <c r="B17" s="14"/>
      <c r="C17" s="1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">
      <c r="A18" s="14"/>
      <c r="B18" s="14"/>
      <c r="C18" s="1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14"/>
      <c r="B19" s="14"/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14"/>
      <c r="B20" s="14"/>
      <c r="C20" s="1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I36" sqref="I36"/>
    </sheetView>
  </sheetViews>
  <sheetFormatPr baseColWidth="10" defaultColWidth="14.5" defaultRowHeight="15" customHeight="1" x14ac:dyDescent="0.2"/>
  <cols>
    <col min="1" max="1" width="26.6640625" customWidth="1"/>
    <col min="2" max="2" width="14.6640625" customWidth="1"/>
    <col min="3" max="26" width="10.6640625" customWidth="1"/>
  </cols>
  <sheetData>
    <row r="1" spans="1:26" ht="22" customHeight="1" x14ac:dyDescent="0.2">
      <c r="A1" s="1" t="s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">
      <c r="A4" s="7" t="s">
        <v>143</v>
      </c>
      <c r="B4" s="27"/>
      <c r="C4" s="27"/>
      <c r="D4" s="27"/>
      <c r="E4" s="27"/>
      <c r="F4" s="27"/>
      <c r="G4" s="2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">
      <c r="A5" s="3"/>
      <c r="B5" s="3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">
      <c r="A6" s="3" t="s">
        <v>144</v>
      </c>
      <c r="B6" s="18">
        <v>20</v>
      </c>
      <c r="C6" s="3" t="s">
        <v>145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">
      <c r="A8" s="3" t="s">
        <v>146</v>
      </c>
      <c r="B8" s="18">
        <v>10</v>
      </c>
      <c r="C8" s="3" t="s">
        <v>145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6" customHeight="1" x14ac:dyDescent="0.2">
      <c r="A10" s="3" t="s">
        <v>147</v>
      </c>
      <c r="B10" s="14" t="str">
        <f>IF(B6&gt;=B8,"Pass","Fail")</f>
        <v>Pass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">
      <c r="A13" s="7" t="s">
        <v>148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">
      <c r="A14" s="2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">
      <c r="A15" s="3"/>
      <c r="B15" s="3"/>
      <c r="C15" s="3"/>
      <c r="D15" s="2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">
      <c r="A16" s="3" t="s">
        <v>149</v>
      </c>
      <c r="B16" s="29">
        <v>10</v>
      </c>
      <c r="C16" s="3" t="s">
        <v>150</v>
      </c>
      <c r="D16" s="2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">
      <c r="A18" s="3" t="s">
        <v>151</v>
      </c>
      <c r="B18" s="17">
        <v>5.2</v>
      </c>
      <c r="C18" s="3" t="s">
        <v>152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 t="s">
        <v>153</v>
      </c>
      <c r="B20" s="17">
        <v>9.1999999999999993</v>
      </c>
      <c r="C20" s="3" t="s">
        <v>154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 t="s">
        <v>155</v>
      </c>
      <c r="B22" s="17">
        <f>B16*(B20-B18)</f>
        <v>39.999999999999993</v>
      </c>
      <c r="C22" s="3" t="s">
        <v>156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 t="s">
        <v>147</v>
      </c>
      <c r="B24" s="14" t="str">
        <f>IF(B22&gt;=18.75,"Pass","Fail")</f>
        <v>Pass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 t="s">
        <v>159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workbookViewId="0">
      <selection activeCell="M35" sqref="M35"/>
    </sheetView>
  </sheetViews>
  <sheetFormatPr baseColWidth="10" defaultColWidth="14.5" defaultRowHeight="15" customHeight="1" x14ac:dyDescent="0.2"/>
  <cols>
    <col min="1" max="4" width="14.6640625" customWidth="1"/>
    <col min="5" max="5" width="4.6640625" customWidth="1"/>
    <col min="6" max="8" width="14.6640625" customWidth="1"/>
    <col min="9" max="9" width="4.6640625" customWidth="1"/>
    <col min="10" max="16" width="14.6640625" customWidth="1"/>
    <col min="17" max="17" width="4.6640625" customWidth="1"/>
    <col min="18" max="19" width="14.6640625" customWidth="1"/>
    <col min="20" max="26" width="10.6640625" customWidth="1"/>
  </cols>
  <sheetData>
    <row r="1" spans="1:26" ht="34" customHeight="1" x14ac:dyDescent="0.2">
      <c r="A1" s="1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">
      <c r="A4" s="7" t="s">
        <v>158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">
      <c r="A5" s="3"/>
      <c r="B5" s="3"/>
      <c r="C5" s="5"/>
      <c r="D5" s="5"/>
      <c r="E5" s="5"/>
      <c r="F5" s="3"/>
      <c r="G5" s="3"/>
      <c r="H5" s="3"/>
      <c r="I5" s="3"/>
      <c r="J5" s="7" t="s">
        <v>18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">
      <c r="A6" s="7" t="s">
        <v>30</v>
      </c>
      <c r="B6" s="3"/>
      <c r="C6" s="3"/>
      <c r="D6" s="3"/>
      <c r="E6" s="3"/>
      <c r="F6" s="7" t="s">
        <v>31</v>
      </c>
      <c r="G6" s="3"/>
      <c r="H6" s="3"/>
      <c r="I6" s="3"/>
      <c r="J6" s="9" t="s">
        <v>32</v>
      </c>
      <c r="K6" s="9" t="s">
        <v>34</v>
      </c>
      <c r="L6" s="9" t="s">
        <v>35</v>
      </c>
      <c r="M6" s="9" t="s">
        <v>132</v>
      </c>
      <c r="N6" s="9" t="s">
        <v>130</v>
      </c>
      <c r="O6" s="9" t="s">
        <v>160</v>
      </c>
      <c r="P6" s="9" t="s">
        <v>161</v>
      </c>
      <c r="Q6" s="3"/>
      <c r="R6" s="7" t="s">
        <v>38</v>
      </c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">
      <c r="A7" s="9" t="s">
        <v>39</v>
      </c>
      <c r="B7" s="9" t="s">
        <v>32</v>
      </c>
      <c r="C7" s="9" t="s">
        <v>40</v>
      </c>
      <c r="D7" s="9" t="s">
        <v>41</v>
      </c>
      <c r="E7" s="3"/>
      <c r="F7" s="9" t="s">
        <v>32</v>
      </c>
      <c r="G7" s="9" t="s">
        <v>40</v>
      </c>
      <c r="H7" s="9" t="s">
        <v>41</v>
      </c>
      <c r="I7" s="3"/>
      <c r="J7" s="12" t="s">
        <v>43</v>
      </c>
      <c r="K7" s="12" t="s">
        <v>50</v>
      </c>
      <c r="L7" s="12" t="s">
        <v>51</v>
      </c>
      <c r="M7" s="12" t="s">
        <v>51</v>
      </c>
      <c r="N7" s="12" t="s">
        <v>52</v>
      </c>
      <c r="O7" s="12" t="s">
        <v>162</v>
      </c>
      <c r="P7" s="12" t="s">
        <v>163</v>
      </c>
      <c r="Q7" s="3"/>
      <c r="R7" s="9" t="s">
        <v>54</v>
      </c>
      <c r="S7" s="9" t="s">
        <v>55</v>
      </c>
      <c r="T7" s="3"/>
      <c r="U7" s="3"/>
      <c r="V7" s="3"/>
      <c r="W7" s="3"/>
      <c r="X7" s="3"/>
      <c r="Y7" s="3"/>
      <c r="Z7" s="3"/>
    </row>
    <row r="8" spans="1:26" ht="14.25" customHeight="1" x14ac:dyDescent="0.2">
      <c r="A8" s="3"/>
      <c r="B8" s="12" t="s">
        <v>43</v>
      </c>
      <c r="C8" s="12" t="s">
        <v>60</v>
      </c>
      <c r="D8" s="12" t="s">
        <v>51</v>
      </c>
      <c r="E8" s="3"/>
      <c r="F8" s="12" t="s">
        <v>43</v>
      </c>
      <c r="G8" s="12" t="s">
        <v>60</v>
      </c>
      <c r="H8" s="12" t="s">
        <v>51</v>
      </c>
      <c r="I8" s="3"/>
      <c r="J8" s="12" t="s">
        <v>61</v>
      </c>
      <c r="K8" s="12" t="s">
        <v>62</v>
      </c>
      <c r="L8" s="12" t="s">
        <v>63</v>
      </c>
      <c r="M8" s="12" t="s">
        <v>63</v>
      </c>
      <c r="N8" s="12" t="s">
        <v>64</v>
      </c>
      <c r="O8" s="30" t="s">
        <v>164</v>
      </c>
      <c r="P8" s="30" t="s">
        <v>165</v>
      </c>
      <c r="Q8" s="3"/>
      <c r="R8" s="12" t="s">
        <v>67</v>
      </c>
      <c r="S8" s="12" t="s">
        <v>50</v>
      </c>
      <c r="T8" s="3"/>
      <c r="U8" s="3"/>
      <c r="V8" s="3"/>
      <c r="W8" s="3"/>
      <c r="X8" s="3"/>
      <c r="Y8" s="3"/>
      <c r="Z8" s="3"/>
    </row>
    <row r="9" spans="1:26" ht="14.25" customHeight="1" x14ac:dyDescent="0.2">
      <c r="A9" s="14">
        <v>1</v>
      </c>
      <c r="B9" s="14" t="s">
        <v>73</v>
      </c>
      <c r="C9" s="14" t="s">
        <v>73</v>
      </c>
      <c r="D9" s="14" t="s">
        <v>73</v>
      </c>
      <c r="E9" s="3"/>
      <c r="F9" s="14">
        <f t="shared" ref="F9:F16" si="0">VLOOKUP(B9,Table_AC,2,0)</f>
        <v>85</v>
      </c>
      <c r="G9" s="14">
        <f t="shared" ref="G9:G16" si="1">VLOOKUP(C9,Table_Fac,2,0)</f>
        <v>45</v>
      </c>
      <c r="H9" s="14">
        <f t="shared" ref="H9:H16" si="2">VLOOKUP(D9,Table_Vdim,2,0)</f>
        <v>0</v>
      </c>
      <c r="I9" s="3"/>
      <c r="J9" s="14">
        <v>84.98</v>
      </c>
      <c r="K9" s="14">
        <v>0.2</v>
      </c>
      <c r="L9" s="14">
        <v>10.06</v>
      </c>
      <c r="M9" s="14">
        <v>0</v>
      </c>
      <c r="N9" s="14">
        <v>0</v>
      </c>
      <c r="O9" s="29">
        <v>216</v>
      </c>
      <c r="P9" s="29">
        <v>23.2</v>
      </c>
      <c r="Q9" s="3"/>
      <c r="R9" s="17">
        <f t="shared" ref="R9:R16" si="3">N9/Rshunt</f>
        <v>0</v>
      </c>
      <c r="S9" s="17">
        <f t="shared" ref="S9:S16" si="4">L9*R9</f>
        <v>0</v>
      </c>
      <c r="T9" s="3"/>
      <c r="U9" s="3"/>
      <c r="V9" s="3"/>
      <c r="W9" s="3"/>
      <c r="X9" s="3"/>
      <c r="Y9" s="3"/>
      <c r="Z9" s="3"/>
    </row>
    <row r="10" spans="1:26" ht="14.25" customHeight="1" x14ac:dyDescent="0.2">
      <c r="A10" s="14">
        <v>2</v>
      </c>
      <c r="B10" s="14" t="s">
        <v>73</v>
      </c>
      <c r="C10" s="14" t="s">
        <v>73</v>
      </c>
      <c r="D10" s="14" t="s">
        <v>95</v>
      </c>
      <c r="E10" s="3"/>
      <c r="F10" s="14">
        <f t="shared" si="0"/>
        <v>85</v>
      </c>
      <c r="G10" s="14">
        <f t="shared" si="1"/>
        <v>45</v>
      </c>
      <c r="H10" s="14">
        <f t="shared" si="2"/>
        <v>10</v>
      </c>
      <c r="I10" s="3"/>
      <c r="J10" s="14">
        <v>84.94</v>
      </c>
      <c r="K10" s="14">
        <v>31.8</v>
      </c>
      <c r="L10" s="14">
        <v>20.12</v>
      </c>
      <c r="M10" s="14">
        <v>10</v>
      </c>
      <c r="N10" s="14">
        <v>62.5</v>
      </c>
      <c r="O10" s="29">
        <v>356</v>
      </c>
      <c r="P10" s="29">
        <v>24.5</v>
      </c>
      <c r="Q10" s="3"/>
      <c r="R10" s="17">
        <f t="shared" si="3"/>
        <v>1250</v>
      </c>
      <c r="S10" s="17">
        <f t="shared" si="4"/>
        <v>25150</v>
      </c>
      <c r="T10" s="3"/>
      <c r="U10" s="3"/>
      <c r="V10" s="3"/>
      <c r="W10" s="3"/>
      <c r="X10" s="3"/>
      <c r="Y10" s="3"/>
      <c r="Z10" s="3"/>
    </row>
    <row r="11" spans="1:26" ht="14.25" customHeight="1" x14ac:dyDescent="0.2">
      <c r="A11" s="14">
        <v>3</v>
      </c>
      <c r="B11" s="14" t="s">
        <v>128</v>
      </c>
      <c r="C11" s="14" t="s">
        <v>128</v>
      </c>
      <c r="D11" s="14" t="s">
        <v>73</v>
      </c>
      <c r="E11" s="3"/>
      <c r="F11" s="14">
        <f t="shared" si="0"/>
        <v>120</v>
      </c>
      <c r="G11" s="14">
        <f t="shared" si="1"/>
        <v>60</v>
      </c>
      <c r="H11" s="14">
        <f t="shared" si="2"/>
        <v>0</v>
      </c>
      <c r="I11" s="3"/>
      <c r="J11" s="14">
        <v>120</v>
      </c>
      <c r="K11" s="14">
        <v>0.3</v>
      </c>
      <c r="L11" s="14">
        <v>10.039999999999999</v>
      </c>
      <c r="M11" s="14">
        <v>0</v>
      </c>
      <c r="N11" s="14">
        <v>0</v>
      </c>
      <c r="O11" s="29">
        <v>272</v>
      </c>
      <c r="P11" s="29">
        <v>24.6</v>
      </c>
      <c r="Q11" s="3"/>
      <c r="R11" s="17">
        <f t="shared" si="3"/>
        <v>0</v>
      </c>
      <c r="S11" s="17">
        <f t="shared" si="4"/>
        <v>0</v>
      </c>
      <c r="T11" s="3"/>
      <c r="U11" s="3"/>
      <c r="V11" s="3"/>
      <c r="W11" s="3"/>
      <c r="X11" s="3"/>
      <c r="Y11" s="3"/>
      <c r="Z11" s="3"/>
    </row>
    <row r="12" spans="1:26" ht="14.25" customHeight="1" x14ac:dyDescent="0.2">
      <c r="A12" s="14">
        <v>4</v>
      </c>
      <c r="B12" s="14" t="s">
        <v>128</v>
      </c>
      <c r="C12" s="14" t="s">
        <v>128</v>
      </c>
      <c r="D12" s="14" t="s">
        <v>95</v>
      </c>
      <c r="E12" s="3"/>
      <c r="F12" s="14">
        <f t="shared" si="0"/>
        <v>120</v>
      </c>
      <c r="G12" s="14">
        <f t="shared" si="1"/>
        <v>60</v>
      </c>
      <c r="H12" s="14">
        <f t="shared" si="2"/>
        <v>10</v>
      </c>
      <c r="I12" s="3"/>
      <c r="J12" s="14">
        <v>120</v>
      </c>
      <c r="K12" s="14">
        <v>30.2</v>
      </c>
      <c r="L12" s="14">
        <v>20.03</v>
      </c>
      <c r="M12" s="14">
        <v>10</v>
      </c>
      <c r="N12" s="14">
        <v>60.99</v>
      </c>
      <c r="O12" s="29">
        <v>400</v>
      </c>
      <c r="P12" s="29">
        <v>26</v>
      </c>
      <c r="Q12" s="3"/>
      <c r="R12" s="17">
        <f t="shared" si="3"/>
        <v>1219.8</v>
      </c>
      <c r="S12" s="17">
        <f t="shared" si="4"/>
        <v>24432.594000000001</v>
      </c>
      <c r="T12" s="3"/>
      <c r="U12" s="3"/>
      <c r="V12" s="3"/>
      <c r="W12" s="3"/>
      <c r="X12" s="3"/>
      <c r="Y12" s="3"/>
      <c r="Z12" s="3"/>
    </row>
    <row r="13" spans="1:26" ht="14.25" customHeight="1" x14ac:dyDescent="0.2">
      <c r="A13" s="14">
        <v>5</v>
      </c>
      <c r="B13" s="14" t="s">
        <v>137</v>
      </c>
      <c r="C13" s="14" t="s">
        <v>137</v>
      </c>
      <c r="D13" s="14" t="s">
        <v>73</v>
      </c>
      <c r="E13" s="3"/>
      <c r="F13" s="14">
        <f t="shared" si="0"/>
        <v>230</v>
      </c>
      <c r="G13" s="14">
        <f t="shared" si="1"/>
        <v>50</v>
      </c>
      <c r="H13" s="14">
        <f t="shared" si="2"/>
        <v>0</v>
      </c>
      <c r="I13" s="3"/>
      <c r="J13" s="14">
        <v>229.92</v>
      </c>
      <c r="K13" s="14">
        <v>0.8</v>
      </c>
      <c r="L13" s="14">
        <v>10.050000000000001</v>
      </c>
      <c r="M13" s="14">
        <v>0</v>
      </c>
      <c r="N13" s="14">
        <v>0</v>
      </c>
      <c r="O13" s="29">
        <v>424</v>
      </c>
      <c r="P13" s="29">
        <v>24.3</v>
      </c>
      <c r="Q13" s="3"/>
      <c r="R13" s="17">
        <f t="shared" si="3"/>
        <v>0</v>
      </c>
      <c r="S13" s="17">
        <f t="shared" si="4"/>
        <v>0</v>
      </c>
      <c r="T13" s="3"/>
      <c r="U13" s="3"/>
      <c r="V13" s="3"/>
      <c r="W13" s="3"/>
      <c r="X13" s="3"/>
      <c r="Y13" s="3"/>
      <c r="Z13" s="3"/>
    </row>
    <row r="14" spans="1:26" ht="14.25" customHeight="1" x14ac:dyDescent="0.2">
      <c r="A14" s="14">
        <v>6</v>
      </c>
      <c r="B14" s="14" t="s">
        <v>137</v>
      </c>
      <c r="C14" s="14" t="s">
        <v>137</v>
      </c>
      <c r="D14" s="14" t="s">
        <v>95</v>
      </c>
      <c r="E14" s="3"/>
      <c r="F14" s="14">
        <f t="shared" si="0"/>
        <v>230</v>
      </c>
      <c r="G14" s="14">
        <f t="shared" si="1"/>
        <v>50</v>
      </c>
      <c r="H14" s="14">
        <f t="shared" si="2"/>
        <v>10</v>
      </c>
      <c r="I14" s="3"/>
      <c r="J14" s="14">
        <v>229.92</v>
      </c>
      <c r="K14" s="14">
        <v>30</v>
      </c>
      <c r="L14" s="14">
        <v>20.044</v>
      </c>
      <c r="M14" s="14">
        <v>10</v>
      </c>
      <c r="N14" s="14">
        <v>61.36</v>
      </c>
      <c r="O14" s="29">
        <v>510</v>
      </c>
      <c r="P14" s="29">
        <v>26.9</v>
      </c>
      <c r="Q14" s="3"/>
      <c r="R14" s="17">
        <f t="shared" si="3"/>
        <v>1227.1999999999998</v>
      </c>
      <c r="S14" s="17">
        <f t="shared" si="4"/>
        <v>24597.996799999997</v>
      </c>
      <c r="T14" s="3"/>
      <c r="U14" s="3"/>
      <c r="V14" s="3"/>
      <c r="W14" s="3"/>
      <c r="X14" s="3"/>
      <c r="Y14" s="3"/>
      <c r="Z14" s="3"/>
    </row>
    <row r="15" spans="1:26" ht="14.25" customHeight="1" x14ac:dyDescent="0.2">
      <c r="A15" s="14">
        <v>7</v>
      </c>
      <c r="B15" s="14" t="s">
        <v>95</v>
      </c>
      <c r="C15" s="14" t="s">
        <v>95</v>
      </c>
      <c r="D15" s="14" t="s">
        <v>73</v>
      </c>
      <c r="E15" s="3"/>
      <c r="F15" s="14">
        <f t="shared" si="0"/>
        <v>264</v>
      </c>
      <c r="G15" s="14">
        <f t="shared" si="1"/>
        <v>65</v>
      </c>
      <c r="H15" s="14">
        <f t="shared" si="2"/>
        <v>0</v>
      </c>
      <c r="I15" s="3"/>
      <c r="J15" s="14">
        <v>263.87</v>
      </c>
      <c r="K15" s="14">
        <v>1.1000000000000001</v>
      </c>
      <c r="L15" s="14">
        <v>10.039999999999999</v>
      </c>
      <c r="M15" s="14">
        <v>0</v>
      </c>
      <c r="N15" s="14">
        <v>0</v>
      </c>
      <c r="O15" s="29">
        <v>474</v>
      </c>
      <c r="P15" s="29">
        <v>25.3</v>
      </c>
      <c r="Q15" s="3"/>
      <c r="R15" s="17">
        <f t="shared" si="3"/>
        <v>0</v>
      </c>
      <c r="S15" s="17">
        <f t="shared" si="4"/>
        <v>0</v>
      </c>
      <c r="T15" s="3"/>
      <c r="U15" s="3"/>
      <c r="V15" s="3"/>
      <c r="W15" s="3"/>
      <c r="X15" s="3"/>
      <c r="Y15" s="3"/>
      <c r="Z15" s="3"/>
    </row>
    <row r="16" spans="1:26" ht="14.25" customHeight="1" x14ac:dyDescent="0.2">
      <c r="A16" s="14">
        <v>8</v>
      </c>
      <c r="B16" s="14" t="s">
        <v>95</v>
      </c>
      <c r="C16" s="14" t="s">
        <v>95</v>
      </c>
      <c r="D16" s="14" t="s">
        <v>88</v>
      </c>
      <c r="E16" s="3"/>
      <c r="F16" s="14">
        <f t="shared" si="0"/>
        <v>264</v>
      </c>
      <c r="G16" s="14">
        <f t="shared" si="1"/>
        <v>65</v>
      </c>
      <c r="H16" s="14">
        <f t="shared" si="2"/>
        <v>5</v>
      </c>
      <c r="I16" s="3"/>
      <c r="J16" s="14">
        <v>263.87</v>
      </c>
      <c r="K16" s="14">
        <v>14.6</v>
      </c>
      <c r="L16" s="14">
        <v>18.32</v>
      </c>
      <c r="M16" s="14">
        <v>5</v>
      </c>
      <c r="N16" s="14">
        <v>30.76</v>
      </c>
      <c r="O16" s="29">
        <v>572</v>
      </c>
      <c r="P16" s="29">
        <v>28</v>
      </c>
      <c r="Q16" s="3"/>
      <c r="R16" s="17">
        <f t="shared" si="3"/>
        <v>615.20000000000005</v>
      </c>
      <c r="S16" s="17">
        <f t="shared" si="4"/>
        <v>11270.464000000002</v>
      </c>
      <c r="T16" s="3"/>
      <c r="U16" s="3"/>
      <c r="V16" s="3"/>
      <c r="W16" s="3"/>
      <c r="X16" s="3"/>
      <c r="Y16" s="3"/>
      <c r="Z16" s="3"/>
    </row>
    <row r="17" spans="1:26" ht="14.25" customHeight="1" x14ac:dyDescent="0.2">
      <c r="A17" s="14"/>
      <c r="B17" s="14"/>
      <c r="C17" s="1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">
      <c r="A18" s="14"/>
      <c r="B18" s="14"/>
      <c r="C18" s="1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7" t="s">
        <v>166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5"/>
      <c r="D20" s="5"/>
      <c r="E20" s="5"/>
      <c r="F20" s="3"/>
      <c r="G20" s="3"/>
      <c r="H20" s="3"/>
      <c r="I20" s="3"/>
      <c r="J20" s="7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7" t="s">
        <v>30</v>
      </c>
      <c r="B21" s="3"/>
      <c r="C21" s="3"/>
      <c r="D21" s="3"/>
      <c r="E21" s="3"/>
      <c r="F21" s="7" t="s">
        <v>31</v>
      </c>
      <c r="G21" s="3"/>
      <c r="H21" s="3"/>
      <c r="I21" s="3"/>
      <c r="J21" s="9" t="s">
        <v>32</v>
      </c>
      <c r="K21" s="9" t="s">
        <v>34</v>
      </c>
      <c r="L21" s="9" t="s">
        <v>35</v>
      </c>
      <c r="M21" s="9" t="s">
        <v>132</v>
      </c>
      <c r="N21" s="9" t="s">
        <v>130</v>
      </c>
      <c r="O21" s="9" t="s">
        <v>167</v>
      </c>
      <c r="P21" s="9" t="s">
        <v>168</v>
      </c>
      <c r="Q21" s="3"/>
      <c r="R21" s="7" t="s">
        <v>38</v>
      </c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9" t="s">
        <v>39</v>
      </c>
      <c r="B22" s="9" t="s">
        <v>32</v>
      </c>
      <c r="C22" s="9" t="s">
        <v>40</v>
      </c>
      <c r="D22" s="9" t="s">
        <v>41</v>
      </c>
      <c r="E22" s="3"/>
      <c r="F22" s="9" t="s">
        <v>32</v>
      </c>
      <c r="G22" s="9" t="s">
        <v>40</v>
      </c>
      <c r="H22" s="9" t="s">
        <v>41</v>
      </c>
      <c r="I22" s="3"/>
      <c r="J22" s="12" t="s">
        <v>43</v>
      </c>
      <c r="K22" s="12" t="s">
        <v>50</v>
      </c>
      <c r="L22" s="12" t="s">
        <v>51</v>
      </c>
      <c r="M22" s="12" t="s">
        <v>51</v>
      </c>
      <c r="N22" s="12" t="s">
        <v>52</v>
      </c>
      <c r="O22" s="12" t="s">
        <v>162</v>
      </c>
      <c r="P22" s="12" t="s">
        <v>163</v>
      </c>
      <c r="Q22" s="3"/>
      <c r="R22" s="9" t="s">
        <v>54</v>
      </c>
      <c r="S22" s="9" t="s">
        <v>55</v>
      </c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12" t="s">
        <v>43</v>
      </c>
      <c r="C23" s="12" t="s">
        <v>60</v>
      </c>
      <c r="D23" s="12" t="s">
        <v>51</v>
      </c>
      <c r="E23" s="3"/>
      <c r="F23" s="12" t="s">
        <v>43</v>
      </c>
      <c r="G23" s="12" t="s">
        <v>60</v>
      </c>
      <c r="H23" s="12" t="s">
        <v>51</v>
      </c>
      <c r="I23" s="3"/>
      <c r="J23" s="12" t="s">
        <v>61</v>
      </c>
      <c r="K23" s="12" t="s">
        <v>62</v>
      </c>
      <c r="L23" s="12" t="s">
        <v>63</v>
      </c>
      <c r="M23" s="12" t="s">
        <v>63</v>
      </c>
      <c r="N23" s="12" t="s">
        <v>64</v>
      </c>
      <c r="O23" s="30" t="s">
        <v>164</v>
      </c>
      <c r="P23" s="30" t="s">
        <v>165</v>
      </c>
      <c r="Q23" s="3"/>
      <c r="R23" s="12" t="s">
        <v>67</v>
      </c>
      <c r="S23" s="12" t="s">
        <v>50</v>
      </c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14">
        <v>1</v>
      </c>
      <c r="B24" s="14" t="s">
        <v>73</v>
      </c>
      <c r="C24" s="14" t="s">
        <v>73</v>
      </c>
      <c r="D24" s="14" t="s">
        <v>73</v>
      </c>
      <c r="E24" s="3"/>
      <c r="F24" s="14">
        <f t="shared" ref="F24:F31" si="5">VLOOKUP(B24,Table_AC,2,0)</f>
        <v>85</v>
      </c>
      <c r="G24" s="14">
        <f t="shared" ref="G24:G31" si="6">VLOOKUP(C24,Table_Fac,2,0)</f>
        <v>45</v>
      </c>
      <c r="H24" s="14">
        <f t="shared" ref="H24:H31" si="7">VLOOKUP(D24,Table_Vdim,2,0)</f>
        <v>0</v>
      </c>
      <c r="I24" s="3"/>
      <c r="J24" s="14">
        <v>84.98</v>
      </c>
      <c r="K24" s="14">
        <v>0.2</v>
      </c>
      <c r="L24" s="14">
        <v>10.07</v>
      </c>
      <c r="M24" s="14">
        <v>0</v>
      </c>
      <c r="N24" s="14">
        <v>0</v>
      </c>
      <c r="O24" s="29">
        <v>31.4</v>
      </c>
      <c r="P24" s="29">
        <v>23.1</v>
      </c>
      <c r="Q24" s="3"/>
      <c r="R24" s="17">
        <f t="shared" ref="R24:R31" si="8">N24/Rshunt</f>
        <v>0</v>
      </c>
      <c r="S24" s="17">
        <f t="shared" ref="S24:S31" si="9">L24*R24</f>
        <v>0</v>
      </c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14">
        <v>2</v>
      </c>
      <c r="B25" s="14" t="s">
        <v>73</v>
      </c>
      <c r="C25" s="14" t="s">
        <v>73</v>
      </c>
      <c r="D25" s="14" t="s">
        <v>95</v>
      </c>
      <c r="E25" s="3"/>
      <c r="F25" s="14">
        <f t="shared" si="5"/>
        <v>85</v>
      </c>
      <c r="G25" s="14">
        <f t="shared" si="6"/>
        <v>45</v>
      </c>
      <c r="H25" s="14">
        <f t="shared" si="7"/>
        <v>10</v>
      </c>
      <c r="I25" s="3"/>
      <c r="J25" s="14">
        <v>84.94</v>
      </c>
      <c r="K25" s="14">
        <v>32</v>
      </c>
      <c r="L25" s="14">
        <v>20.100000000000001</v>
      </c>
      <c r="M25" s="14">
        <v>10</v>
      </c>
      <c r="N25" s="14">
        <v>62.93</v>
      </c>
      <c r="O25" s="29">
        <v>40.6</v>
      </c>
      <c r="P25" s="29">
        <v>48.5</v>
      </c>
      <c r="Q25" s="3"/>
      <c r="R25" s="17">
        <f t="shared" si="8"/>
        <v>1258.5999999999999</v>
      </c>
      <c r="S25" s="17">
        <f t="shared" si="9"/>
        <v>25297.86</v>
      </c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14">
        <v>3</v>
      </c>
      <c r="B26" s="14" t="s">
        <v>128</v>
      </c>
      <c r="C26" s="14" t="s">
        <v>128</v>
      </c>
      <c r="D26" s="14" t="s">
        <v>73</v>
      </c>
      <c r="E26" s="3"/>
      <c r="F26" s="14">
        <f t="shared" si="5"/>
        <v>120</v>
      </c>
      <c r="G26" s="14">
        <f t="shared" si="6"/>
        <v>60</v>
      </c>
      <c r="H26" s="14">
        <f t="shared" si="7"/>
        <v>0</v>
      </c>
      <c r="I26" s="3"/>
      <c r="J26" s="14">
        <v>120</v>
      </c>
      <c r="K26" s="14">
        <v>0.3</v>
      </c>
      <c r="L26" s="14">
        <v>10.06</v>
      </c>
      <c r="M26" s="14">
        <v>0</v>
      </c>
      <c r="N26" s="14">
        <v>0</v>
      </c>
      <c r="O26" s="29">
        <v>41</v>
      </c>
      <c r="P26" s="29">
        <v>23.1</v>
      </c>
      <c r="Q26" s="3"/>
      <c r="R26" s="17">
        <f t="shared" si="8"/>
        <v>0</v>
      </c>
      <c r="S26" s="17">
        <f t="shared" si="9"/>
        <v>0</v>
      </c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14">
        <v>4</v>
      </c>
      <c r="B27" s="14" t="s">
        <v>128</v>
      </c>
      <c r="C27" s="14" t="s">
        <v>128</v>
      </c>
      <c r="D27" s="14" t="s">
        <v>95</v>
      </c>
      <c r="E27" s="3"/>
      <c r="F27" s="14">
        <f t="shared" si="5"/>
        <v>120</v>
      </c>
      <c r="G27" s="14">
        <f t="shared" si="6"/>
        <v>60</v>
      </c>
      <c r="H27" s="14">
        <f t="shared" si="7"/>
        <v>10</v>
      </c>
      <c r="I27" s="3"/>
      <c r="J27" s="14">
        <v>120</v>
      </c>
      <c r="K27" s="14">
        <v>29.8</v>
      </c>
      <c r="L27" s="14">
        <v>20.010000000000002</v>
      </c>
      <c r="M27" s="14">
        <v>10</v>
      </c>
      <c r="N27" s="14">
        <v>60.03</v>
      </c>
      <c r="O27" s="29">
        <v>51.2</v>
      </c>
      <c r="P27" s="29">
        <v>50.3</v>
      </c>
      <c r="Q27" s="3"/>
      <c r="R27" s="17">
        <f t="shared" si="8"/>
        <v>1200.5999999999999</v>
      </c>
      <c r="S27" s="17">
        <f t="shared" si="9"/>
        <v>24024.006000000001</v>
      </c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14">
        <v>5</v>
      </c>
      <c r="B28" s="14" t="s">
        <v>137</v>
      </c>
      <c r="C28" s="14" t="s">
        <v>137</v>
      </c>
      <c r="D28" s="14" t="s">
        <v>73</v>
      </c>
      <c r="E28" s="3"/>
      <c r="F28" s="14">
        <f t="shared" si="5"/>
        <v>230</v>
      </c>
      <c r="G28" s="14">
        <f t="shared" si="6"/>
        <v>50</v>
      </c>
      <c r="H28" s="14">
        <f t="shared" si="7"/>
        <v>0</v>
      </c>
      <c r="I28" s="3"/>
      <c r="J28" s="14">
        <v>229.92</v>
      </c>
      <c r="K28" s="14">
        <v>0.8</v>
      </c>
      <c r="L28" s="14">
        <v>10.053000000000001</v>
      </c>
      <c r="M28" s="14">
        <v>0</v>
      </c>
      <c r="N28" s="14">
        <v>0</v>
      </c>
      <c r="O28" s="29">
        <v>64.5</v>
      </c>
      <c r="P28" s="29">
        <v>25.4</v>
      </c>
      <c r="Q28" s="3"/>
      <c r="R28" s="17">
        <f t="shared" si="8"/>
        <v>0</v>
      </c>
      <c r="S28" s="17">
        <f t="shared" si="9"/>
        <v>0</v>
      </c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14">
        <v>6</v>
      </c>
      <c r="B29" s="14" t="s">
        <v>137</v>
      </c>
      <c r="C29" s="14" t="s">
        <v>137</v>
      </c>
      <c r="D29" s="14" t="s">
        <v>95</v>
      </c>
      <c r="E29" s="3"/>
      <c r="F29" s="14">
        <f t="shared" si="5"/>
        <v>230</v>
      </c>
      <c r="G29" s="14">
        <f t="shared" si="6"/>
        <v>50</v>
      </c>
      <c r="H29" s="14">
        <f t="shared" si="7"/>
        <v>10</v>
      </c>
      <c r="I29" s="3"/>
      <c r="J29" s="14">
        <v>229.92</v>
      </c>
      <c r="K29" s="14">
        <v>29.5</v>
      </c>
      <c r="L29" s="14">
        <v>20</v>
      </c>
      <c r="M29" s="14">
        <v>10</v>
      </c>
      <c r="N29" s="14">
        <v>60.1</v>
      </c>
      <c r="O29" s="29">
        <v>76.5</v>
      </c>
      <c r="P29" s="29">
        <v>49.7</v>
      </c>
      <c r="Q29" s="3"/>
      <c r="R29" s="17">
        <f t="shared" si="8"/>
        <v>1202</v>
      </c>
      <c r="S29" s="17">
        <f t="shared" si="9"/>
        <v>24040</v>
      </c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14">
        <v>7</v>
      </c>
      <c r="B30" s="14" t="s">
        <v>95</v>
      </c>
      <c r="C30" s="14" t="s">
        <v>95</v>
      </c>
      <c r="D30" s="14" t="s">
        <v>73</v>
      </c>
      <c r="E30" s="3"/>
      <c r="F30" s="14">
        <f t="shared" si="5"/>
        <v>264</v>
      </c>
      <c r="G30" s="14">
        <f t="shared" si="6"/>
        <v>65</v>
      </c>
      <c r="H30" s="14">
        <f t="shared" si="7"/>
        <v>0</v>
      </c>
      <c r="I30" s="3"/>
      <c r="J30" s="14">
        <v>263.87</v>
      </c>
      <c r="K30" s="14">
        <v>1.1000000000000001</v>
      </c>
      <c r="L30" s="14">
        <v>10.050000000000001</v>
      </c>
      <c r="M30" s="14">
        <v>0</v>
      </c>
      <c r="N30" s="14">
        <v>0</v>
      </c>
      <c r="O30" s="29">
        <v>72</v>
      </c>
      <c r="P30" s="29">
        <v>25.4</v>
      </c>
      <c r="Q30" s="3"/>
      <c r="R30" s="17">
        <f t="shared" si="8"/>
        <v>0</v>
      </c>
      <c r="S30" s="17">
        <f t="shared" si="9"/>
        <v>0</v>
      </c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14">
        <v>8</v>
      </c>
      <c r="B31" s="14" t="s">
        <v>95</v>
      </c>
      <c r="C31" s="14" t="s">
        <v>95</v>
      </c>
      <c r="D31" s="14" t="s">
        <v>88</v>
      </c>
      <c r="E31" s="3"/>
      <c r="F31" s="14">
        <f t="shared" si="5"/>
        <v>264</v>
      </c>
      <c r="G31" s="14">
        <f t="shared" si="6"/>
        <v>65</v>
      </c>
      <c r="H31" s="14">
        <f t="shared" si="7"/>
        <v>5</v>
      </c>
      <c r="I31" s="3"/>
      <c r="J31" s="14">
        <v>263.87</v>
      </c>
      <c r="K31" s="14">
        <v>14.3</v>
      </c>
      <c r="L31" s="14">
        <v>18.28</v>
      </c>
      <c r="M31" s="14">
        <v>5</v>
      </c>
      <c r="N31" s="14">
        <v>30.43</v>
      </c>
      <c r="O31" s="29">
        <v>82</v>
      </c>
      <c r="P31" s="29">
        <v>50.8</v>
      </c>
      <c r="Q31" s="3"/>
      <c r="R31" s="17">
        <f t="shared" si="8"/>
        <v>608.59999999999991</v>
      </c>
      <c r="S31" s="17">
        <f t="shared" si="9"/>
        <v>11125.207999999999</v>
      </c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4.5" defaultRowHeight="15" customHeight="1" x14ac:dyDescent="0.2"/>
  <cols>
    <col min="1" max="1" width="34.6640625" customWidth="1"/>
    <col min="2" max="2" width="14.6640625" customWidth="1"/>
    <col min="3" max="26" width="10.6640625" customWidth="1"/>
  </cols>
  <sheetData>
    <row r="1" spans="1:26" ht="23" customHeight="1" x14ac:dyDescent="0.2">
      <c r="A1" s="1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">
      <c r="A4" s="7" t="s">
        <v>170</v>
      </c>
      <c r="B4" s="27"/>
      <c r="C4" s="27"/>
      <c r="D4" s="27"/>
      <c r="E4" s="27"/>
      <c r="F4" s="27"/>
      <c r="G4" s="2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">
      <c r="A5" s="3"/>
      <c r="B5" s="3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">
      <c r="A6" s="3" t="s">
        <v>171</v>
      </c>
      <c r="B6" s="31">
        <v>16.8</v>
      </c>
      <c r="C6" s="3" t="s">
        <v>172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">
      <c r="A8" s="3" t="s">
        <v>173</v>
      </c>
      <c r="B8" s="31">
        <v>16.8</v>
      </c>
      <c r="C8" s="3" t="s">
        <v>172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">
      <c r="A9" s="3"/>
      <c r="B9" s="1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">
      <c r="A10" s="3" t="s">
        <v>174</v>
      </c>
      <c r="B10" s="18">
        <f>MIN(B6,B8)</f>
        <v>16.8</v>
      </c>
      <c r="C10" s="3" t="s">
        <v>172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">
      <c r="A12" s="3" t="s">
        <v>147</v>
      </c>
      <c r="B12" s="14" t="str">
        <f>IF(B10&gt;=8,"Pass","Fail")</f>
        <v>Pass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">
      <c r="A15" s="7" t="s">
        <v>175</v>
      </c>
      <c r="B15" s="27"/>
      <c r="C15" s="2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">
      <c r="A16" s="3"/>
      <c r="B16" s="3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">
      <c r="A17" s="3" t="s">
        <v>171</v>
      </c>
      <c r="B17" s="31">
        <v>10</v>
      </c>
      <c r="C17" s="3" t="s">
        <v>172</v>
      </c>
      <c r="D17" s="2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">
      <c r="A18" s="3"/>
      <c r="B18" s="3"/>
      <c r="C18" s="3"/>
      <c r="D18" s="2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 t="s">
        <v>173</v>
      </c>
      <c r="B19" s="31">
        <v>10</v>
      </c>
      <c r="C19" s="3" t="s">
        <v>172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1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 t="s">
        <v>174</v>
      </c>
      <c r="B21" s="18">
        <f>MIN(B17,B19)</f>
        <v>10</v>
      </c>
      <c r="C21" s="3" t="s">
        <v>172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 t="s">
        <v>147</v>
      </c>
      <c r="B23" s="14" t="str">
        <f>IF(B21&gt;=6.4,"Pass","Fail")</f>
        <v>Pass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1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H24" sqref="H24"/>
    </sheetView>
  </sheetViews>
  <sheetFormatPr baseColWidth="10" defaultColWidth="14.5" defaultRowHeight="15" customHeight="1" x14ac:dyDescent="0.2"/>
  <cols>
    <col min="1" max="1" width="28.33203125" customWidth="1"/>
    <col min="2" max="2" width="14.6640625" customWidth="1"/>
    <col min="3" max="3" width="12.6640625" customWidth="1"/>
    <col min="4" max="4" width="30.6640625" customWidth="1"/>
    <col min="5" max="6" width="12.6640625" customWidth="1"/>
    <col min="7" max="26" width="10.6640625" customWidth="1"/>
  </cols>
  <sheetData>
    <row r="1" spans="1:26" ht="30" customHeight="1" x14ac:dyDescent="0.2">
      <c r="A1" s="1" t="s">
        <v>176</v>
      </c>
      <c r="B1" s="14"/>
      <c r="C1" s="1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3"/>
      <c r="B2" s="14"/>
      <c r="C2" s="14"/>
      <c r="D2" s="3"/>
      <c r="E2" s="27" t="s">
        <v>177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7" t="s">
        <v>178</v>
      </c>
      <c r="B3" s="32" t="s">
        <v>179</v>
      </c>
      <c r="C3" s="32" t="s">
        <v>180</v>
      </c>
      <c r="D3" s="7" t="s">
        <v>181</v>
      </c>
      <c r="E3" s="27" t="s">
        <v>182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">
      <c r="A4" s="3" t="s">
        <v>183</v>
      </c>
      <c r="B4" s="14">
        <v>85</v>
      </c>
      <c r="C4" s="14" t="s">
        <v>184</v>
      </c>
      <c r="D4" s="3"/>
      <c r="E4" s="5" t="s">
        <v>73</v>
      </c>
      <c r="F4" s="14">
        <f>Vac_min</f>
        <v>85</v>
      </c>
      <c r="G4" s="2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">
      <c r="A5" s="3" t="s">
        <v>185</v>
      </c>
      <c r="B5" s="14">
        <v>100</v>
      </c>
      <c r="C5" s="17" t="s">
        <v>184</v>
      </c>
      <c r="D5" s="5"/>
      <c r="E5" s="3" t="s">
        <v>128</v>
      </c>
      <c r="F5" s="14">
        <f>Vac_120</f>
        <v>120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">
      <c r="A6" s="3" t="s">
        <v>186</v>
      </c>
      <c r="B6" s="14">
        <v>120</v>
      </c>
      <c r="C6" s="14" t="s">
        <v>184</v>
      </c>
      <c r="D6" s="3"/>
      <c r="E6" s="3" t="s">
        <v>137</v>
      </c>
      <c r="F6" s="14">
        <f>Vac_230</f>
        <v>230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">
      <c r="A7" s="3" t="s">
        <v>187</v>
      </c>
      <c r="B7" s="14">
        <v>230</v>
      </c>
      <c r="C7" s="14" t="s">
        <v>184</v>
      </c>
      <c r="D7" s="3"/>
      <c r="E7" s="3" t="s">
        <v>95</v>
      </c>
      <c r="F7" s="14">
        <f>Vac_max</f>
        <v>264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">
      <c r="A8" s="3" t="s">
        <v>188</v>
      </c>
      <c r="B8" s="14">
        <v>264</v>
      </c>
      <c r="C8" s="14" t="s">
        <v>184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">
      <c r="A9" s="3"/>
      <c r="B9" s="14"/>
      <c r="C9" s="1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">
      <c r="A10" s="3"/>
      <c r="B10" s="14"/>
      <c r="C10" s="14"/>
      <c r="D10" s="3"/>
      <c r="E10" s="27" t="s">
        <v>189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">
      <c r="A11" s="3" t="s">
        <v>190</v>
      </c>
      <c r="B11" s="14">
        <v>45</v>
      </c>
      <c r="C11" s="14" t="s">
        <v>60</v>
      </c>
      <c r="D11" s="3"/>
      <c r="E11" s="5" t="s">
        <v>73</v>
      </c>
      <c r="F11" s="14">
        <f>Fac_min</f>
        <v>45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">
      <c r="A12" s="3" t="s">
        <v>191</v>
      </c>
      <c r="B12" s="14">
        <v>50</v>
      </c>
      <c r="C12" s="14" t="s">
        <v>60</v>
      </c>
      <c r="D12" s="3"/>
      <c r="E12" s="3" t="s">
        <v>128</v>
      </c>
      <c r="F12" s="14">
        <f>Fac_60</f>
        <v>60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">
      <c r="A13" s="3" t="s">
        <v>192</v>
      </c>
      <c r="B13" s="14">
        <v>60</v>
      </c>
      <c r="C13" s="14" t="s">
        <v>60</v>
      </c>
      <c r="D13" s="3"/>
      <c r="E13" s="3" t="s">
        <v>137</v>
      </c>
      <c r="F13" s="14">
        <f>Fac_50</f>
        <v>50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">
      <c r="A14" s="3" t="s">
        <v>193</v>
      </c>
      <c r="B14" s="14">
        <v>65</v>
      </c>
      <c r="C14" s="14" t="s">
        <v>60</v>
      </c>
      <c r="D14" s="3"/>
      <c r="E14" s="3" t="s">
        <v>95</v>
      </c>
      <c r="F14" s="14">
        <f>Fac_max</f>
        <v>65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">
      <c r="A15" s="27"/>
      <c r="B15" s="14"/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">
      <c r="A16" s="3"/>
      <c r="B16" s="14"/>
      <c r="C16" s="14"/>
      <c r="D16" s="28"/>
      <c r="E16" s="3" t="s">
        <v>194</v>
      </c>
      <c r="F16" s="1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">
      <c r="A17" s="3" t="s">
        <v>195</v>
      </c>
      <c r="B17" s="14">
        <v>0</v>
      </c>
      <c r="C17" s="14" t="s">
        <v>51</v>
      </c>
      <c r="D17" s="28"/>
      <c r="E17" s="3" t="s">
        <v>73</v>
      </c>
      <c r="F17" s="14">
        <f>Vdim_00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">
      <c r="A18" s="3" t="s">
        <v>196</v>
      </c>
      <c r="B18" s="14">
        <v>1</v>
      </c>
      <c r="C18" s="14" t="s">
        <v>51</v>
      </c>
      <c r="D18" s="3"/>
      <c r="E18" s="3" t="s">
        <v>88</v>
      </c>
      <c r="F18" s="14">
        <f>Vdim_05</f>
        <v>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 t="s">
        <v>197</v>
      </c>
      <c r="B19" s="14">
        <v>2</v>
      </c>
      <c r="C19" s="14" t="s">
        <v>51</v>
      </c>
      <c r="D19" s="3"/>
      <c r="E19" s="3" t="s">
        <v>95</v>
      </c>
      <c r="F19" s="14">
        <f>Vdim_10</f>
        <v>10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 t="s">
        <v>198</v>
      </c>
      <c r="B20" s="14">
        <v>2.5</v>
      </c>
      <c r="C20" s="14" t="s">
        <v>51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 t="s">
        <v>199</v>
      </c>
      <c r="B21" s="14">
        <v>3</v>
      </c>
      <c r="C21" s="14" t="s">
        <v>51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 t="s">
        <v>200</v>
      </c>
      <c r="B22" s="14">
        <v>4</v>
      </c>
      <c r="C22" s="14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 t="s">
        <v>201</v>
      </c>
      <c r="B23" s="14">
        <v>5</v>
      </c>
      <c r="C23" s="14" t="s">
        <v>51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 t="s">
        <v>202</v>
      </c>
      <c r="B24" s="14">
        <v>6</v>
      </c>
      <c r="C24" s="14" t="s">
        <v>51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 t="s">
        <v>203</v>
      </c>
      <c r="B25" s="14">
        <v>7</v>
      </c>
      <c r="C25" s="14" t="s">
        <v>51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 t="s">
        <v>204</v>
      </c>
      <c r="B26" s="14">
        <v>7.5</v>
      </c>
      <c r="C26" s="14" t="s">
        <v>51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 t="s">
        <v>205</v>
      </c>
      <c r="B27" s="14">
        <v>8</v>
      </c>
      <c r="C27" s="14" t="s">
        <v>51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 t="s">
        <v>206</v>
      </c>
      <c r="B28" s="14">
        <v>9</v>
      </c>
      <c r="C28" s="14" t="s">
        <v>51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 t="s">
        <v>207</v>
      </c>
      <c r="B29" s="14">
        <v>10</v>
      </c>
      <c r="C29" s="14" t="s">
        <v>51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14"/>
      <c r="C30" s="1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 t="s">
        <v>208</v>
      </c>
      <c r="B31" s="14">
        <v>0.05</v>
      </c>
      <c r="C31" s="14" t="s">
        <v>209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14"/>
      <c r="C32" s="1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14"/>
      <c r="C33" s="1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14"/>
      <c r="C34" s="1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14"/>
      <c r="C35" s="1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14"/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14"/>
      <c r="C37" s="1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14"/>
      <c r="C38" s="1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14"/>
      <c r="C39" s="1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14"/>
      <c r="C40" s="1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14"/>
      <c r="C41" s="1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14"/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14"/>
      <c r="C43" s="1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14"/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14"/>
      <c r="C45" s="1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14"/>
      <c r="C46" s="1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14"/>
      <c r="C47" s="1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14"/>
      <c r="C48" s="1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14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14"/>
      <c r="C50" s="1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14"/>
      <c r="C51" s="1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14"/>
      <c r="C52" s="1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14"/>
      <c r="C53" s="1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14"/>
      <c r="C54" s="1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14"/>
      <c r="C55" s="1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14"/>
      <c r="C56" s="1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14"/>
      <c r="C57" s="1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14"/>
      <c r="C58" s="1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14"/>
      <c r="C59" s="1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14"/>
      <c r="C60" s="1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14"/>
      <c r="C61" s="1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14"/>
      <c r="C62" s="1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14"/>
      <c r="C63" s="1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14"/>
      <c r="C64" s="1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14"/>
      <c r="C65" s="1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14"/>
      <c r="C66" s="1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14"/>
      <c r="C67" s="1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14"/>
      <c r="C68" s="1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14"/>
      <c r="C69" s="1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14"/>
      <c r="C70" s="1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14"/>
      <c r="C71" s="1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14"/>
      <c r="C72" s="1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14"/>
      <c r="C73" s="1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14"/>
      <c r="C74" s="1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14"/>
      <c r="C75" s="1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14"/>
      <c r="C76" s="1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14"/>
      <c r="C77" s="1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14"/>
      <c r="C78" s="1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14"/>
      <c r="C79" s="1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14"/>
      <c r="C80" s="1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14"/>
      <c r="C81" s="1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14"/>
      <c r="C82" s="1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14"/>
      <c r="C83" s="1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14"/>
      <c r="C84" s="1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14"/>
      <c r="C85" s="1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14"/>
      <c r="C86" s="1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14"/>
      <c r="C87" s="1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14"/>
      <c r="C88" s="1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14"/>
      <c r="C89" s="1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14"/>
      <c r="C90" s="1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14"/>
      <c r="C91" s="1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14"/>
      <c r="C92" s="1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14"/>
      <c r="C93" s="1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14"/>
      <c r="C94" s="1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14"/>
      <c r="C95" s="1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14"/>
      <c r="C96" s="1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14"/>
      <c r="C97" s="1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14"/>
      <c r="C98" s="1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14"/>
      <c r="C99" s="1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14"/>
      <c r="C100" s="1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14"/>
      <c r="C101" s="1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14"/>
      <c r="C102" s="1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14"/>
      <c r="C103" s="1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14"/>
      <c r="C104" s="1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14"/>
      <c r="C105" s="1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14"/>
      <c r="C106" s="1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14"/>
      <c r="C107" s="1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14"/>
      <c r="C108" s="1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14"/>
      <c r="C109" s="1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14"/>
      <c r="C110" s="1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14"/>
      <c r="C111" s="1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14"/>
      <c r="C112" s="1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14"/>
      <c r="C113" s="1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14"/>
      <c r="C114" s="1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14"/>
      <c r="C115" s="1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14"/>
      <c r="C116" s="1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14"/>
      <c r="C117" s="1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14"/>
      <c r="C118" s="1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14"/>
      <c r="C119" s="1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14"/>
      <c r="C120" s="1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14"/>
      <c r="C121" s="1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14"/>
      <c r="C122" s="1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14"/>
      <c r="C123" s="1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14"/>
      <c r="C124" s="1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14"/>
      <c r="C125" s="1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14"/>
      <c r="C126" s="1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14"/>
      <c r="C127" s="1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14"/>
      <c r="C128" s="1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14"/>
      <c r="C129" s="1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14"/>
      <c r="C130" s="1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14"/>
      <c r="C131" s="1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14"/>
      <c r="C132" s="1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14"/>
      <c r="C133" s="1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14"/>
      <c r="C134" s="1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14"/>
      <c r="C135" s="1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14"/>
      <c r="C136" s="1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14"/>
      <c r="C137" s="1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14"/>
      <c r="C138" s="1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14"/>
      <c r="C139" s="1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14"/>
      <c r="C140" s="1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14"/>
      <c r="C141" s="1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14"/>
      <c r="C142" s="1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14"/>
      <c r="C143" s="1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14"/>
      <c r="C144" s="1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14"/>
      <c r="C145" s="1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14"/>
      <c r="C146" s="1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14"/>
      <c r="C147" s="1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14"/>
      <c r="C148" s="1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14"/>
      <c r="C149" s="1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14"/>
      <c r="C150" s="1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14"/>
      <c r="C151" s="1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14"/>
      <c r="C152" s="1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14"/>
      <c r="C153" s="1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14"/>
      <c r="C154" s="1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14"/>
      <c r="C155" s="1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14"/>
      <c r="C156" s="1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14"/>
      <c r="C157" s="1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14"/>
      <c r="C158" s="1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14"/>
      <c r="C159" s="1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14"/>
      <c r="C160" s="1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14"/>
      <c r="C161" s="1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14"/>
      <c r="C162" s="1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14"/>
      <c r="C163" s="1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14"/>
      <c r="C164" s="1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14"/>
      <c r="C165" s="1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14"/>
      <c r="C166" s="1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14"/>
      <c r="C167" s="1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14"/>
      <c r="C168" s="1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14"/>
      <c r="C169" s="1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14"/>
      <c r="C170" s="1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14"/>
      <c r="C171" s="1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14"/>
      <c r="C172" s="1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14"/>
      <c r="C173" s="1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14"/>
      <c r="C174" s="1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14"/>
      <c r="C175" s="1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14"/>
      <c r="C176" s="1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14"/>
      <c r="C177" s="1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14"/>
      <c r="C178" s="1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14"/>
      <c r="C179" s="1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14"/>
      <c r="C180" s="1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14"/>
      <c r="C181" s="1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14"/>
      <c r="C182" s="1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14"/>
      <c r="C183" s="1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14"/>
      <c r="C184" s="1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14"/>
      <c r="C185" s="1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14"/>
      <c r="C186" s="1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14"/>
      <c r="C187" s="1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14"/>
      <c r="C188" s="1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14"/>
      <c r="C189" s="1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14"/>
      <c r="C190" s="1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14"/>
      <c r="C191" s="1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14"/>
      <c r="C192" s="1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14"/>
      <c r="C193" s="1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14"/>
      <c r="C194" s="1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14"/>
      <c r="C195" s="1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14"/>
      <c r="C196" s="1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14"/>
      <c r="C197" s="1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14"/>
      <c r="C198" s="1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14"/>
      <c r="C199" s="1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14"/>
      <c r="C200" s="1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14"/>
      <c r="C201" s="1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14"/>
      <c r="C202" s="1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14"/>
      <c r="C203" s="1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14"/>
      <c r="C204" s="1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14"/>
      <c r="C205" s="1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14"/>
      <c r="C206" s="1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14"/>
      <c r="C207" s="1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14"/>
      <c r="C208" s="1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14"/>
      <c r="C209" s="1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14"/>
      <c r="C210" s="1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14"/>
      <c r="C211" s="1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14"/>
      <c r="C212" s="1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14"/>
      <c r="C213" s="1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14"/>
      <c r="C214" s="1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14"/>
      <c r="C215" s="1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14"/>
      <c r="C216" s="1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14"/>
      <c r="C217" s="1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14"/>
      <c r="C218" s="1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14"/>
      <c r="C219" s="1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14"/>
      <c r="C220" s="1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14"/>
      <c r="C221" s="1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14"/>
      <c r="C222" s="1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14"/>
      <c r="C223" s="1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14"/>
      <c r="C224" s="1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14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14"/>
      <c r="C226" s="1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14"/>
      <c r="C227" s="1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14"/>
      <c r="C228" s="1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14"/>
      <c r="C229" s="1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14"/>
      <c r="C230" s="1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14"/>
      <c r="C231" s="1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14"/>
      <c r="C232" s="1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14"/>
      <c r="C233" s="1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14"/>
      <c r="C234" s="1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14"/>
      <c r="C235" s="1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14"/>
      <c r="C236" s="1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14"/>
      <c r="C237" s="1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14"/>
      <c r="C238" s="1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14"/>
      <c r="C239" s="1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14"/>
      <c r="C240" s="1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14"/>
      <c r="C241" s="1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14"/>
      <c r="C242" s="1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14"/>
      <c r="C243" s="1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14"/>
      <c r="C244" s="1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14"/>
      <c r="C245" s="1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14"/>
      <c r="C246" s="1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14"/>
      <c r="C247" s="1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14"/>
      <c r="C248" s="1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14"/>
      <c r="C249" s="1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14"/>
      <c r="C250" s="1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14"/>
      <c r="C251" s="1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14"/>
      <c r="C252" s="1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14"/>
      <c r="C253" s="1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14"/>
      <c r="C254" s="1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14"/>
      <c r="C255" s="1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14"/>
      <c r="C256" s="1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14"/>
      <c r="C257" s="1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14"/>
      <c r="C258" s="1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14"/>
      <c r="C259" s="1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14"/>
      <c r="C260" s="1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14"/>
      <c r="C261" s="1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14"/>
      <c r="C262" s="1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14"/>
      <c r="C263" s="1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14"/>
      <c r="C264" s="1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14"/>
      <c r="C265" s="1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14"/>
      <c r="C266" s="1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14"/>
      <c r="C267" s="1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14"/>
      <c r="C268" s="1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14"/>
      <c r="C269" s="1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14"/>
      <c r="C270" s="1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14"/>
      <c r="C271" s="1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14"/>
      <c r="C272" s="1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14"/>
      <c r="C273" s="1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14"/>
      <c r="C274" s="1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14"/>
      <c r="C275" s="1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14"/>
      <c r="C276" s="1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14"/>
      <c r="C277" s="1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14"/>
      <c r="C278" s="1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14"/>
      <c r="C279" s="1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14"/>
      <c r="C280" s="1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14"/>
      <c r="C281" s="1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14"/>
      <c r="C282" s="1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14"/>
      <c r="C283" s="1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14"/>
      <c r="C284" s="1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14"/>
      <c r="C285" s="1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14"/>
      <c r="C286" s="1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14"/>
      <c r="C287" s="1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14"/>
      <c r="C288" s="1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14"/>
      <c r="C289" s="1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14"/>
      <c r="C290" s="1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14"/>
      <c r="C291" s="1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14"/>
      <c r="C292" s="1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14"/>
      <c r="C293" s="1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14"/>
      <c r="C294" s="1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14"/>
      <c r="C295" s="1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14"/>
      <c r="C296" s="1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14"/>
      <c r="C297" s="1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14"/>
      <c r="C298" s="1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14"/>
      <c r="C299" s="1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14"/>
      <c r="C300" s="1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14"/>
      <c r="C301" s="1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14"/>
      <c r="C302" s="1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14"/>
      <c r="C303" s="1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14"/>
      <c r="C304" s="1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14"/>
      <c r="C305" s="1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14"/>
      <c r="C306" s="1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14"/>
      <c r="C307" s="1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14"/>
      <c r="C308" s="1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14"/>
      <c r="C309" s="1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14"/>
      <c r="C310" s="1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14"/>
      <c r="C311" s="1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14"/>
      <c r="C312" s="1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14"/>
      <c r="C313" s="1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14"/>
      <c r="C314" s="1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14"/>
      <c r="C315" s="1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14"/>
      <c r="C316" s="1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14"/>
      <c r="C317" s="1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14"/>
      <c r="C318" s="1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14"/>
      <c r="C319" s="1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14"/>
      <c r="C320" s="1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14"/>
      <c r="C321" s="1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14"/>
      <c r="C322" s="1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14"/>
      <c r="C323" s="1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14"/>
      <c r="C324" s="1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14"/>
      <c r="C325" s="1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14"/>
      <c r="C326" s="1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14"/>
      <c r="C327" s="1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14"/>
      <c r="C328" s="1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14"/>
      <c r="C329" s="1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14"/>
      <c r="C330" s="1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14"/>
      <c r="C331" s="1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14"/>
      <c r="C332" s="1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14"/>
      <c r="C333" s="1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14"/>
      <c r="C334" s="1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14"/>
      <c r="C335" s="1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14"/>
      <c r="C336" s="1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14"/>
      <c r="C337" s="1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14"/>
      <c r="C338" s="1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14"/>
      <c r="C339" s="1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14"/>
      <c r="C340" s="1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14"/>
      <c r="C341" s="1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14"/>
      <c r="C342" s="1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14"/>
      <c r="C343" s="1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14"/>
      <c r="C344" s="1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14"/>
      <c r="C345" s="1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14"/>
      <c r="C346" s="1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14"/>
      <c r="C347" s="1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14"/>
      <c r="C348" s="1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14"/>
      <c r="C349" s="1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14"/>
      <c r="C350" s="1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14"/>
      <c r="C351" s="1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14"/>
      <c r="C352" s="1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14"/>
      <c r="C353" s="1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14"/>
      <c r="C354" s="1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14"/>
      <c r="C355" s="1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14"/>
      <c r="C356" s="1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14"/>
      <c r="C357" s="1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14"/>
      <c r="C358" s="1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14"/>
      <c r="C359" s="1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14"/>
      <c r="C360" s="1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14"/>
      <c r="C361" s="1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14"/>
      <c r="C362" s="1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14"/>
      <c r="C363" s="1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14"/>
      <c r="C364" s="1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14"/>
      <c r="C365" s="1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14"/>
      <c r="C366" s="1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14"/>
      <c r="C367" s="1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14"/>
      <c r="C368" s="1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14"/>
      <c r="C369" s="1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14"/>
      <c r="C370" s="1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14"/>
      <c r="C371" s="1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14"/>
      <c r="C372" s="1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14"/>
      <c r="C373" s="1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14"/>
      <c r="C374" s="1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14"/>
      <c r="C375" s="1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14"/>
      <c r="C376" s="1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14"/>
      <c r="C377" s="1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14"/>
      <c r="C378" s="1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14"/>
      <c r="C379" s="1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14"/>
      <c r="C380" s="1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14"/>
      <c r="C381" s="1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14"/>
      <c r="C382" s="1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14"/>
      <c r="C383" s="1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14"/>
      <c r="C384" s="1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14"/>
      <c r="C385" s="1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14"/>
      <c r="C386" s="1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14"/>
      <c r="C387" s="1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14"/>
      <c r="C388" s="1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14"/>
      <c r="C389" s="1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14"/>
      <c r="C390" s="1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14"/>
      <c r="C391" s="1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14"/>
      <c r="C392" s="1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14"/>
      <c r="C393" s="1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14"/>
      <c r="C394" s="1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14"/>
      <c r="C395" s="1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14"/>
      <c r="C396" s="1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14"/>
      <c r="C397" s="1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14"/>
      <c r="C398" s="1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14"/>
      <c r="C399" s="1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14"/>
      <c r="C400" s="1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14"/>
      <c r="C401" s="1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14"/>
      <c r="C402" s="1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14"/>
      <c r="C403" s="1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14"/>
      <c r="C404" s="1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14"/>
      <c r="C405" s="1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14"/>
      <c r="C406" s="1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14"/>
      <c r="C407" s="1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14"/>
      <c r="C408" s="1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14"/>
      <c r="C409" s="1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14"/>
      <c r="C410" s="1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14"/>
      <c r="C411" s="1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14"/>
      <c r="C412" s="1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14"/>
      <c r="C413" s="1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14"/>
      <c r="C414" s="1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14"/>
      <c r="C415" s="1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14"/>
      <c r="C416" s="1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14"/>
      <c r="C417" s="1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14"/>
      <c r="C418" s="1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14"/>
      <c r="C419" s="1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14"/>
      <c r="C420" s="1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14"/>
      <c r="C421" s="1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14"/>
      <c r="C422" s="1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14"/>
      <c r="C423" s="1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14"/>
      <c r="C424" s="1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14"/>
      <c r="C425" s="1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14"/>
      <c r="C426" s="1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14"/>
      <c r="C427" s="1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14"/>
      <c r="C428" s="1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14"/>
      <c r="C429" s="1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14"/>
      <c r="C430" s="1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14"/>
      <c r="C431" s="1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14"/>
      <c r="C432" s="1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14"/>
      <c r="C433" s="1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14"/>
      <c r="C434" s="1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14"/>
      <c r="C435" s="1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14"/>
      <c r="C436" s="1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14"/>
      <c r="C437" s="1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14"/>
      <c r="C438" s="1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14"/>
      <c r="C439" s="1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14"/>
      <c r="C440" s="1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14"/>
      <c r="C441" s="1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14"/>
      <c r="C442" s="1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14"/>
      <c r="C443" s="1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14"/>
      <c r="C444" s="1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14"/>
      <c r="C445" s="1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14"/>
      <c r="C446" s="1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14"/>
      <c r="C447" s="1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14"/>
      <c r="C448" s="1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14"/>
      <c r="C449" s="1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14"/>
      <c r="C450" s="1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14"/>
      <c r="C451" s="1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14"/>
      <c r="C452" s="1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14"/>
      <c r="C453" s="1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14"/>
      <c r="C454" s="1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14"/>
      <c r="C455" s="1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14"/>
      <c r="C456" s="1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14"/>
      <c r="C457" s="1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14"/>
      <c r="C458" s="1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14"/>
      <c r="C459" s="1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14"/>
      <c r="C460" s="1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14"/>
      <c r="C461" s="1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14"/>
      <c r="C462" s="1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14"/>
      <c r="C463" s="1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14"/>
      <c r="C464" s="1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14"/>
      <c r="C465" s="1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14"/>
      <c r="C466" s="1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14"/>
      <c r="C467" s="1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14"/>
      <c r="C468" s="1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14"/>
      <c r="C469" s="1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14"/>
      <c r="C470" s="1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14"/>
      <c r="C471" s="1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14"/>
      <c r="C472" s="1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14"/>
      <c r="C473" s="1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14"/>
      <c r="C474" s="1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14"/>
      <c r="C475" s="1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14"/>
      <c r="C476" s="1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14"/>
      <c r="C477" s="1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14"/>
      <c r="C478" s="1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14"/>
      <c r="C479" s="1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14"/>
      <c r="C480" s="1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14"/>
      <c r="C481" s="1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14"/>
      <c r="C482" s="1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14"/>
      <c r="C483" s="1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14"/>
      <c r="C484" s="1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14"/>
      <c r="C485" s="1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14"/>
      <c r="C486" s="1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14"/>
      <c r="C487" s="1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14"/>
      <c r="C488" s="1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14"/>
      <c r="C489" s="1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14"/>
      <c r="C490" s="1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14"/>
      <c r="C491" s="1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14"/>
      <c r="C492" s="1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14"/>
      <c r="C493" s="1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14"/>
      <c r="C494" s="1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14"/>
      <c r="C495" s="1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14"/>
      <c r="C496" s="1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14"/>
      <c r="C497" s="1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14"/>
      <c r="C498" s="1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14"/>
      <c r="C499" s="1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14"/>
      <c r="C500" s="1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14"/>
      <c r="C501" s="1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14"/>
      <c r="C502" s="1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14"/>
      <c r="C503" s="1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14"/>
      <c r="C504" s="1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14"/>
      <c r="C505" s="1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14"/>
      <c r="C506" s="1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14"/>
      <c r="C507" s="1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14"/>
      <c r="C508" s="1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14"/>
      <c r="C509" s="1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14"/>
      <c r="C510" s="1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14"/>
      <c r="C511" s="1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14"/>
      <c r="C512" s="1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14"/>
      <c r="C513" s="1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14"/>
      <c r="C514" s="1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14"/>
      <c r="C515" s="1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14"/>
      <c r="C516" s="1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14"/>
      <c r="C517" s="1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14"/>
      <c r="C518" s="1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14"/>
      <c r="C519" s="1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14"/>
      <c r="C520" s="1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14"/>
      <c r="C521" s="1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14"/>
      <c r="C522" s="1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14"/>
      <c r="C523" s="1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14"/>
      <c r="C524" s="1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14"/>
      <c r="C525" s="1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14"/>
      <c r="C526" s="1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14"/>
      <c r="C527" s="1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14"/>
      <c r="C528" s="1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14"/>
      <c r="C529" s="1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14"/>
      <c r="C530" s="1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14"/>
      <c r="C531" s="1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14"/>
      <c r="C532" s="1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14"/>
      <c r="C533" s="1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14"/>
      <c r="C534" s="1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14"/>
      <c r="C535" s="1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14"/>
      <c r="C536" s="1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14"/>
      <c r="C537" s="1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14"/>
      <c r="C538" s="1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14"/>
      <c r="C539" s="1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14"/>
      <c r="C540" s="1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14"/>
      <c r="C541" s="1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14"/>
      <c r="C542" s="1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14"/>
      <c r="C543" s="1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14"/>
      <c r="C544" s="1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14"/>
      <c r="C545" s="1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14"/>
      <c r="C546" s="1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14"/>
      <c r="C547" s="1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14"/>
      <c r="C548" s="1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14"/>
      <c r="C549" s="1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14"/>
      <c r="C550" s="1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14"/>
      <c r="C551" s="1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14"/>
      <c r="C552" s="1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14"/>
      <c r="C553" s="1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14"/>
      <c r="C554" s="1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14"/>
      <c r="C555" s="1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14"/>
      <c r="C556" s="1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14"/>
      <c r="C557" s="1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14"/>
      <c r="C558" s="1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14"/>
      <c r="C559" s="1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14"/>
      <c r="C560" s="1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14"/>
      <c r="C561" s="1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14"/>
      <c r="C562" s="1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14"/>
      <c r="C563" s="1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14"/>
      <c r="C564" s="1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14"/>
      <c r="C565" s="1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14"/>
      <c r="C566" s="1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14"/>
      <c r="C567" s="1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14"/>
      <c r="C568" s="1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14"/>
      <c r="C569" s="1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14"/>
      <c r="C570" s="1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14"/>
      <c r="C571" s="1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14"/>
      <c r="C572" s="1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14"/>
      <c r="C573" s="1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14"/>
      <c r="C574" s="1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14"/>
      <c r="C575" s="1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14"/>
      <c r="C576" s="1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14"/>
      <c r="C577" s="1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14"/>
      <c r="C578" s="1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14"/>
      <c r="C579" s="1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14"/>
      <c r="C580" s="1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14"/>
      <c r="C581" s="1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14"/>
      <c r="C582" s="1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14"/>
      <c r="C583" s="1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14"/>
      <c r="C584" s="1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14"/>
      <c r="C585" s="1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14"/>
      <c r="C586" s="1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14"/>
      <c r="C587" s="1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14"/>
      <c r="C588" s="1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14"/>
      <c r="C589" s="1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14"/>
      <c r="C590" s="1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14"/>
      <c r="C591" s="1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14"/>
      <c r="C592" s="1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14"/>
      <c r="C593" s="1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14"/>
      <c r="C594" s="1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14"/>
      <c r="C595" s="1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14"/>
      <c r="C596" s="1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14"/>
      <c r="C597" s="1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14"/>
      <c r="C598" s="1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14"/>
      <c r="C599" s="1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14"/>
      <c r="C600" s="1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14"/>
      <c r="C601" s="1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14"/>
      <c r="C602" s="1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14"/>
      <c r="C603" s="1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14"/>
      <c r="C604" s="1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14"/>
      <c r="C605" s="1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14"/>
      <c r="C606" s="1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14"/>
      <c r="C607" s="1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14"/>
      <c r="C608" s="1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14"/>
      <c r="C609" s="1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14"/>
      <c r="C610" s="1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14"/>
      <c r="C611" s="1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14"/>
      <c r="C612" s="1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14"/>
      <c r="C613" s="1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14"/>
      <c r="C614" s="1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14"/>
      <c r="C615" s="1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14"/>
      <c r="C616" s="1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14"/>
      <c r="C617" s="1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14"/>
      <c r="C618" s="1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14"/>
      <c r="C619" s="1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14"/>
      <c r="C620" s="1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14"/>
      <c r="C621" s="1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14"/>
      <c r="C622" s="1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14"/>
      <c r="C623" s="1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14"/>
      <c r="C624" s="1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14"/>
      <c r="C625" s="1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14"/>
      <c r="C626" s="1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14"/>
      <c r="C627" s="1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14"/>
      <c r="C628" s="1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14"/>
      <c r="C629" s="1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14"/>
      <c r="C630" s="1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14"/>
      <c r="C631" s="1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14"/>
      <c r="C632" s="1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14"/>
      <c r="C633" s="1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14"/>
      <c r="C634" s="1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14"/>
      <c r="C635" s="1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14"/>
      <c r="C636" s="1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14"/>
      <c r="C637" s="1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14"/>
      <c r="C638" s="1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14"/>
      <c r="C639" s="1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14"/>
      <c r="C640" s="1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14"/>
      <c r="C641" s="1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14"/>
      <c r="C642" s="1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14"/>
      <c r="C643" s="1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14"/>
      <c r="C644" s="1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14"/>
      <c r="C645" s="1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14"/>
      <c r="C646" s="1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14"/>
      <c r="C647" s="1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14"/>
      <c r="C648" s="1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14"/>
      <c r="C649" s="1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14"/>
      <c r="C650" s="1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14"/>
      <c r="C651" s="1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14"/>
      <c r="C652" s="1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14"/>
      <c r="C653" s="1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14"/>
      <c r="C654" s="1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14"/>
      <c r="C655" s="1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14"/>
      <c r="C656" s="1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14"/>
      <c r="C657" s="1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14"/>
      <c r="C658" s="1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14"/>
      <c r="C659" s="1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14"/>
      <c r="C660" s="1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14"/>
      <c r="C661" s="1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14"/>
      <c r="C662" s="1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14"/>
      <c r="C663" s="1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14"/>
      <c r="C664" s="1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14"/>
      <c r="C665" s="1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14"/>
      <c r="C666" s="1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14"/>
      <c r="C667" s="1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14"/>
      <c r="C668" s="1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14"/>
      <c r="C669" s="1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14"/>
      <c r="C670" s="1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14"/>
      <c r="C671" s="1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14"/>
      <c r="C672" s="1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14"/>
      <c r="C673" s="1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14"/>
      <c r="C674" s="1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14"/>
      <c r="C675" s="1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14"/>
      <c r="C676" s="1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14"/>
      <c r="C677" s="1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14"/>
      <c r="C678" s="1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14"/>
      <c r="C679" s="1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14"/>
      <c r="C680" s="1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14"/>
      <c r="C681" s="1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14"/>
      <c r="C682" s="1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14"/>
      <c r="C683" s="1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14"/>
      <c r="C684" s="1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14"/>
      <c r="C685" s="1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14"/>
      <c r="C686" s="1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14"/>
      <c r="C687" s="1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14"/>
      <c r="C688" s="1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14"/>
      <c r="C689" s="1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14"/>
      <c r="C690" s="1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14"/>
      <c r="C691" s="1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14"/>
      <c r="C692" s="1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14"/>
      <c r="C693" s="1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14"/>
      <c r="C694" s="1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14"/>
      <c r="C695" s="1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14"/>
      <c r="C696" s="1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14"/>
      <c r="C697" s="1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14"/>
      <c r="C698" s="1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14"/>
      <c r="C699" s="1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14"/>
      <c r="C700" s="1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14"/>
      <c r="C701" s="1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14"/>
      <c r="C702" s="1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14"/>
      <c r="C703" s="1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14"/>
      <c r="C704" s="1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14"/>
      <c r="C705" s="1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14"/>
      <c r="C706" s="1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14"/>
      <c r="C707" s="1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14"/>
      <c r="C708" s="1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14"/>
      <c r="C709" s="1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14"/>
      <c r="C710" s="1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14"/>
      <c r="C711" s="1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14"/>
      <c r="C712" s="1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14"/>
      <c r="C713" s="1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14"/>
      <c r="C714" s="1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14"/>
      <c r="C715" s="1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14"/>
      <c r="C716" s="1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14"/>
      <c r="C717" s="1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14"/>
      <c r="C718" s="1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14"/>
      <c r="C719" s="1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14"/>
      <c r="C720" s="1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14"/>
      <c r="C721" s="1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14"/>
      <c r="C722" s="1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14"/>
      <c r="C723" s="1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14"/>
      <c r="C724" s="1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14"/>
      <c r="C725" s="1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14"/>
      <c r="C726" s="1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14"/>
      <c r="C727" s="1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14"/>
      <c r="C728" s="1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14"/>
      <c r="C729" s="1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14"/>
      <c r="C730" s="1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14"/>
      <c r="C731" s="1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14"/>
      <c r="C732" s="1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14"/>
      <c r="C733" s="1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14"/>
      <c r="C734" s="1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14"/>
      <c r="C735" s="1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14"/>
      <c r="C736" s="1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14"/>
      <c r="C737" s="1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14"/>
      <c r="C738" s="1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14"/>
      <c r="C739" s="1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14"/>
      <c r="C740" s="1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14"/>
      <c r="C741" s="1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14"/>
      <c r="C742" s="1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14"/>
      <c r="C743" s="1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14"/>
      <c r="C744" s="1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14"/>
      <c r="C745" s="1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14"/>
      <c r="C746" s="1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14"/>
      <c r="C747" s="1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14"/>
      <c r="C748" s="1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14"/>
      <c r="C749" s="1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14"/>
      <c r="C750" s="1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14"/>
      <c r="C751" s="1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14"/>
      <c r="C752" s="1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14"/>
      <c r="C753" s="1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14"/>
      <c r="C754" s="1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14"/>
      <c r="C755" s="1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14"/>
      <c r="C756" s="1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14"/>
      <c r="C757" s="1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14"/>
      <c r="C758" s="1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14"/>
      <c r="C759" s="1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14"/>
      <c r="C760" s="1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14"/>
      <c r="C761" s="1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14"/>
      <c r="C762" s="1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14"/>
      <c r="C763" s="1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14"/>
      <c r="C764" s="1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14"/>
      <c r="C765" s="1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14"/>
      <c r="C766" s="1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14"/>
      <c r="C767" s="1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14"/>
      <c r="C768" s="1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14"/>
      <c r="C769" s="1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14"/>
      <c r="C770" s="1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14"/>
      <c r="C771" s="1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14"/>
      <c r="C772" s="1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14"/>
      <c r="C773" s="1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14"/>
      <c r="C774" s="1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14"/>
      <c r="C775" s="1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14"/>
      <c r="C776" s="1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14"/>
      <c r="C777" s="1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14"/>
      <c r="C778" s="1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14"/>
      <c r="C779" s="1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14"/>
      <c r="C780" s="1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14"/>
      <c r="C781" s="1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14"/>
      <c r="C782" s="1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14"/>
      <c r="C783" s="1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14"/>
      <c r="C784" s="1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14"/>
      <c r="C785" s="1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14"/>
      <c r="C786" s="1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14"/>
      <c r="C787" s="1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14"/>
      <c r="C788" s="1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14"/>
      <c r="C789" s="1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14"/>
      <c r="C790" s="1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14"/>
      <c r="C791" s="1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14"/>
      <c r="C792" s="1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14"/>
      <c r="C793" s="1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14"/>
      <c r="C794" s="1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14"/>
      <c r="C795" s="1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14"/>
      <c r="C796" s="1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14"/>
      <c r="C797" s="1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14"/>
      <c r="C798" s="1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14"/>
      <c r="C799" s="1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14"/>
      <c r="C800" s="1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14"/>
      <c r="C801" s="1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14"/>
      <c r="C802" s="1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14"/>
      <c r="C803" s="1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14"/>
      <c r="C804" s="1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14"/>
      <c r="C805" s="1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14"/>
      <c r="C806" s="1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14"/>
      <c r="C807" s="1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14"/>
      <c r="C808" s="1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14"/>
      <c r="C809" s="1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14"/>
      <c r="C810" s="1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14"/>
      <c r="C811" s="1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14"/>
      <c r="C812" s="1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14"/>
      <c r="C813" s="1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14"/>
      <c r="C814" s="1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14"/>
      <c r="C815" s="1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14"/>
      <c r="C816" s="1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14"/>
      <c r="C817" s="1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14"/>
      <c r="C818" s="1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14"/>
      <c r="C819" s="1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14"/>
      <c r="C820" s="1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14"/>
      <c r="C821" s="1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14"/>
      <c r="C822" s="1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14"/>
      <c r="C823" s="1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14"/>
      <c r="C824" s="1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14"/>
      <c r="C825" s="1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14"/>
      <c r="C826" s="1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14"/>
      <c r="C827" s="1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14"/>
      <c r="C828" s="1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14"/>
      <c r="C829" s="1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14"/>
      <c r="C830" s="1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14"/>
      <c r="C831" s="1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14"/>
      <c r="C832" s="1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14"/>
      <c r="C833" s="1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14"/>
      <c r="C834" s="1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14"/>
      <c r="C835" s="1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14"/>
      <c r="C836" s="1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14"/>
      <c r="C837" s="1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14"/>
      <c r="C838" s="1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14"/>
      <c r="C839" s="1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14"/>
      <c r="C840" s="1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14"/>
      <c r="C841" s="1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14"/>
      <c r="C842" s="1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14"/>
      <c r="C843" s="1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14"/>
      <c r="C844" s="1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14"/>
      <c r="C845" s="1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14"/>
      <c r="C846" s="1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14"/>
      <c r="C847" s="1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14"/>
      <c r="C848" s="1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14"/>
      <c r="C849" s="1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14"/>
      <c r="C850" s="1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14"/>
      <c r="C851" s="1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14"/>
      <c r="C852" s="1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14"/>
      <c r="C853" s="1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14"/>
      <c r="C854" s="1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14"/>
      <c r="C855" s="1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14"/>
      <c r="C856" s="1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14"/>
      <c r="C857" s="1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14"/>
      <c r="C858" s="1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14"/>
      <c r="C859" s="1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14"/>
      <c r="C860" s="1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14"/>
      <c r="C861" s="1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14"/>
      <c r="C862" s="1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14"/>
      <c r="C863" s="1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14"/>
      <c r="C864" s="1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14"/>
      <c r="C865" s="1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14"/>
      <c r="C866" s="1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14"/>
      <c r="C867" s="1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14"/>
      <c r="C868" s="1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14"/>
      <c r="C869" s="1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14"/>
      <c r="C870" s="1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14"/>
      <c r="C871" s="1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14"/>
      <c r="C872" s="1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14"/>
      <c r="C873" s="1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14"/>
      <c r="C874" s="1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14"/>
      <c r="C875" s="1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14"/>
      <c r="C876" s="1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14"/>
      <c r="C877" s="1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14"/>
      <c r="C878" s="1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14"/>
      <c r="C879" s="1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14"/>
      <c r="C880" s="1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14"/>
      <c r="C881" s="1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14"/>
      <c r="C882" s="1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14"/>
      <c r="C883" s="1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14"/>
      <c r="C884" s="1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14"/>
      <c r="C885" s="1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14"/>
      <c r="C886" s="1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14"/>
      <c r="C887" s="1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14"/>
      <c r="C888" s="1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14"/>
      <c r="C889" s="1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14"/>
      <c r="C890" s="1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14"/>
      <c r="C891" s="1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14"/>
      <c r="C892" s="1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14"/>
      <c r="C893" s="1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14"/>
      <c r="C894" s="1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14"/>
      <c r="C895" s="1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14"/>
      <c r="C896" s="1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14"/>
      <c r="C897" s="1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14"/>
      <c r="C898" s="1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14"/>
      <c r="C899" s="1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14"/>
      <c r="C900" s="1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14"/>
      <c r="C901" s="1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14"/>
      <c r="C902" s="1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14"/>
      <c r="C903" s="1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14"/>
      <c r="C904" s="1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14"/>
      <c r="C905" s="1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14"/>
      <c r="C906" s="1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14"/>
      <c r="C907" s="1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14"/>
      <c r="C908" s="1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14"/>
      <c r="C909" s="1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14"/>
      <c r="C910" s="1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14"/>
      <c r="C911" s="1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14"/>
      <c r="C912" s="1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14"/>
      <c r="C913" s="1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14"/>
      <c r="C914" s="1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14"/>
      <c r="C915" s="1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14"/>
      <c r="C916" s="1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14"/>
      <c r="C917" s="1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14"/>
      <c r="C918" s="1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14"/>
      <c r="C919" s="1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14"/>
      <c r="C920" s="1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14"/>
      <c r="C921" s="1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14"/>
      <c r="C922" s="1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14"/>
      <c r="C923" s="1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14"/>
      <c r="C924" s="1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14"/>
      <c r="C925" s="1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14"/>
      <c r="C926" s="1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14"/>
      <c r="C927" s="1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14"/>
      <c r="C928" s="1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14"/>
      <c r="C929" s="1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14"/>
      <c r="C930" s="1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14"/>
      <c r="C931" s="1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14"/>
      <c r="C932" s="1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14"/>
      <c r="C933" s="1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14"/>
      <c r="C934" s="1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14"/>
      <c r="C935" s="1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14"/>
      <c r="C936" s="1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14"/>
      <c r="C937" s="1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14"/>
      <c r="C938" s="1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14"/>
      <c r="C939" s="1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14"/>
      <c r="C940" s="1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14"/>
      <c r="C941" s="1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14"/>
      <c r="C942" s="1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14"/>
      <c r="C943" s="1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14"/>
      <c r="C944" s="1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14"/>
      <c r="C945" s="1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14"/>
      <c r="C946" s="1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14"/>
      <c r="C947" s="1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14"/>
      <c r="C948" s="1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14"/>
      <c r="C949" s="1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14"/>
      <c r="C950" s="1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14"/>
      <c r="C951" s="1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14"/>
      <c r="C952" s="1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14"/>
      <c r="C953" s="1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14"/>
      <c r="C954" s="1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14"/>
      <c r="C955" s="1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14"/>
      <c r="C956" s="1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14"/>
      <c r="C957" s="1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14"/>
      <c r="C958" s="1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14"/>
      <c r="C959" s="1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14"/>
      <c r="C960" s="1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14"/>
      <c r="C961" s="1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14"/>
      <c r="C962" s="1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14"/>
      <c r="C963" s="1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14"/>
      <c r="C964" s="1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14"/>
      <c r="C965" s="1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14"/>
      <c r="C966" s="1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14"/>
      <c r="C967" s="1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14"/>
      <c r="C968" s="1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14"/>
      <c r="C969" s="1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14"/>
      <c r="C970" s="1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14"/>
      <c r="C971" s="1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14"/>
      <c r="C972" s="1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14"/>
      <c r="C973" s="1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14"/>
      <c r="C974" s="1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14"/>
      <c r="C975" s="1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14"/>
      <c r="C976" s="1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14"/>
      <c r="C977" s="1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14"/>
      <c r="C978" s="1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14"/>
      <c r="C979" s="1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14"/>
      <c r="C980" s="1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14"/>
      <c r="C981" s="1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14"/>
      <c r="C982" s="1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14"/>
      <c r="C983" s="1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14"/>
      <c r="C984" s="1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14"/>
      <c r="C985" s="1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14"/>
      <c r="C986" s="1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14"/>
      <c r="C987" s="1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14"/>
      <c r="C988" s="1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14"/>
      <c r="C989" s="1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14"/>
      <c r="C990" s="1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14"/>
      <c r="C991" s="1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14"/>
      <c r="C992" s="1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14"/>
      <c r="C993" s="1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14"/>
      <c r="C994" s="1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14"/>
      <c r="C995" s="1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14"/>
      <c r="C996" s="1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14"/>
      <c r="C997" s="1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14"/>
      <c r="C998" s="1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14"/>
      <c r="C999" s="1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14"/>
      <c r="C1000" s="1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26</vt:i4>
      </vt:variant>
    </vt:vector>
  </HeadingPairs>
  <TitlesOfParts>
    <vt:vector size="36" baseType="lpstr">
      <vt:lpstr>Project Information</vt:lpstr>
      <vt:lpstr>Wiring List</vt:lpstr>
      <vt:lpstr>Corner Operation</vt:lpstr>
      <vt:lpstr>General Operation</vt:lpstr>
      <vt:lpstr>Efficiency</vt:lpstr>
      <vt:lpstr>No Load Operation</vt:lpstr>
      <vt:lpstr>Other Specifications</vt:lpstr>
      <vt:lpstr>Component Stress</vt:lpstr>
      <vt:lpstr>Safety</vt:lpstr>
      <vt:lpstr>Parameter Definition</vt:lpstr>
      <vt:lpstr>Fac_50</vt:lpstr>
      <vt:lpstr>Fac_60</vt:lpstr>
      <vt:lpstr>Fac_max</vt:lpstr>
      <vt:lpstr>Fac_min</vt:lpstr>
      <vt:lpstr>Rshunt</vt:lpstr>
      <vt:lpstr>Table_AC</vt:lpstr>
      <vt:lpstr>Table_Fac</vt:lpstr>
      <vt:lpstr>Table_Vdim</vt:lpstr>
      <vt:lpstr>Vac_100</vt:lpstr>
      <vt:lpstr>Vac_120</vt:lpstr>
      <vt:lpstr>Vac_230</vt:lpstr>
      <vt:lpstr>Vac_max</vt:lpstr>
      <vt:lpstr>Vac_min</vt:lpstr>
      <vt:lpstr>Vdim_00</vt:lpstr>
      <vt:lpstr>Vdim_01</vt:lpstr>
      <vt:lpstr>Vdim_02</vt:lpstr>
      <vt:lpstr>Vdim_03</vt:lpstr>
      <vt:lpstr>Vdim_04</vt:lpstr>
      <vt:lpstr>Vdim_05</vt:lpstr>
      <vt:lpstr>Vdim_06</vt:lpstr>
      <vt:lpstr>Vdim_07</vt:lpstr>
      <vt:lpstr>Vdim_08</vt:lpstr>
      <vt:lpstr>Vdim_09</vt:lpstr>
      <vt:lpstr>Vdim_10</vt:lpstr>
      <vt:lpstr>Vdim_25</vt:lpstr>
      <vt:lpstr>Vdim_75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Nitin Patil</dc:creator>
  <cp:lastModifiedBy>Chinmay Nitin Patil</cp:lastModifiedBy>
  <dcterms:created xsi:type="dcterms:W3CDTF">2018-12-06T02:08:55Z</dcterms:created>
  <dcterms:modified xsi:type="dcterms:W3CDTF">2019-08-17T06:16:47Z</dcterms:modified>
</cp:coreProperties>
</file>