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inmay\The Complete Financial Analyst\Financial Planning\"/>
    </mc:Choice>
  </mc:AlternateContent>
  <xr:revisionPtr revIDLastSave="0" documentId="13_ncr:1_{FA4629B9-E8B7-4BF8-8F7D-3BD38701743C}" xr6:coauthVersionLast="36" xr6:coauthVersionMax="36" xr10:uidLastSave="{00000000-0000-0000-0000-000000000000}"/>
  <bookViews>
    <workbookView xWindow="0" yWindow="0" windowWidth="23040" windowHeight="7728" xr2:uid="{D9D629D8-9E49-4C4B-B8B2-3192D811BB30}"/>
  </bookViews>
  <sheets>
    <sheet name="Dashboard" sheetId="1" r:id="rId1"/>
    <sheet name="Asset Allocation" sheetId="2" r:id="rId2"/>
    <sheet name="SIP and Cashflows" sheetId="3" r:id="rId3"/>
  </sheets>
  <definedNames>
    <definedName name="solver_adj" localSheetId="1" hidden="1">'Asset Allocation'!$D$7:$D$10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'Asset Allocation'!$D$11</definedName>
    <definedName name="solver_lhs2" localSheetId="1" hidden="1">'Asset Allocation'!$D$8</definedName>
    <definedName name="solver_lhs3" localSheetId="1" hidden="1">'Asset Allocation'!$D$9</definedName>
    <definedName name="solver_lhs4" localSheetId="1" hidden="1">'Asset Allocation'!$D$9</definedName>
    <definedName name="solver_lhs5" localSheetId="1" hidden="1">'Asset Allocation'!$D$9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'Asset Allocation'!$D$12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hs1" localSheetId="1" hidden="1">1</definedName>
    <definedName name="solver_rhs2" localSheetId="1" hidden="1">0.8</definedName>
    <definedName name="solver_rhs3" localSheetId="1" hidden="1">0.07</definedName>
    <definedName name="solver_rhs4" localSheetId="1" hidden="1">0.2</definedName>
    <definedName name="solver_rhs5" localSheetId="1" hidden="1">0.2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0.14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8" i="3"/>
  <c r="Q11" i="3" s="1"/>
  <c r="Q14" i="3" s="1"/>
  <c r="Q17" i="3" s="1"/>
  <c r="O24" i="3" s="1"/>
  <c r="O27" i="3" s="1"/>
  <c r="Q27" i="3" s="1"/>
  <c r="R27" i="3" s="1"/>
  <c r="O26" i="3"/>
  <c r="Q26" i="3" s="1"/>
  <c r="R26" i="3" s="1"/>
  <c r="N26" i="3"/>
  <c r="N27" i="3" s="1"/>
  <c r="O25" i="3"/>
  <c r="Q25" i="3" s="1"/>
  <c r="R25" i="3" s="1"/>
  <c r="N25" i="3"/>
  <c r="N24" i="3"/>
  <c r="O19" i="3"/>
  <c r="O16" i="3"/>
  <c r="O13" i="3"/>
  <c r="O10" i="3"/>
  <c r="O6" i="3"/>
  <c r="O9" i="3" s="1"/>
  <c r="O12" i="3" s="1"/>
  <c r="O15" i="3" s="1"/>
  <c r="O18" i="3" s="1"/>
  <c r="O7" i="3"/>
  <c r="Q7" i="3" s="1"/>
  <c r="O5" i="3"/>
  <c r="P5" i="3" s="1"/>
  <c r="P8" i="3" s="1"/>
  <c r="P11" i="3" s="1"/>
  <c r="P14" i="3" s="1"/>
  <c r="P17" i="3" s="1"/>
  <c r="F7" i="3"/>
  <c r="F10" i="3" s="1"/>
  <c r="F13" i="3" s="1"/>
  <c r="F16" i="3" s="1"/>
  <c r="F19" i="3" s="1"/>
  <c r="C27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C30" i="1"/>
  <c r="D6" i="3" s="1"/>
  <c r="F6" i="3" s="1"/>
  <c r="F5" i="3"/>
  <c r="F8" i="3" s="1"/>
  <c r="F11" i="3" s="1"/>
  <c r="F14" i="3" s="1"/>
  <c r="F17" i="3" s="1"/>
  <c r="D24" i="3" s="1"/>
  <c r="C28" i="1"/>
  <c r="C30" i="2"/>
  <c r="D23" i="2"/>
  <c r="C27" i="2" s="1"/>
  <c r="P24" i="3" l="1"/>
  <c r="P27" i="3" s="1"/>
  <c r="Q24" i="3"/>
  <c r="R24" i="3" s="1"/>
  <c r="P26" i="3"/>
  <c r="P25" i="3"/>
  <c r="Q6" i="3"/>
  <c r="P6" i="3"/>
  <c r="P7" i="3"/>
  <c r="D9" i="3"/>
  <c r="D12" i="3" s="1"/>
  <c r="D15" i="3" s="1"/>
  <c r="D18" i="3" s="1"/>
  <c r="D5" i="3"/>
  <c r="C24" i="3" s="1"/>
  <c r="F24" i="3" s="1"/>
  <c r="G24" i="3" s="1"/>
  <c r="C28" i="2"/>
  <c r="C29" i="2"/>
  <c r="Q9" i="3" l="1"/>
  <c r="Q12" i="3" s="1"/>
  <c r="P9" i="3"/>
  <c r="P12" i="3" s="1"/>
  <c r="Q10" i="3"/>
  <c r="P10" i="3"/>
  <c r="P13" i="3" s="1"/>
  <c r="E24" i="3"/>
  <c r="Q15" i="3" l="1"/>
  <c r="P15" i="3"/>
  <c r="Q13" i="3"/>
  <c r="P16" i="3"/>
  <c r="D12" i="2"/>
  <c r="D11" i="2"/>
  <c r="Q18" i="3" l="1"/>
  <c r="P18" i="3"/>
  <c r="Q16" i="3"/>
  <c r="P19" i="3"/>
  <c r="C19" i="1"/>
  <c r="C29" i="1"/>
  <c r="C31" i="1" s="1"/>
  <c r="C22" i="1"/>
  <c r="Q19" i="3" l="1"/>
  <c r="D7" i="3"/>
  <c r="D10" i="3" l="1"/>
  <c r="F9" i="3"/>
  <c r="D13" i="3" l="1"/>
  <c r="F12" i="3"/>
  <c r="F15" i="3" s="1"/>
  <c r="D16" i="3" l="1"/>
  <c r="F18" i="3"/>
  <c r="D25" i="3" s="1"/>
  <c r="D19" i="3" l="1"/>
  <c r="C26" i="3" s="1"/>
  <c r="C25" i="3"/>
  <c r="F25" i="3" s="1"/>
  <c r="G25" i="3" s="1"/>
  <c r="D26" i="3" l="1"/>
  <c r="E25" i="3"/>
  <c r="F26" i="3" l="1"/>
  <c r="G26" i="3" s="1"/>
  <c r="D27" i="3"/>
  <c r="F27" i="3" s="1"/>
  <c r="G27" i="3" s="1"/>
  <c r="E26" i="3"/>
  <c r="E27" i="3" s="1"/>
</calcChain>
</file>

<file path=xl/sharedStrings.xml><?xml version="1.0" encoding="utf-8"?>
<sst xmlns="http://schemas.openxmlformats.org/spreadsheetml/2006/main" count="144" uniqueCount="76">
  <si>
    <t>Client Details And Goal</t>
  </si>
  <si>
    <t>Age</t>
  </si>
  <si>
    <t>Maritial Status</t>
  </si>
  <si>
    <t>Unmarried</t>
  </si>
  <si>
    <t>Dependents</t>
  </si>
  <si>
    <t>Insurance Status</t>
  </si>
  <si>
    <t>10L medical cover by company</t>
  </si>
  <si>
    <r>
      <t xml:space="preserve">Retired parents who has pension so </t>
    </r>
    <r>
      <rPr>
        <b/>
        <sz val="11"/>
        <color theme="1"/>
        <rFont val="Calibri"/>
        <family val="2"/>
        <scheme val="minor"/>
      </rPr>
      <t>Nil</t>
    </r>
  </si>
  <si>
    <t>Goal</t>
  </si>
  <si>
    <t>Buy a car worth 10L in 5 years</t>
  </si>
  <si>
    <t>Current Savings</t>
  </si>
  <si>
    <t>1L in FD @ 7.6% p.a</t>
  </si>
  <si>
    <t>Med-High</t>
  </si>
  <si>
    <t>Emergency Fund</t>
  </si>
  <si>
    <t>Nil</t>
  </si>
  <si>
    <t>Salary</t>
  </si>
  <si>
    <t>1L</t>
  </si>
  <si>
    <t>EMIs</t>
  </si>
  <si>
    <t>20k</t>
  </si>
  <si>
    <t>Expenses</t>
  </si>
  <si>
    <t>50k</t>
  </si>
  <si>
    <t>Ready to Invest</t>
  </si>
  <si>
    <t>Risk Tolerance</t>
  </si>
  <si>
    <t>25k</t>
  </si>
  <si>
    <t>Essential Expenses</t>
  </si>
  <si>
    <t>Calculations</t>
  </si>
  <si>
    <t>Emergency Fund Required</t>
  </si>
  <si>
    <t>Salary Growth</t>
  </si>
  <si>
    <t>10% p.a</t>
  </si>
  <si>
    <t>Expense Growth</t>
  </si>
  <si>
    <t>Requirements</t>
  </si>
  <si>
    <t>Insurance Requirement</t>
  </si>
  <si>
    <t>Contribution to Emergency Fund per Month</t>
  </si>
  <si>
    <t>Remaining Amount</t>
  </si>
  <si>
    <t>SIP Amt Growth</t>
  </si>
  <si>
    <t>Max SIP Required to Achieve the Goal</t>
  </si>
  <si>
    <t>Required Return</t>
  </si>
  <si>
    <t>FD</t>
  </si>
  <si>
    <t>Asset</t>
  </si>
  <si>
    <t>Expected Return</t>
  </si>
  <si>
    <t>MF(equity)</t>
  </si>
  <si>
    <t>Debt Fund</t>
  </si>
  <si>
    <t>Gold</t>
  </si>
  <si>
    <t>Allocation</t>
  </si>
  <si>
    <t>Total</t>
  </si>
  <si>
    <t>Portfolio Return</t>
  </si>
  <si>
    <t>Risk Ratios</t>
  </si>
  <si>
    <t>Sharpe</t>
  </si>
  <si>
    <t>Treynor</t>
  </si>
  <si>
    <t>Std Dev</t>
  </si>
  <si>
    <t>Beta</t>
  </si>
  <si>
    <t>-</t>
  </si>
  <si>
    <t xml:space="preserve">Portfolio Risk </t>
  </si>
  <si>
    <r>
      <rPr>
        <b/>
        <sz val="11"/>
        <color theme="1"/>
        <rFont val="Haettenschweiler"/>
        <family val="2"/>
      </rPr>
      <t xml:space="preserve"> 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 =</t>
    </r>
  </si>
  <si>
    <t>Portfolio Risk Ratios</t>
  </si>
  <si>
    <t>Year 1</t>
  </si>
  <si>
    <t>Invested</t>
  </si>
  <si>
    <t>Current Value</t>
  </si>
  <si>
    <t>Type</t>
  </si>
  <si>
    <t>SIP</t>
  </si>
  <si>
    <t>Year 2</t>
  </si>
  <si>
    <t>Year 3</t>
  </si>
  <si>
    <t>Year 4</t>
  </si>
  <si>
    <t>Year 5</t>
  </si>
  <si>
    <t>Time Period</t>
  </si>
  <si>
    <t>SIP (FY)</t>
  </si>
  <si>
    <t>Profit/Loss</t>
  </si>
  <si>
    <t>Profit/Loss %</t>
  </si>
  <si>
    <t>CAGR</t>
  </si>
  <si>
    <t>Mutual Fund</t>
  </si>
  <si>
    <t>For 1 Year</t>
  </si>
  <si>
    <t>Portfolio Expected Return is 14% p.a</t>
  </si>
  <si>
    <t>Total Investment</t>
  </si>
  <si>
    <t>TOTAL</t>
  </si>
  <si>
    <t>With 10% Increase of SIP and Mutual Fund Every Year</t>
  </si>
  <si>
    <t>Without 10% Increase of SIP and Mutual Fund 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</si>
</sst>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5" formatCode="&quot;₹&quot;\ #,##0.00"/>
    <numFmt numFmtId="177" formatCode="0.0%"/>
    <numFmt numFmtId="182" formatCode="_ &quot;₹&quot;\ * #,##0_ ;_ &quot;₹&quot;\ * \-#,##0_ ;_ &quot;₹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Haettenschweiler"/>
      <family val="2"/>
    </font>
    <font>
      <b/>
      <sz val="11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7" applyNumberFormat="0" applyFont="0" applyFill="0" applyAlignment="0" applyProtection="0"/>
    <xf numFmtId="0" fontId="3" fillId="2" borderId="1" applyNumberFormat="0" applyFont="0" applyFill="0" applyAlignment="0" applyProtection="0">
      <alignment horizontal="center"/>
    </xf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center"/>
    </xf>
    <xf numFmtId="0" fontId="4" fillId="3" borderId="1" xfId="4" applyFont="1" applyFill="1" applyAlignment="1">
      <alignment horizontal="center"/>
    </xf>
    <xf numFmtId="0" fontId="0" fillId="2" borderId="0" xfId="0" applyFill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0" fillId="2" borderId="0" xfId="1" applyNumberFormat="1" applyFont="1" applyFill="1"/>
    <xf numFmtId="0" fontId="0" fillId="2" borderId="3" xfId="0" applyFill="1" applyBorder="1" applyAlignment="1">
      <alignment wrapText="1"/>
    </xf>
    <xf numFmtId="165" fontId="0" fillId="2" borderId="3" xfId="1" applyNumberFormat="1" applyFont="1" applyFill="1" applyBorder="1"/>
    <xf numFmtId="0" fontId="0" fillId="2" borderId="0" xfId="0" applyFont="1" applyFill="1"/>
    <xf numFmtId="9" fontId="0" fillId="2" borderId="0" xfId="0" applyNumberFormat="1" applyFont="1" applyFill="1"/>
    <xf numFmtId="0" fontId="0" fillId="2" borderId="3" xfId="0" applyFont="1" applyFill="1" applyBorder="1"/>
    <xf numFmtId="9" fontId="2" fillId="2" borderId="0" xfId="0" applyNumberFormat="1" applyFont="1" applyFill="1" applyAlignment="1">
      <alignment horizontal="center"/>
    </xf>
    <xf numFmtId="0" fontId="2" fillId="2" borderId="3" xfId="0" applyFont="1" applyFill="1" applyBorder="1"/>
    <xf numFmtId="9" fontId="0" fillId="2" borderId="0" xfId="0" applyNumberFormat="1" applyFont="1" applyFill="1" applyAlignment="1">
      <alignment horizontal="left"/>
    </xf>
    <xf numFmtId="10" fontId="0" fillId="2" borderId="0" xfId="0" applyNumberFormat="1" applyFont="1" applyFill="1"/>
    <xf numFmtId="10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2" fillId="2" borderId="3" xfId="0" applyFont="1" applyFill="1" applyBorder="1" applyAlignment="1">
      <alignment horizontal="center"/>
    </xf>
    <xf numFmtId="9" fontId="0" fillId="2" borderId="3" xfId="0" applyNumberFormat="1" applyFont="1" applyFill="1" applyBorder="1" applyAlignment="1">
      <alignment horizontal="left"/>
    </xf>
    <xf numFmtId="2" fontId="0" fillId="2" borderId="0" xfId="0" applyNumberFormat="1" applyFont="1" applyFill="1"/>
    <xf numFmtId="9" fontId="0" fillId="2" borderId="0" xfId="2" applyFont="1" applyFill="1"/>
    <xf numFmtId="9" fontId="0" fillId="2" borderId="3" xfId="2" applyFont="1" applyFill="1" applyBorder="1"/>
    <xf numFmtId="9" fontId="0" fillId="2" borderId="0" xfId="2" applyNumberFormat="1" applyFont="1" applyFill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0" xfId="0" applyFont="1" applyFill="1" applyBorder="1"/>
    <xf numFmtId="0" fontId="3" fillId="2" borderId="1" xfId="4" applyFont="1" applyFill="1" applyAlignment="1">
      <alignment horizontal="center"/>
    </xf>
    <xf numFmtId="177" fontId="0" fillId="2" borderId="0" xfId="2" applyNumberFormat="1" applyFont="1" applyFill="1"/>
    <xf numFmtId="10" fontId="0" fillId="2" borderId="0" xfId="2" applyNumberFormat="1" applyFont="1" applyFill="1"/>
    <xf numFmtId="0" fontId="2" fillId="2" borderId="3" xfId="0" applyFont="1" applyFill="1" applyBorder="1" applyAlignment="1">
      <alignment horizontal="left"/>
    </xf>
    <xf numFmtId="0" fontId="5" fillId="2" borderId="0" xfId="0" applyFont="1" applyFill="1" applyAlignment="1">
      <alignment horizontal="right"/>
    </xf>
    <xf numFmtId="0" fontId="3" fillId="2" borderId="0" xfId="4" applyFont="1" applyFill="1" applyBorder="1" applyAlignment="1"/>
    <xf numFmtId="10" fontId="2" fillId="2" borderId="0" xfId="2" applyNumberFormat="1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8" fontId="0" fillId="2" borderId="0" xfId="0" applyNumberFormat="1" applyFill="1"/>
    <xf numFmtId="182" fontId="0" fillId="2" borderId="0" xfId="1" applyNumberFormat="1" applyFont="1" applyFill="1"/>
    <xf numFmtId="182" fontId="0" fillId="2" borderId="0" xfId="0" applyNumberFormat="1" applyFill="1"/>
    <xf numFmtId="44" fontId="0" fillId="2" borderId="0" xfId="0" applyNumberFormat="1" applyFill="1"/>
    <xf numFmtId="0" fontId="0" fillId="2" borderId="0" xfId="0" applyFill="1" applyBorder="1"/>
    <xf numFmtId="182" fontId="0" fillId="2" borderId="0" xfId="1" applyNumberFormat="1" applyFont="1" applyFill="1" applyBorder="1"/>
    <xf numFmtId="0" fontId="0" fillId="2" borderId="3" xfId="0" applyFill="1" applyBorder="1"/>
    <xf numFmtId="182" fontId="0" fillId="2" borderId="3" xfId="1" applyNumberFormat="1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82" fontId="2" fillId="2" borderId="3" xfId="1" applyNumberFormat="1" applyFont="1" applyFill="1" applyBorder="1"/>
    <xf numFmtId="165" fontId="0" fillId="2" borderId="0" xfId="0" applyNumberFormat="1" applyFill="1"/>
    <xf numFmtId="0" fontId="2" fillId="2" borderId="0" xfId="0" applyFont="1" applyFill="1" applyBorder="1"/>
    <xf numFmtId="182" fontId="2" fillId="2" borderId="0" xfId="1" applyNumberFormat="1" applyFont="1" applyFill="1" applyBorder="1"/>
    <xf numFmtId="0" fontId="2" fillId="2" borderId="3" xfId="0" applyFont="1" applyFill="1" applyBorder="1" applyAlignment="1">
      <alignment vertical="center"/>
    </xf>
    <xf numFmtId="0" fontId="0" fillId="2" borderId="0" xfId="0" applyFill="1" applyAlignment="1"/>
    <xf numFmtId="0" fontId="3" fillId="2" borderId="7" xfId="3" applyFont="1" applyFill="1"/>
    <xf numFmtId="182" fontId="3" fillId="2" borderId="7" xfId="3" applyNumberFormat="1" applyFont="1" applyFill="1"/>
    <xf numFmtId="177" fontId="3" fillId="2" borderId="7" xfId="3" applyNumberFormat="1" applyFont="1" applyFill="1"/>
    <xf numFmtId="0" fontId="2" fillId="2" borderId="1" xfId="4" applyFont="1" applyFill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left"/>
    </xf>
  </cellXfs>
  <cellStyles count="5">
    <cellStyle name="Cell Bordered" xfId="4" xr:uid="{C32D0AEE-37D8-4C46-8715-B3437CD71D8D}"/>
    <cellStyle name="Currency" xfId="1" builtinId="4"/>
    <cellStyle name="Normal" xfId="0" builtinId="0"/>
    <cellStyle name="Percent" xfId="2" builtinId="5"/>
    <cellStyle name="Total" xfId="3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Asset Allocation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088-42A5-8630-6F2AAB4B0E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88-42A5-8630-6F2AAB4B0E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088-42A5-8630-6F2AAB4B0E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88-42A5-8630-6F2AAB4B0EA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088-42A5-8630-6F2AAB4B0EA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088-42A5-8630-6F2AAB4B0EA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9088-42A5-8630-6F2AAB4B0EA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088-42A5-8630-6F2AAB4B0EAF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'Asset Allocation'!$B$7:$B$10</c:f>
              <c:strCache>
                <c:ptCount val="4"/>
                <c:pt idx="0">
                  <c:v>FD</c:v>
                </c:pt>
                <c:pt idx="1">
                  <c:v>MF(equity)</c:v>
                </c:pt>
                <c:pt idx="2">
                  <c:v>Debt Fund</c:v>
                </c:pt>
                <c:pt idx="3">
                  <c:v>Gold</c:v>
                </c:pt>
              </c:strCache>
            </c:strRef>
          </c:cat>
          <c:val>
            <c:numRef>
              <c:f>'Asset Allocation'!$D$7:$D$10</c:f>
              <c:numCache>
                <c:formatCode>0%</c:formatCode>
                <c:ptCount val="4"/>
                <c:pt idx="0">
                  <c:v>1.5668105328621632E-2</c:v>
                </c:pt>
                <c:pt idx="1">
                  <c:v>0.73631322114831443</c:v>
                </c:pt>
                <c:pt idx="2">
                  <c:v>7.0000000000000007E-2</c:v>
                </c:pt>
                <c:pt idx="3">
                  <c:v>0.17801867352309261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8-42A5-8630-6F2AAB4B0EA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vs SIP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Investment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('SIP and Cashflows'!$B$6,'SIP and Cashflows'!$B$9,'SIP and Cashflows'!$B$12,'SIP and Cashflows'!$B$15,'SIP and Cashflows'!$B$18)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('SIP and Cashflows'!$E$6,'SIP and Cashflows'!$E$9,'SIP and Cashflows'!$E$12,'SIP and Cashflows'!$E$15,'SIP and Cashflows'!$E$18)</c:f>
              <c:numCache>
                <c:formatCode>_ "₹"\ * #,##0_ ;_ "₹"\ * \-#,##0_ ;_ "₹"\ * "-"??_ ;_ @_ </c:formatCode>
                <c:ptCount val="5"/>
                <c:pt idx="0">
                  <c:v>137613.51913606492</c:v>
                </c:pt>
                <c:pt idx="1">
                  <c:v>288988.39018573635</c:v>
                </c:pt>
                <c:pt idx="2">
                  <c:v>455500.74834037491</c:v>
                </c:pt>
                <c:pt idx="3">
                  <c:v>638664.3423104774</c:v>
                </c:pt>
                <c:pt idx="4">
                  <c:v>840144.29567759018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8EB-48BA-9C53-9188CC62B189}"/>
            </c:ext>
          </c:extLst>
        </c:ser>
        <c:ser>
          <c:idx val="1"/>
          <c:order val="1"/>
          <c:tx>
            <c:v>SIP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('SIP and Cashflows'!$B$6,'SIP and Cashflows'!$B$9,'SIP and Cashflows'!$B$12,'SIP and Cashflows'!$B$15,'SIP and Cashflows'!$B$18)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('SIP and Cashflows'!$F$6,'SIP and Cashflows'!$F$9,'SIP and Cashflows'!$F$12,'SIP and Cashflows'!$F$15,'SIP and Cashflows'!$F$18)</c:f>
              <c:numCache>
                <c:formatCode>_ "₹"\ * #,##0_ ;_ "₹"\ * \-#,##0_ ;_ "₹"\ * "-"??_ ;_ @_ </c:formatCode>
                <c:ptCount val="5"/>
                <c:pt idx="0">
                  <c:v>148508.92490273333</c:v>
                </c:pt>
                <c:pt idx="1">
                  <c:v>334047.36649608763</c:v>
                </c:pt>
                <c:pt idx="2">
                  <c:v>563630.47719222785</c:v>
                </c:pt>
                <c:pt idx="3">
                  <c:v>845469.57542465185</c:v>
                </c:pt>
                <c:pt idx="4">
                  <c:v>1189165.6344015752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8EB-48BA-9C53-9188CC62B1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679504"/>
        <c:axId val="911181312"/>
      </c:lineChart>
      <c:catAx>
        <c:axId val="531679504"/>
        <c:scaling>
          <c:orientation val="minMax"/>
        </c:scaling>
        <c:delete val="0"/>
        <c:axPos val="b"/>
        <c:numFmt formatCode="&quot;₹&quot;\ 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81312"/>
        <c:crosses val="autoZero"/>
        <c:auto val="0"/>
        <c:lblAlgn val="ctr"/>
        <c:lblOffset val="100"/>
        <c:noMultiLvlLbl val="0"/>
      </c:catAx>
      <c:valAx>
        <c:axId val="9111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9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SIP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Cashflows'!$C$25,'SIP and Cashflows'!$E$25)</c:f>
              <c:numCache>
                <c:formatCode>_ "₹"\ * #,##0_ ;_ "₹"\ * \-#,##0_ ;_ "₹"\ * "-"??_ ;_ @_ </c:formatCode>
                <c:ptCount val="2"/>
                <c:pt idx="0">
                  <c:v>840144.29567759018</c:v>
                </c:pt>
                <c:pt idx="1">
                  <c:v>349021.33872398501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A8-4A1E-975A-EAFB1931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Mutual Funds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3A-4842-A4A7-61CF7A0F90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3A-4842-A4A7-61CF7A0F902D}"/>
              </c:ext>
            </c:extLst>
          </c:dPt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Cashflows'!$C$26,'SIP and Cashflows'!$E$26)</c:f>
              <c:numCache>
                <c:formatCode>_ "₹"\ * #,##0_ ;_ "₹"\ * \-#,##0_ ;_ "₹"\ * "-"??_ ;_ @_ </c:formatCode>
                <c:ptCount val="2"/>
                <c:pt idx="0">
                  <c:v>875546.32719239255</c:v>
                </c:pt>
                <c:pt idx="1">
                  <c:v>364755.23661999509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3A-4842-A4A7-61CF7A0F9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Emergency Fund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64-4A9F-8DF3-979624D44CE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64-4A9F-8DF3-979624D44CEE}"/>
              </c:ext>
            </c:extLst>
          </c:dPt>
          <c:dLbls>
            <c:delete val="1"/>
          </c:dLbls>
          <c:cat>
            <c:strRef>
              <c:f>('SIP and Cashflows'!$C$23,'SIP and Cashflows'!$E$23)</c:f>
              <c:strCache>
                <c:ptCount val="2"/>
                <c:pt idx="0">
                  <c:v>Invested</c:v>
                </c:pt>
                <c:pt idx="1">
                  <c:v> Profit/Loss </c:v>
                </c:pt>
              </c:strCache>
            </c:strRef>
          </c:cat>
          <c:val>
            <c:numRef>
              <c:f>('SIP and Cashflows'!$C$24,'SIP and Cashflows'!$E$24)</c:f>
              <c:numCache>
                <c:formatCode>_ "₹"\ * #,##0_ ;_ "₹"\ * \-#,##0_ ;_ "₹"\ * "-"??_ ;_ @_ </c:formatCode>
                <c:ptCount val="2"/>
                <c:pt idx="0">
                  <c:v>115839.37713001762</c:v>
                </c:pt>
                <c:pt idx="1">
                  <c:v>38536.584944980597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4-4A9F-8DF3-979624D44C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133349</xdr:rowOff>
    </xdr:from>
    <xdr:to>
      <xdr:col>12</xdr:col>
      <xdr:colOff>148590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D0041-F633-49F3-A776-47DA94135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243840</xdr:colOff>
      <xdr:row>0</xdr:row>
      <xdr:rowOff>117157</xdr:rowOff>
    </xdr:from>
    <xdr:to>
      <xdr:col>25</xdr:col>
      <xdr:colOff>171450</xdr:colOff>
      <xdr:row>17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201A9-C97E-4479-86C2-C774423BB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40003</xdr:colOff>
      <xdr:row>17</xdr:row>
      <xdr:rowOff>114300</xdr:rowOff>
    </xdr:from>
    <xdr:to>
      <xdr:col>12</xdr:col>
      <xdr:colOff>152399</xdr:colOff>
      <xdr:row>29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3C287F-DECC-4B59-A0D9-F732F2C15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240030</xdr:colOff>
      <xdr:row>17</xdr:row>
      <xdr:rowOff>114300</xdr:rowOff>
    </xdr:from>
    <xdr:to>
      <xdr:col>18</xdr:col>
      <xdr:colOff>474346</xdr:colOff>
      <xdr:row>29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D3C96F-76F8-4C89-9936-70D290B7C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560070</xdr:colOff>
      <xdr:row>17</xdr:row>
      <xdr:rowOff>116205</xdr:rowOff>
    </xdr:from>
    <xdr:to>
      <xdr:col>25</xdr:col>
      <xdr:colOff>329566</xdr:colOff>
      <xdr:row>29</xdr:row>
      <xdr:rowOff>40005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8FCDF7-DE50-4EFD-851E-3CB4DB57E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0EE0B-F674-4661-9B77-5E6FDA19F9CC}">
  <dimension ref="B1:M41"/>
  <sheetViews>
    <sheetView tabSelected="1" zoomScale="80" zoomScaleNormal="80" workbookViewId="0">
      <selection activeCell="G37" sqref="G36:G37"/>
    </sheetView>
  </sheetViews>
  <sheetFormatPr defaultRowHeight="14.4" x14ac:dyDescent="0.3"/>
  <cols>
    <col min="1" max="1" width="6" style="1" customWidth="1"/>
    <col min="2" max="2" width="23.88671875" style="1" bestFit="1" customWidth="1"/>
    <col min="3" max="3" width="35.21875" style="1" bestFit="1" customWidth="1"/>
    <col min="4" max="4" width="8.88671875" style="1"/>
    <col min="5" max="5" width="9.33203125" style="1" bestFit="1" customWidth="1"/>
    <col min="6" max="6" width="8.88671875" style="1"/>
    <col min="7" max="7" width="9" style="1" customWidth="1"/>
    <col min="8" max="10" width="8.88671875" style="1"/>
    <col min="11" max="11" width="16" style="1" customWidth="1"/>
    <col min="12" max="12" width="14.77734375" style="1" customWidth="1"/>
    <col min="13" max="13" width="11.109375" style="1" bestFit="1" customWidth="1"/>
    <col min="14" max="16384" width="8.88671875" style="1"/>
  </cols>
  <sheetData>
    <row r="1" spans="2:12" ht="15" thickBot="1" x14ac:dyDescent="0.35"/>
    <row r="2" spans="2:12" ht="16.2" thickBot="1" x14ac:dyDescent="0.35">
      <c r="B2" s="4" t="s">
        <v>0</v>
      </c>
      <c r="C2" s="4"/>
      <c r="D2" s="4"/>
      <c r="K2" s="25"/>
      <c r="L2" s="25"/>
    </row>
    <row r="4" spans="2:12" x14ac:dyDescent="0.3">
      <c r="B4" s="1" t="s">
        <v>1</v>
      </c>
      <c r="C4" s="5">
        <v>30</v>
      </c>
    </row>
    <row r="5" spans="2:12" x14ac:dyDescent="0.3">
      <c r="B5" s="1" t="s">
        <v>2</v>
      </c>
      <c r="C5" s="1" t="s">
        <v>3</v>
      </c>
    </row>
    <row r="6" spans="2:12" x14ac:dyDescent="0.3">
      <c r="B6" s="1" t="s">
        <v>4</v>
      </c>
      <c r="C6" s="1" t="s">
        <v>7</v>
      </c>
    </row>
    <row r="7" spans="2:12" x14ac:dyDescent="0.3">
      <c r="B7" s="1" t="s">
        <v>5</v>
      </c>
      <c r="C7" s="1" t="s">
        <v>6</v>
      </c>
    </row>
    <row r="8" spans="2:12" x14ac:dyDescent="0.3">
      <c r="B8" s="1" t="s">
        <v>8</v>
      </c>
      <c r="C8" s="2" t="s">
        <v>9</v>
      </c>
    </row>
    <row r="9" spans="2:12" x14ac:dyDescent="0.3">
      <c r="B9" s="1" t="s">
        <v>10</v>
      </c>
      <c r="C9" s="2" t="s">
        <v>11</v>
      </c>
    </row>
    <row r="10" spans="2:12" x14ac:dyDescent="0.3">
      <c r="B10" s="1" t="s">
        <v>22</v>
      </c>
      <c r="C10" s="1" t="s">
        <v>12</v>
      </c>
    </row>
    <row r="11" spans="2:12" x14ac:dyDescent="0.3">
      <c r="B11" s="1" t="s">
        <v>13</v>
      </c>
      <c r="C11" s="1" t="s">
        <v>14</v>
      </c>
    </row>
    <row r="12" spans="2:12" x14ac:dyDescent="0.3">
      <c r="B12" s="1" t="s">
        <v>15</v>
      </c>
      <c r="C12" s="2" t="s">
        <v>16</v>
      </c>
    </row>
    <row r="13" spans="2:12" x14ac:dyDescent="0.3">
      <c r="B13" s="1" t="s">
        <v>17</v>
      </c>
      <c r="C13" s="1" t="s">
        <v>18</v>
      </c>
    </row>
    <row r="14" spans="2:12" x14ac:dyDescent="0.3">
      <c r="B14" s="1" t="s">
        <v>19</v>
      </c>
      <c r="C14" s="1" t="s">
        <v>20</v>
      </c>
    </row>
    <row r="15" spans="2:12" x14ac:dyDescent="0.3">
      <c r="B15" s="1" t="s">
        <v>21</v>
      </c>
      <c r="C15" s="2" t="s">
        <v>23</v>
      </c>
    </row>
    <row r="16" spans="2:12" x14ac:dyDescent="0.3">
      <c r="B16" s="1" t="s">
        <v>24</v>
      </c>
      <c r="C16" s="1" t="s">
        <v>18</v>
      </c>
    </row>
    <row r="17" spans="2:13" x14ac:dyDescent="0.3">
      <c r="B17" s="1" t="s">
        <v>27</v>
      </c>
      <c r="C17" s="1" t="s">
        <v>28</v>
      </c>
    </row>
    <row r="18" spans="2:13" x14ac:dyDescent="0.3">
      <c r="B18" s="1" t="s">
        <v>29</v>
      </c>
      <c r="C18" s="1" t="s">
        <v>14</v>
      </c>
    </row>
    <row r="19" spans="2:13" x14ac:dyDescent="0.3">
      <c r="B19" s="1" t="s">
        <v>34</v>
      </c>
      <c r="C19" s="1" t="str">
        <f>C17</f>
        <v>10% p.a</v>
      </c>
    </row>
    <row r="21" spans="2:13" ht="16.2" thickBot="1" x14ac:dyDescent="0.35">
      <c r="B21" s="6" t="s">
        <v>30</v>
      </c>
      <c r="C21" s="6"/>
    </row>
    <row r="22" spans="2:13" x14ac:dyDescent="0.3">
      <c r="B22" s="1" t="s">
        <v>26</v>
      </c>
      <c r="C22" s="7">
        <f>20000*6</f>
        <v>120000</v>
      </c>
    </row>
    <row r="23" spans="2:13" x14ac:dyDescent="0.3">
      <c r="B23" s="1" t="s">
        <v>31</v>
      </c>
      <c r="C23" s="7">
        <v>0</v>
      </c>
      <c r="L23" s="48"/>
      <c r="M23" s="37"/>
    </row>
    <row r="24" spans="2:13" x14ac:dyDescent="0.3">
      <c r="B24" s="1" t="s">
        <v>8</v>
      </c>
      <c r="C24" s="7">
        <v>1000000</v>
      </c>
    </row>
    <row r="26" spans="2:13" ht="16.2" thickBot="1" x14ac:dyDescent="0.35">
      <c r="B26" s="6" t="s">
        <v>25</v>
      </c>
      <c r="C26" s="6"/>
    </row>
    <row r="27" spans="2:13" x14ac:dyDescent="0.3">
      <c r="B27" s="1" t="s">
        <v>21</v>
      </c>
      <c r="C27" s="7">
        <v>25000</v>
      </c>
    </row>
    <row r="28" spans="2:13" ht="28.8" x14ac:dyDescent="0.3">
      <c r="B28" s="8" t="s">
        <v>32</v>
      </c>
      <c r="C28" s="9">
        <f>PMT(6.5%/12,12,0,C22,1)</f>
        <v>-9653.281427501468</v>
      </c>
      <c r="E28" s="57" t="s">
        <v>70</v>
      </c>
      <c r="F28" s="52"/>
      <c r="G28" s="52"/>
      <c r="H28" s="52"/>
      <c r="I28" s="52"/>
      <c r="L28" s="48"/>
    </row>
    <row r="29" spans="2:13" x14ac:dyDescent="0.3">
      <c r="B29" s="1" t="s">
        <v>33</v>
      </c>
      <c r="C29" s="7">
        <f>C27+C28</f>
        <v>15346.718572498532</v>
      </c>
      <c r="L29" s="7"/>
    </row>
    <row r="30" spans="2:13" ht="28.8" x14ac:dyDescent="0.3">
      <c r="B30" s="8" t="s">
        <v>35</v>
      </c>
      <c r="C30" s="9">
        <f>PMT(14%/12,5*12,0,C24,1)</f>
        <v>-11467.793261338744</v>
      </c>
      <c r="E30" s="58" t="s">
        <v>71</v>
      </c>
      <c r="F30" s="58"/>
      <c r="G30" s="58"/>
      <c r="H30" s="58"/>
      <c r="I30" s="58"/>
      <c r="L30" s="48"/>
    </row>
    <row r="31" spans="2:13" x14ac:dyDescent="0.3">
      <c r="B31" s="10" t="s">
        <v>33</v>
      </c>
      <c r="C31" s="7">
        <f>C29+C30</f>
        <v>3878.9253111597882</v>
      </c>
    </row>
    <row r="32" spans="2:13" x14ac:dyDescent="0.3">
      <c r="C32" s="7"/>
    </row>
    <row r="33" spans="3:3" x14ac:dyDescent="0.3">
      <c r="C33" s="7"/>
    </row>
    <row r="35" spans="3:3" x14ac:dyDescent="0.3">
      <c r="C35" s="7"/>
    </row>
    <row r="36" spans="3:3" x14ac:dyDescent="0.3">
      <c r="C36" s="7"/>
    </row>
    <row r="37" spans="3:3" x14ac:dyDescent="0.3">
      <c r="C37" s="7"/>
    </row>
    <row r="38" spans="3:3" x14ac:dyDescent="0.3">
      <c r="C38" s="7"/>
    </row>
    <row r="39" spans="3:3" x14ac:dyDescent="0.3">
      <c r="C39" s="7"/>
    </row>
    <row r="40" spans="3:3" x14ac:dyDescent="0.3">
      <c r="C40" s="7"/>
    </row>
    <row r="41" spans="3:3" x14ac:dyDescent="0.3">
      <c r="C41" s="7"/>
    </row>
  </sheetData>
  <mergeCells count="5">
    <mergeCell ref="B2:D2"/>
    <mergeCell ref="B21:C21"/>
    <mergeCell ref="B26:C26"/>
    <mergeCell ref="K2:L2"/>
    <mergeCell ref="E30:I30"/>
  </mergeCells>
  <pageMargins left="0.7" right="0.7" top="0.75" bottom="0.75" header="0.3" footer="0.3"/>
  <pageSetup orientation="portrait" r:id="rId1"/>
  <ignoredErrors>
    <ignoredError sqref="C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D0D4-C567-4E20-837C-7B0C0FD6E3C5}">
  <dimension ref="B4:M30"/>
  <sheetViews>
    <sheetView workbookViewId="0">
      <selection activeCell="J26" sqref="J26"/>
    </sheetView>
  </sheetViews>
  <sheetFormatPr defaultRowHeight="14.4" x14ac:dyDescent="0.3"/>
  <cols>
    <col min="1" max="1" width="6.5546875" style="10" customWidth="1"/>
    <col min="2" max="2" width="15.21875" style="10" bestFit="1" customWidth="1"/>
    <col min="3" max="3" width="15.21875" style="10" customWidth="1"/>
    <col min="4" max="4" width="11.88671875" style="10" customWidth="1"/>
    <col min="5" max="16384" width="8.88671875" style="10"/>
  </cols>
  <sheetData>
    <row r="4" spans="2:13" x14ac:dyDescent="0.3">
      <c r="B4" s="2" t="s">
        <v>36</v>
      </c>
      <c r="C4" s="13">
        <v>0.14000000000000001</v>
      </c>
    </row>
    <row r="5" spans="2:13" x14ac:dyDescent="0.3">
      <c r="C5" s="11"/>
    </row>
    <row r="6" spans="2:13" x14ac:dyDescent="0.3">
      <c r="B6" s="14" t="s">
        <v>38</v>
      </c>
      <c r="C6" s="14" t="s">
        <v>39</v>
      </c>
      <c r="D6" s="19" t="s">
        <v>43</v>
      </c>
    </row>
    <row r="7" spans="2:13" x14ac:dyDescent="0.3">
      <c r="B7" s="10" t="s">
        <v>37</v>
      </c>
      <c r="C7" s="15">
        <v>7.5999999999999998E-2</v>
      </c>
      <c r="D7" s="22">
        <v>1.5668105328621632E-2</v>
      </c>
    </row>
    <row r="8" spans="2:13" x14ac:dyDescent="0.3">
      <c r="B8" s="10" t="s">
        <v>40</v>
      </c>
      <c r="C8" s="15">
        <v>0.15</v>
      </c>
      <c r="D8" s="22">
        <v>0.73631322114831443</v>
      </c>
    </row>
    <row r="9" spans="2:13" x14ac:dyDescent="0.3">
      <c r="B9" s="10" t="s">
        <v>41</v>
      </c>
      <c r="C9" s="24">
        <v>0.1</v>
      </c>
      <c r="D9" s="22">
        <v>7.0000000000000007E-2</v>
      </c>
    </row>
    <row r="10" spans="2:13" x14ac:dyDescent="0.3">
      <c r="B10" s="12" t="s">
        <v>42</v>
      </c>
      <c r="C10" s="20">
        <v>0.12</v>
      </c>
      <c r="D10" s="23">
        <v>0.17801867352309261</v>
      </c>
    </row>
    <row r="11" spans="2:13" x14ac:dyDescent="0.3">
      <c r="B11" s="2" t="s">
        <v>44</v>
      </c>
      <c r="C11" s="18"/>
      <c r="D11" s="22">
        <f>SUM(D7:D10)</f>
        <v>1.0000000000000286</v>
      </c>
    </row>
    <row r="12" spans="2:13" x14ac:dyDescent="0.3">
      <c r="B12" s="2" t="s">
        <v>45</v>
      </c>
      <c r="C12" s="18"/>
      <c r="D12" s="22">
        <f>C7*D7+C8*D8+C9*D9+C10*D10</f>
        <v>0.13999999999999352</v>
      </c>
    </row>
    <row r="13" spans="2:13" x14ac:dyDescent="0.3">
      <c r="C13" s="18"/>
      <c r="M13" s="11"/>
    </row>
    <row r="14" spans="2:13" ht="15" thickBot="1" x14ac:dyDescent="0.35">
      <c r="C14" s="18"/>
      <c r="M14" s="16"/>
    </row>
    <row r="15" spans="2:13" ht="16.2" thickBot="1" x14ac:dyDescent="0.35">
      <c r="B15" s="27" t="s">
        <v>46</v>
      </c>
      <c r="C15" s="18"/>
      <c r="M15" s="29"/>
    </row>
    <row r="16" spans="2:13" x14ac:dyDescent="0.3">
      <c r="C16" s="18"/>
    </row>
    <row r="17" spans="2:6" x14ac:dyDescent="0.3">
      <c r="B17" s="14" t="s">
        <v>38</v>
      </c>
      <c r="C17" s="30" t="s">
        <v>47</v>
      </c>
      <c r="D17" s="14" t="s">
        <v>48</v>
      </c>
      <c r="E17" s="14" t="s">
        <v>49</v>
      </c>
      <c r="F17" s="14" t="s">
        <v>50</v>
      </c>
    </row>
    <row r="18" spans="2:6" x14ac:dyDescent="0.3">
      <c r="B18" s="10" t="s">
        <v>37</v>
      </c>
      <c r="C18" s="18">
        <v>3.2</v>
      </c>
      <c r="D18" s="18" t="s">
        <v>51</v>
      </c>
      <c r="E18" s="17">
        <v>5.0000000000000001E-3</v>
      </c>
      <c r="F18" s="18">
        <v>0</v>
      </c>
    </row>
    <row r="19" spans="2:6" x14ac:dyDescent="0.3">
      <c r="B19" s="10" t="s">
        <v>40</v>
      </c>
      <c r="C19" s="18">
        <v>1.49</v>
      </c>
      <c r="D19" s="18">
        <v>0.21</v>
      </c>
      <c r="E19" s="17">
        <v>0.1143</v>
      </c>
      <c r="F19" s="18">
        <v>0.75</v>
      </c>
    </row>
    <row r="20" spans="2:6" x14ac:dyDescent="0.3">
      <c r="B20" s="10" t="s">
        <v>41</v>
      </c>
      <c r="C20" s="18">
        <v>0.9</v>
      </c>
      <c r="D20" s="18">
        <v>0.06</v>
      </c>
      <c r="E20" s="17">
        <v>9.1800000000000007E-2</v>
      </c>
      <c r="F20" s="18">
        <v>0.94</v>
      </c>
    </row>
    <row r="21" spans="2:6" x14ac:dyDescent="0.3">
      <c r="B21" s="26" t="s">
        <v>42</v>
      </c>
      <c r="C21" s="18">
        <v>0.6</v>
      </c>
      <c r="D21" s="18" t="s">
        <v>51</v>
      </c>
      <c r="E21" s="15">
        <v>0.13</v>
      </c>
      <c r="F21" s="18">
        <v>0.1</v>
      </c>
    </row>
    <row r="22" spans="2:6" x14ac:dyDescent="0.3">
      <c r="C22" s="18"/>
      <c r="D22" s="18"/>
      <c r="E22" s="18"/>
      <c r="F22" s="18"/>
    </row>
    <row r="23" spans="2:6" ht="15.6" x14ac:dyDescent="0.3">
      <c r="B23" s="32" t="s">
        <v>52</v>
      </c>
      <c r="C23" s="31" t="s">
        <v>53</v>
      </c>
      <c r="D23" s="33">
        <f>SQRT((D7*E18)^2+(D8*E19)^2+(D9*E20)^2+(D10*E21)^2)</f>
        <v>8.7520731012897826E-2</v>
      </c>
    </row>
    <row r="25" spans="2:6" x14ac:dyDescent="0.3">
      <c r="B25" s="34" t="s">
        <v>54</v>
      </c>
      <c r="C25" s="35"/>
      <c r="D25" s="36"/>
    </row>
    <row r="27" spans="2:6" x14ac:dyDescent="0.3">
      <c r="B27" s="10" t="s">
        <v>47</v>
      </c>
      <c r="C27" s="21">
        <f>(D12-6%)/D23</f>
        <v>0.91406914766518588</v>
      </c>
    </row>
    <row r="28" spans="2:6" x14ac:dyDescent="0.3">
      <c r="B28" s="10" t="s">
        <v>48</v>
      </c>
      <c r="C28" s="21">
        <f>(D23-6%)/C30</f>
        <v>4.3282697288771071E-2</v>
      </c>
    </row>
    <row r="29" spans="2:6" x14ac:dyDescent="0.3">
      <c r="B29" s="10" t="s">
        <v>49</v>
      </c>
      <c r="C29" s="21">
        <f>D23</f>
        <v>8.7520731012897826E-2</v>
      </c>
    </row>
    <row r="30" spans="2:6" x14ac:dyDescent="0.3">
      <c r="B30" s="10" t="s">
        <v>50</v>
      </c>
      <c r="C30" s="21">
        <f>D7*F18+D8*F19+D9*F20+D10*F21</f>
        <v>0.63583678321354509</v>
      </c>
    </row>
  </sheetData>
  <mergeCells count="1">
    <mergeCell ref="B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A9D9-36E9-4286-9479-4CCD08E42C97}">
  <dimension ref="B1:R27"/>
  <sheetViews>
    <sheetView workbookViewId="0">
      <selection activeCell="M31" sqref="M31"/>
    </sheetView>
  </sheetViews>
  <sheetFormatPr defaultRowHeight="14.4" x14ac:dyDescent="0.3"/>
  <cols>
    <col min="1" max="1" width="5.6640625" style="1" customWidth="1"/>
    <col min="2" max="2" width="15.21875" style="1" bestFit="1" customWidth="1"/>
    <col min="3" max="3" width="17.77734375" style="1" bestFit="1" customWidth="1"/>
    <col min="4" max="4" width="13.88671875" style="1" bestFit="1" customWidth="1"/>
    <col min="5" max="5" width="15.6640625" style="1" bestFit="1" customWidth="1"/>
    <col min="6" max="6" width="13.21875" style="1" bestFit="1" customWidth="1"/>
    <col min="7" max="7" width="15" style="1" bestFit="1" customWidth="1"/>
    <col min="8" max="8" width="9.5546875" style="1" bestFit="1" customWidth="1"/>
    <col min="9" max="11" width="8.88671875" style="1"/>
    <col min="12" max="12" width="11.88671875" style="1" bestFit="1" customWidth="1"/>
    <col min="13" max="13" width="15.21875" style="1" bestFit="1" customWidth="1"/>
    <col min="14" max="14" width="17.77734375" style="1" bestFit="1" customWidth="1"/>
    <col min="15" max="15" width="13.88671875" style="1" bestFit="1" customWidth="1"/>
    <col min="16" max="16" width="15.6640625" style="1" bestFit="1" customWidth="1"/>
    <col min="17" max="17" width="13.21875" style="1" bestFit="1" customWidth="1"/>
    <col min="18" max="16384" width="8.88671875" style="1"/>
  </cols>
  <sheetData>
    <row r="1" spans="2:18" ht="15" thickBot="1" x14ac:dyDescent="0.35"/>
    <row r="2" spans="2:18" ht="15" thickBot="1" x14ac:dyDescent="0.35">
      <c r="B2" s="56" t="s">
        <v>74</v>
      </c>
      <c r="C2" s="56"/>
      <c r="D2" s="56"/>
      <c r="E2" s="56"/>
      <c r="F2" s="56"/>
      <c r="M2" s="56" t="s">
        <v>75</v>
      </c>
      <c r="N2" s="56"/>
      <c r="O2" s="56"/>
      <c r="P2" s="56"/>
      <c r="Q2" s="56"/>
    </row>
    <row r="4" spans="2:18" x14ac:dyDescent="0.3">
      <c r="B4" s="14" t="s">
        <v>64</v>
      </c>
      <c r="C4" s="14" t="s">
        <v>58</v>
      </c>
      <c r="D4" s="14" t="s">
        <v>56</v>
      </c>
      <c r="E4" s="14" t="s">
        <v>72</v>
      </c>
      <c r="F4" s="14" t="s">
        <v>57</v>
      </c>
      <c r="M4" s="14" t="s">
        <v>64</v>
      </c>
      <c r="N4" s="14" t="s">
        <v>58</v>
      </c>
      <c r="O4" s="14" t="s">
        <v>56</v>
      </c>
      <c r="P4" s="14" t="s">
        <v>72</v>
      </c>
      <c r="Q4" s="14" t="s">
        <v>57</v>
      </c>
      <c r="R4" s="41"/>
    </row>
    <row r="5" spans="2:18" x14ac:dyDescent="0.3">
      <c r="B5" s="3"/>
      <c r="C5" s="41" t="s">
        <v>13</v>
      </c>
      <c r="D5" s="42">
        <f>-1*Dashboard!C28*12</f>
        <v>115839.37713001762</v>
      </c>
      <c r="E5" s="42">
        <f>D5</f>
        <v>115839.37713001762</v>
      </c>
      <c r="F5" s="42">
        <f>FV(6.5%/12,12,Dashboard!C28,0,1)</f>
        <v>119999.99999999863</v>
      </c>
      <c r="G5" s="40"/>
      <c r="M5" s="3"/>
      <c r="N5" s="41" t="s">
        <v>13</v>
      </c>
      <c r="O5" s="42">
        <f>D5</f>
        <v>115839.37713001762</v>
      </c>
      <c r="P5" s="42">
        <f>O5</f>
        <v>115839.37713001762</v>
      </c>
      <c r="Q5" s="42">
        <f>FV(6.5%/12,12,-O5/12,0,1)</f>
        <v>119999.99999999863</v>
      </c>
      <c r="R5" s="41"/>
    </row>
    <row r="6" spans="2:18" x14ac:dyDescent="0.3">
      <c r="B6" s="45" t="s">
        <v>55</v>
      </c>
      <c r="C6" s="41" t="s">
        <v>65</v>
      </c>
      <c r="D6" s="42">
        <f>-1*Dashboard!C30*12</f>
        <v>137613.51913606492</v>
      </c>
      <c r="E6" s="42">
        <f>D6</f>
        <v>137613.51913606492</v>
      </c>
      <c r="F6" s="42">
        <f>FV(14%/12,12,-D6/12,0,1)</f>
        <v>148508.92490273333</v>
      </c>
      <c r="M6" s="45" t="s">
        <v>55</v>
      </c>
      <c r="N6" s="41" t="s">
        <v>65</v>
      </c>
      <c r="O6" s="42">
        <f>-1*Dashboard!C30*12</f>
        <v>137613.51913606492</v>
      </c>
      <c r="P6" s="42">
        <f>O6</f>
        <v>137613.51913606492</v>
      </c>
      <c r="Q6" s="42">
        <f>FV(14%/12,12,-O6/12,0,1)</f>
        <v>148508.92490273333</v>
      </c>
    </row>
    <row r="7" spans="2:18" x14ac:dyDescent="0.3">
      <c r="B7" s="46"/>
      <c r="C7" s="43" t="s">
        <v>33</v>
      </c>
      <c r="D7" s="44">
        <f>Dashboard!C31*12</f>
        <v>46547.103733917458</v>
      </c>
      <c r="E7" s="44">
        <f>D7</f>
        <v>46547.103733917458</v>
      </c>
      <c r="F7" s="44">
        <f>FV(16%/12,12,-D7/12,0,1)</f>
        <v>50785.142540244575</v>
      </c>
      <c r="L7" s="37"/>
      <c r="M7" s="46"/>
      <c r="N7" s="43" t="s">
        <v>33</v>
      </c>
      <c r="O7" s="44">
        <f>D7</f>
        <v>46547.103733917458</v>
      </c>
      <c r="P7" s="44">
        <f>O7</f>
        <v>46547.103733917458</v>
      </c>
      <c r="Q7" s="44">
        <f>FV(16%/12,12,-O7/12,0,1)</f>
        <v>50785.142540244575</v>
      </c>
    </row>
    <row r="8" spans="2:18" x14ac:dyDescent="0.3">
      <c r="B8" s="3"/>
      <c r="C8" s="41" t="s">
        <v>13</v>
      </c>
      <c r="D8" s="42">
        <v>0</v>
      </c>
      <c r="E8" s="42">
        <f>E5</f>
        <v>115839.37713001762</v>
      </c>
      <c r="F8" s="42">
        <f>FV(6.5%,1,0,-F5,1)</f>
        <v>127799.99999999853</v>
      </c>
      <c r="L8" s="37"/>
      <c r="M8" s="3"/>
      <c r="N8" s="41" t="s">
        <v>13</v>
      </c>
      <c r="O8" s="42">
        <v>0</v>
      </c>
      <c r="P8" s="42">
        <f>P5</f>
        <v>115839.37713001762</v>
      </c>
      <c r="Q8" s="42">
        <f>FV(6.5%,1,0,-Q5,1)</f>
        <v>127799.99999999853</v>
      </c>
    </row>
    <row r="9" spans="2:18" x14ac:dyDescent="0.3">
      <c r="B9" s="45" t="s">
        <v>60</v>
      </c>
      <c r="C9" s="41" t="s">
        <v>65</v>
      </c>
      <c r="D9" s="42">
        <f>D6*1.1</f>
        <v>151374.87104967143</v>
      </c>
      <c r="E9" s="42">
        <f>D9+E6</f>
        <v>288988.39018573635</v>
      </c>
      <c r="F9" s="42">
        <f>FV(14%/12,12,-(D9/12),-'SIP and Cashflows'!F6,1)</f>
        <v>334047.36649608763</v>
      </c>
      <c r="L9" s="37"/>
      <c r="M9" s="45" t="s">
        <v>60</v>
      </c>
      <c r="N9" s="41" t="s">
        <v>65</v>
      </c>
      <c r="O9" s="42">
        <f>O6</f>
        <v>137613.51913606492</v>
      </c>
      <c r="P9" s="42">
        <f>O9+P6</f>
        <v>275227.03827212984</v>
      </c>
      <c r="Q9" s="42">
        <f>FV(14%/12,12,-(O9/12),-'SIP and Cashflows'!Q6,1)</f>
        <v>319196.47400581423</v>
      </c>
    </row>
    <row r="10" spans="2:18" x14ac:dyDescent="0.3">
      <c r="B10" s="46"/>
      <c r="C10" s="43" t="s">
        <v>33</v>
      </c>
      <c r="D10" s="44">
        <f>(D7*1.1+D5*1.1)</f>
        <v>178625.1289503286</v>
      </c>
      <c r="E10" s="44">
        <f>E7+D10</f>
        <v>225172.23268424606</v>
      </c>
      <c r="F10" s="44">
        <f>FV(16%/12,12,-(D10/12),-'SIP and Cashflows'!F7,1)</f>
        <v>254422.59875667386</v>
      </c>
      <c r="L10" s="37"/>
      <c r="M10" s="46"/>
      <c r="N10" s="43" t="s">
        <v>33</v>
      </c>
      <c r="O10" s="44">
        <f>O7</f>
        <v>46547.103733917458</v>
      </c>
      <c r="P10" s="44">
        <f>P7+O10</f>
        <v>93094.207467834916</v>
      </c>
      <c r="Q10" s="44">
        <f>FV(16%/12,12,-(O10/12),-'SIP and Cashflows'!Q7,1)</f>
        <v>110319.08212558794</v>
      </c>
      <c r="R10" s="41"/>
    </row>
    <row r="11" spans="2:18" x14ac:dyDescent="0.3">
      <c r="B11" s="3"/>
      <c r="C11" s="41" t="s">
        <v>13</v>
      </c>
      <c r="D11" s="42">
        <v>0</v>
      </c>
      <c r="E11" s="42">
        <f>E8</f>
        <v>115839.37713001762</v>
      </c>
      <c r="F11" s="42">
        <f>FV(6.5%,1,0,-F8,1)</f>
        <v>136106.99999999843</v>
      </c>
      <c r="L11" s="37"/>
      <c r="M11" s="3"/>
      <c r="N11" s="41" t="s">
        <v>13</v>
      </c>
      <c r="O11" s="42">
        <v>0</v>
      </c>
      <c r="P11" s="42">
        <f>P8</f>
        <v>115839.37713001762</v>
      </c>
      <c r="Q11" s="42">
        <f>FV(6.5%,1,0,-Q8,1)</f>
        <v>136106.99999999843</v>
      </c>
      <c r="R11" s="41"/>
    </row>
    <row r="12" spans="2:18" x14ac:dyDescent="0.3">
      <c r="B12" s="45" t="s">
        <v>61</v>
      </c>
      <c r="C12" s="41" t="s">
        <v>65</v>
      </c>
      <c r="D12" s="42">
        <f>D9*1.1</f>
        <v>166512.35815463858</v>
      </c>
      <c r="E12" s="42">
        <f>D12+E9</f>
        <v>455500.74834037491</v>
      </c>
      <c r="F12" s="42">
        <f>FV(14%/12,12,-(D12/12),-'SIP and Cashflows'!F9,1)</f>
        <v>563630.47719222785</v>
      </c>
      <c r="M12" s="45" t="s">
        <v>61</v>
      </c>
      <c r="N12" s="41" t="s">
        <v>65</v>
      </c>
      <c r="O12" s="42">
        <f>O9</f>
        <v>137613.51913606492</v>
      </c>
      <c r="P12" s="42">
        <f>O12+P9</f>
        <v>412840.55740819476</v>
      </c>
      <c r="Q12" s="42">
        <f>FV(14%/12,12,-(O12/12),-'SIP and Cashflows'!Q9,1)</f>
        <v>515374.84805234557</v>
      </c>
      <c r="R12" s="41"/>
    </row>
    <row r="13" spans="2:18" x14ac:dyDescent="0.3">
      <c r="B13" s="46"/>
      <c r="C13" s="43" t="s">
        <v>33</v>
      </c>
      <c r="D13" s="44">
        <f>D10*1.1</f>
        <v>196487.64184536148</v>
      </c>
      <c r="E13" s="44">
        <f>E10+D13</f>
        <v>421659.87452960754</v>
      </c>
      <c r="F13" s="44">
        <f>FV(16%/12,12,-(D13/12),-'SIP and Cashflows'!F10,1)</f>
        <v>512629.70802804769</v>
      </c>
      <c r="M13" s="46"/>
      <c r="N13" s="43" t="s">
        <v>33</v>
      </c>
      <c r="O13" s="44">
        <f>O10</f>
        <v>46547.103733917458</v>
      </c>
      <c r="P13" s="44">
        <f>P10+O13</f>
        <v>139641.31120175237</v>
      </c>
      <c r="Q13" s="44">
        <f>FV(16%/12,12,-(O13/12),-'SIP and Cashflows'!Q10,1)</f>
        <v>180108.98100679417</v>
      </c>
      <c r="R13" s="41"/>
    </row>
    <row r="14" spans="2:18" x14ac:dyDescent="0.3">
      <c r="B14" s="3"/>
      <c r="C14" s="41" t="s">
        <v>13</v>
      </c>
      <c r="D14" s="42">
        <v>0</v>
      </c>
      <c r="E14" s="42">
        <f>E11</f>
        <v>115839.37713001762</v>
      </c>
      <c r="F14" s="42">
        <f>FV(6.5%,1,0,-F11,1)</f>
        <v>144953.95499999833</v>
      </c>
      <c r="M14" s="3"/>
      <c r="N14" s="41" t="s">
        <v>13</v>
      </c>
      <c r="O14" s="42">
        <v>0</v>
      </c>
      <c r="P14" s="42">
        <f>P11</f>
        <v>115839.37713001762</v>
      </c>
      <c r="Q14" s="42">
        <f>FV(6.5%,1,0,-Q11,1)</f>
        <v>144953.95499999833</v>
      </c>
      <c r="R14" s="41"/>
    </row>
    <row r="15" spans="2:18" x14ac:dyDescent="0.3">
      <c r="B15" s="45" t="s">
        <v>62</v>
      </c>
      <c r="C15" s="41" t="s">
        <v>65</v>
      </c>
      <c r="D15" s="42">
        <f>D12*1.1</f>
        <v>183163.59397010246</v>
      </c>
      <c r="E15" s="42">
        <f>D15+E12</f>
        <v>638664.3423104774</v>
      </c>
      <c r="F15" s="42">
        <f>FV(14%/12,12,-(D15/12),-'SIP and Cashflows'!F12,1)</f>
        <v>845469.57542465185</v>
      </c>
      <c r="M15" s="45" t="s">
        <v>62</v>
      </c>
      <c r="N15" s="41" t="s">
        <v>65</v>
      </c>
      <c r="O15" s="42">
        <f>O12</f>
        <v>137613.51913606492</v>
      </c>
      <c r="P15" s="42">
        <f>O15+P12</f>
        <v>550454.07654425967</v>
      </c>
      <c r="Q15" s="42">
        <f>FV(14%/12,12,-(O15/12),-'SIP and Cashflows'!Q12,1)</f>
        <v>740850.89856554673</v>
      </c>
      <c r="R15" s="41"/>
    </row>
    <row r="16" spans="2:18" x14ac:dyDescent="0.3">
      <c r="B16" s="46"/>
      <c r="C16" s="43" t="s">
        <v>33</v>
      </c>
      <c r="D16" s="44">
        <f>D13*1.1</f>
        <v>216136.40602989763</v>
      </c>
      <c r="E16" s="44">
        <f>E13+D16</f>
        <v>637796.2805595051</v>
      </c>
      <c r="F16" s="44">
        <f>FV(16%/12,12,-(D16/12),-'SIP and Cashflows'!F13,1)</f>
        <v>836756.11463856464</v>
      </c>
      <c r="M16" s="46"/>
      <c r="N16" s="43" t="s">
        <v>33</v>
      </c>
      <c r="O16" s="44">
        <f>O13</f>
        <v>46547.103733917458</v>
      </c>
      <c r="P16" s="44">
        <f>P13+O16</f>
        <v>186188.41493566983</v>
      </c>
      <c r="Q16" s="44">
        <f>FV(16%/12,12,-(O16/12),-'SIP and Cashflows'!Q13,1)</f>
        <v>261921.6414786721</v>
      </c>
      <c r="R16" s="41"/>
    </row>
    <row r="17" spans="2:18" x14ac:dyDescent="0.3">
      <c r="B17" s="3"/>
      <c r="C17" s="41" t="s">
        <v>13</v>
      </c>
      <c r="D17" s="42">
        <v>0</v>
      </c>
      <c r="E17" s="42">
        <f>E14</f>
        <v>115839.37713001762</v>
      </c>
      <c r="F17" s="42">
        <f>FV(6.5%,1,0,-F14,1)</f>
        <v>154375.96207499821</v>
      </c>
      <c r="M17" s="3"/>
      <c r="N17" s="41" t="s">
        <v>13</v>
      </c>
      <c r="O17" s="42">
        <v>0</v>
      </c>
      <c r="P17" s="42">
        <f>P14</f>
        <v>115839.37713001762</v>
      </c>
      <c r="Q17" s="42">
        <f>FV(6.5%,1,0,-Q14,1)</f>
        <v>154375.96207499821</v>
      </c>
      <c r="R17" s="41"/>
    </row>
    <row r="18" spans="2:18" x14ac:dyDescent="0.3">
      <c r="B18" s="45" t="s">
        <v>63</v>
      </c>
      <c r="C18" s="41" t="s">
        <v>65</v>
      </c>
      <c r="D18" s="42">
        <f>D15*1.1</f>
        <v>201479.95336711273</v>
      </c>
      <c r="E18" s="42">
        <f>D18+E15</f>
        <v>840144.29567759018</v>
      </c>
      <c r="F18" s="42">
        <f>FV(14%/12,12,-(D18/12),-'SIP and Cashflows'!F15,1)</f>
        <v>1189165.6344015752</v>
      </c>
      <c r="M18" s="45" t="s">
        <v>63</v>
      </c>
      <c r="N18" s="41" t="s">
        <v>65</v>
      </c>
      <c r="O18" s="42">
        <f>O15</f>
        <v>137613.51913606492</v>
      </c>
      <c r="P18" s="42">
        <f>O18+P15</f>
        <v>688067.59568032459</v>
      </c>
      <c r="Q18" s="42">
        <f>FV(14%/12,12,-(O18/12),-'SIP and Cashflows'!Q15,1)</f>
        <v>1000000.0000000049</v>
      </c>
      <c r="R18" s="41"/>
    </row>
    <row r="19" spans="2:18" x14ac:dyDescent="0.3">
      <c r="B19" s="51"/>
      <c r="C19" s="43" t="s">
        <v>33</v>
      </c>
      <c r="D19" s="44">
        <f>D16*1.1</f>
        <v>237750.04663288742</v>
      </c>
      <c r="E19" s="44">
        <f>E16+D19</f>
        <v>875546.32719239255</v>
      </c>
      <c r="F19" s="44">
        <f>FV(16%/12,12,-(D19/12),-'SIP and Cashflows'!F16,1)</f>
        <v>1240301.5638123876</v>
      </c>
      <c r="M19" s="51"/>
      <c r="N19" s="43" t="s">
        <v>33</v>
      </c>
      <c r="O19" s="44">
        <f>O16</f>
        <v>46547.103733917458</v>
      </c>
      <c r="P19" s="44">
        <f>P16+O19</f>
        <v>232735.5186695873</v>
      </c>
      <c r="Q19" s="44">
        <f>FV(16%/12,12,-(O19/12),-'SIP and Cashflows'!Q16,1)</f>
        <v>357828.23427772295</v>
      </c>
      <c r="R19" s="41"/>
    </row>
    <row r="20" spans="2:18" x14ac:dyDescent="0.3">
      <c r="D20" s="38"/>
      <c r="E20" s="38"/>
      <c r="F20" s="38"/>
      <c r="R20" s="41"/>
    </row>
    <row r="21" spans="2:18" x14ac:dyDescent="0.3">
      <c r="D21" s="38"/>
      <c r="E21" s="38"/>
      <c r="F21" s="38"/>
      <c r="M21" s="41"/>
      <c r="N21" s="41"/>
      <c r="O21" s="42"/>
      <c r="P21" s="42"/>
      <c r="Q21" s="41"/>
      <c r="R21" s="41"/>
    </row>
    <row r="22" spans="2:18" x14ac:dyDescent="0.3">
      <c r="M22" s="49"/>
      <c r="N22" s="49"/>
      <c r="O22" s="50"/>
      <c r="P22" s="50"/>
      <c r="Q22" s="50"/>
      <c r="R22" s="49"/>
    </row>
    <row r="23" spans="2:18" x14ac:dyDescent="0.3">
      <c r="B23" s="14" t="s">
        <v>58</v>
      </c>
      <c r="C23" s="14" t="s">
        <v>56</v>
      </c>
      <c r="D23" s="47" t="s">
        <v>57</v>
      </c>
      <c r="E23" s="47" t="s">
        <v>66</v>
      </c>
      <c r="F23" s="47" t="s">
        <v>67</v>
      </c>
      <c r="G23" s="14" t="s">
        <v>68</v>
      </c>
      <c r="M23" s="14" t="s">
        <v>58</v>
      </c>
      <c r="N23" s="14" t="s">
        <v>56</v>
      </c>
      <c r="O23" s="47" t="s">
        <v>57</v>
      </c>
      <c r="P23" s="47" t="s">
        <v>66</v>
      </c>
      <c r="Q23" s="47" t="s">
        <v>67</v>
      </c>
      <c r="R23" s="14" t="s">
        <v>68</v>
      </c>
    </row>
    <row r="24" spans="2:18" x14ac:dyDescent="0.3">
      <c r="B24" s="2" t="s">
        <v>13</v>
      </c>
      <c r="C24" s="39">
        <f>D5</f>
        <v>115839.37713001762</v>
      </c>
      <c r="D24" s="39">
        <f>F17</f>
        <v>154375.96207499821</v>
      </c>
      <c r="E24" s="39">
        <f>D24-C24</f>
        <v>38536.584944980597</v>
      </c>
      <c r="F24" s="28">
        <f>D24/C24-1</f>
        <v>0.33267258422606427</v>
      </c>
      <c r="G24" s="28">
        <f>((1+F24)^(1/5)-1)</f>
        <v>5.9118838051452016E-2</v>
      </c>
      <c r="M24" s="2" t="s">
        <v>13</v>
      </c>
      <c r="N24" s="39">
        <f>O5</f>
        <v>115839.37713001762</v>
      </c>
      <c r="O24" s="39">
        <f>Q17</f>
        <v>154375.96207499821</v>
      </c>
      <c r="P24" s="39">
        <f>O24-N24</f>
        <v>38536.584944980597</v>
      </c>
      <c r="Q24" s="28">
        <f>O24/N24-1</f>
        <v>0.33267258422606427</v>
      </c>
      <c r="R24" s="28">
        <f>((1+Q24)^(1/5)-1)</f>
        <v>5.9118838051452016E-2</v>
      </c>
    </row>
    <row r="25" spans="2:18" x14ac:dyDescent="0.3">
      <c r="B25" s="2" t="s">
        <v>59</v>
      </c>
      <c r="C25" s="39">
        <f>D6+D9+D12+D15+D18</f>
        <v>840144.29567759018</v>
      </c>
      <c r="D25" s="39">
        <f>F18</f>
        <v>1189165.6344015752</v>
      </c>
      <c r="E25" s="39">
        <f t="shared" ref="E25:E26" si="0">D25-C25</f>
        <v>349021.33872398501</v>
      </c>
      <c r="F25" s="28">
        <f>D25/C25-1</f>
        <v>0.41543023087777264</v>
      </c>
      <c r="G25" s="28">
        <f t="shared" ref="G25:G27" si="1">((1+F25)^(1/5)-1)</f>
        <v>7.1957811568791108E-2</v>
      </c>
      <c r="M25" s="2" t="s">
        <v>59</v>
      </c>
      <c r="N25" s="39">
        <f>O6+O9+O12+O15+O18</f>
        <v>688067.59568032459</v>
      </c>
      <c r="O25" s="39">
        <f>Q18</f>
        <v>1000000.0000000049</v>
      </c>
      <c r="P25" s="39">
        <f t="shared" ref="P25:P26" si="2">O25-N25</f>
        <v>311932.4043196803</v>
      </c>
      <c r="Q25" s="28">
        <f>O25/N25-1</f>
        <v>0.45334558156493054</v>
      </c>
      <c r="R25" s="28">
        <f t="shared" ref="R25:R27" si="3">((1+Q25)^(1/5)-1)</f>
        <v>7.7640187852009435E-2</v>
      </c>
    </row>
    <row r="26" spans="2:18" x14ac:dyDescent="0.3">
      <c r="B26" s="2" t="s">
        <v>69</v>
      </c>
      <c r="C26" s="39">
        <f>D7+D10+D13+D16+D19</f>
        <v>875546.32719239255</v>
      </c>
      <c r="D26" s="39">
        <f>F19</f>
        <v>1240301.5638123876</v>
      </c>
      <c r="E26" s="39">
        <f t="shared" si="0"/>
        <v>364755.23661999509</v>
      </c>
      <c r="F26" s="28">
        <f>D26/C26-1</f>
        <v>0.41660301150443146</v>
      </c>
      <c r="G26" s="28">
        <f t="shared" si="1"/>
        <v>7.2135390777242625E-2</v>
      </c>
      <c r="M26" s="2" t="s">
        <v>69</v>
      </c>
      <c r="N26" s="39">
        <f>O7+O10+O13+O16+O19</f>
        <v>232735.5186695873</v>
      </c>
      <c r="O26" s="39">
        <f>Q19</f>
        <v>357828.23427772295</v>
      </c>
      <c r="P26" s="39">
        <f t="shared" si="2"/>
        <v>125092.71560813565</v>
      </c>
      <c r="Q26" s="28">
        <f>O26/N26-1</f>
        <v>0.53748871819487398</v>
      </c>
      <c r="R26" s="28">
        <f t="shared" si="3"/>
        <v>8.9839106447926698E-2</v>
      </c>
    </row>
    <row r="27" spans="2:18" ht="15.6" x14ac:dyDescent="0.3">
      <c r="B27" s="53" t="s">
        <v>73</v>
      </c>
      <c r="C27" s="54">
        <f>SUM(C24:C26)</f>
        <v>1831530.0000000005</v>
      </c>
      <c r="D27" s="54">
        <f t="shared" ref="D27:E27" si="4">SUM(D24:D26)</f>
        <v>2583843.1602889611</v>
      </c>
      <c r="E27" s="54">
        <f t="shared" si="4"/>
        <v>752313.16028896067</v>
      </c>
      <c r="F27" s="55">
        <f>D27/C27-1</f>
        <v>0.41075666808021727</v>
      </c>
      <c r="G27" s="55">
        <f t="shared" si="1"/>
        <v>7.1248982276009398E-2</v>
      </c>
      <c r="M27" s="53" t="s">
        <v>73</v>
      </c>
      <c r="N27" s="54">
        <f>SUM(N24:N26)</f>
        <v>1036642.4914799295</v>
      </c>
      <c r="O27" s="54">
        <f t="shared" ref="O27" si="5">SUM(O24:O26)</f>
        <v>1512204.1963527261</v>
      </c>
      <c r="P27" s="54">
        <f t="shared" ref="P27" si="6">SUM(P24:P26)</f>
        <v>475561.70487279654</v>
      </c>
      <c r="Q27" s="55">
        <f>O27/N27-1</f>
        <v>0.45875189255832649</v>
      </c>
      <c r="R27" s="55">
        <f t="shared" si="3"/>
        <v>7.8440741885156262E-2</v>
      </c>
    </row>
  </sheetData>
  <mergeCells count="2">
    <mergeCell ref="M2:Q2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Asset Allocation</vt:lpstr>
      <vt:lpstr>SIP and Cashflows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MINNU</dc:creator>
  <cp:lastModifiedBy>MINNU</cp:lastModifiedBy>
  <dcterms:created xsi:type="dcterms:W3CDTF">2025-05-05T04:35:50Z</dcterms:created>
  <dcterms:modified xsi:type="dcterms:W3CDTF">2025-05-05T12:28:51Z</dcterms:modified>
</cp:coreProperties>
</file>